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I:\My Drive\Structural Resources\0. Calculators\"/>
    </mc:Choice>
  </mc:AlternateContent>
  <xr:revisionPtr revIDLastSave="0" documentId="13_ncr:1_{213EC72E-D89D-4612-9E0C-02C5F70A39CE}" xr6:coauthVersionLast="47" xr6:coauthVersionMax="47" xr10:uidLastSave="{00000000-0000-0000-0000-000000000000}"/>
  <workbookProtection lockStructure="1"/>
  <bookViews>
    <workbookView xWindow="-120" yWindow="-120" windowWidth="38640" windowHeight="21120" activeTab="2" xr2:uid="{00000000-000D-0000-FFFF-FFFF00000000}"/>
  </bookViews>
  <sheets>
    <sheet name="User Guide" sheetId="5" r:id="rId1"/>
    <sheet name="Analysis" sheetId="8" r:id="rId2"/>
    <sheet name="Design" sheetId="1" r:id="rId3"/>
    <sheet name="I-Shape + Cover Plates" sheetId="20" r:id="rId4"/>
    <sheet name="I-Shape + WT" sheetId="26" r:id="rId5"/>
    <sheet name="I-Shape + Channel" sheetId="27" r:id="rId6"/>
    <sheet name=" Stepped Column - Modified K" sheetId="15" r:id="rId7"/>
    <sheet name="Stepped Beam - Modified Cb" sheetId="16" r:id="rId8"/>
    <sheet name="Database v16.0 &amp; v16.0H" sheetId="2" r:id="rId9"/>
  </sheets>
  <definedNames>
    <definedName name="a">#REF!</definedName>
    <definedName name="b">#REF!</definedName>
    <definedName name="Fy">#REF!</definedName>
    <definedName name="_xlnm.Print_Titles" localSheetId="2">Design!$A:$C</definedName>
    <definedName name="Slicer_A_L">#N/A</definedName>
    <definedName name="Slicer_I2_I1">#N/A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8" l="1"/>
  <c r="E10" i="26" l="1"/>
  <c r="F10" i="26"/>
  <c r="G10" i="26"/>
  <c r="H10" i="26"/>
  <c r="E11" i="26"/>
  <c r="F11" i="26"/>
  <c r="G11" i="26"/>
  <c r="H11" i="26"/>
  <c r="E12" i="26"/>
  <c r="F12" i="26"/>
  <c r="G12" i="26"/>
  <c r="H12" i="26"/>
  <c r="E13" i="26"/>
  <c r="F13" i="26"/>
  <c r="G13" i="26"/>
  <c r="H13" i="26"/>
  <c r="E14" i="26"/>
  <c r="F14" i="26"/>
  <c r="G14" i="26"/>
  <c r="H14" i="26"/>
  <c r="E15" i="26"/>
  <c r="F15" i="26"/>
  <c r="G15" i="26"/>
  <c r="H15" i="26"/>
  <c r="E16" i="26"/>
  <c r="F16" i="26"/>
  <c r="G16" i="26"/>
  <c r="H16" i="26"/>
  <c r="E17" i="26"/>
  <c r="F17" i="26"/>
  <c r="G17" i="26"/>
  <c r="H17" i="26"/>
  <c r="E18" i="26"/>
  <c r="F18" i="26"/>
  <c r="G18" i="26"/>
  <c r="H18" i="26"/>
  <c r="E19" i="26"/>
  <c r="F19" i="26"/>
  <c r="G19" i="26"/>
  <c r="H19" i="26"/>
  <c r="E20" i="26"/>
  <c r="F20" i="26"/>
  <c r="G20" i="26"/>
  <c r="H20" i="26"/>
  <c r="E21" i="26"/>
  <c r="F21" i="26"/>
  <c r="G21" i="26"/>
  <c r="H21" i="26"/>
  <c r="E22" i="26"/>
  <c r="F22" i="26"/>
  <c r="G22" i="26"/>
  <c r="H22" i="26"/>
  <c r="E23" i="26"/>
  <c r="F23" i="26"/>
  <c r="G23" i="26"/>
  <c r="H23" i="26"/>
  <c r="E24" i="26"/>
  <c r="F24" i="26"/>
  <c r="G24" i="26"/>
  <c r="H24" i="26"/>
  <c r="E25" i="26"/>
  <c r="F25" i="26"/>
  <c r="G25" i="26"/>
  <c r="H25" i="26"/>
  <c r="E26" i="26"/>
  <c r="F26" i="26"/>
  <c r="G26" i="26"/>
  <c r="H26" i="26"/>
  <c r="D26" i="26"/>
  <c r="D24" i="26"/>
  <c r="D23" i="26"/>
  <c r="D22" i="26"/>
  <c r="D21" i="26"/>
  <c r="D20" i="26"/>
  <c r="D19" i="26"/>
  <c r="D18" i="26"/>
  <c r="D17" i="26"/>
  <c r="D16" i="26"/>
  <c r="D15" i="26"/>
  <c r="D14" i="26"/>
  <c r="D13" i="26"/>
  <c r="D12" i="26"/>
  <c r="D11" i="26"/>
  <c r="D10" i="26"/>
  <c r="D689" i="1"/>
  <c r="E689" i="1"/>
  <c r="D690" i="1"/>
  <c r="E690" i="1"/>
  <c r="D691" i="1"/>
  <c r="E691" i="1"/>
  <c r="D692" i="1"/>
  <c r="E692" i="1"/>
  <c r="F689" i="1"/>
  <c r="G689" i="1"/>
  <c r="F690" i="1"/>
  <c r="G690" i="1"/>
  <c r="F691" i="1"/>
  <c r="G691" i="1"/>
  <c r="F692" i="1"/>
  <c r="G692" i="1"/>
  <c r="H1051" i="1" l="1"/>
  <c r="H1049" i="1"/>
  <c r="H1042" i="1"/>
  <c r="H1040" i="1"/>
  <c r="H1039" i="1"/>
  <c r="H1023" i="1"/>
  <c r="H1021" i="1"/>
  <c r="H1022" i="1" s="1"/>
  <c r="H1010" i="1"/>
  <c r="H1008" i="1"/>
  <c r="H1001" i="1"/>
  <c r="H999" i="1"/>
  <c r="H998" i="1"/>
  <c r="H989" i="1"/>
  <c r="H982" i="1"/>
  <c r="H980" i="1"/>
  <c r="H981" i="1" s="1"/>
  <c r="H955" i="1"/>
  <c r="H940" i="1"/>
  <c r="H939" i="1"/>
  <c r="H915" i="1"/>
  <c r="H906" i="1"/>
  <c r="H904" i="1"/>
  <c r="H900" i="1"/>
  <c r="H898" i="1"/>
  <c r="H896" i="1"/>
  <c r="H887" i="1"/>
  <c r="H786" i="1"/>
  <c r="H769" i="1"/>
  <c r="H768" i="1"/>
  <c r="H766" i="1"/>
  <c r="H765" i="1"/>
  <c r="H745" i="1"/>
  <c r="H739" i="1"/>
  <c r="H735" i="1"/>
  <c r="H734" i="1"/>
  <c r="H795" i="1" s="1"/>
  <c r="H729" i="1"/>
  <c r="H731" i="1" s="1"/>
  <c r="H725" i="1"/>
  <c r="H724" i="1"/>
  <c r="H918" i="1" s="1"/>
  <c r="H723" i="1"/>
  <c r="H787" i="1" s="1"/>
  <c r="H722" i="1"/>
  <c r="H721" i="1"/>
  <c r="H720" i="1"/>
  <c r="H1030" i="1" s="1"/>
  <c r="H719" i="1"/>
  <c r="H718" i="1"/>
  <c r="H746" i="1" s="1"/>
  <c r="H717" i="1"/>
  <c r="H738" i="1" s="1"/>
  <c r="H692" i="1"/>
  <c r="H691" i="1"/>
  <c r="H690" i="1"/>
  <c r="H689" i="1"/>
  <c r="H579" i="1"/>
  <c r="H552" i="1"/>
  <c r="H523" i="1"/>
  <c r="H515" i="1"/>
  <c r="H514" i="1"/>
  <c r="H501" i="1"/>
  <c r="H500" i="1"/>
  <c r="H475" i="1"/>
  <c r="H473" i="1"/>
  <c r="H472" i="1"/>
  <c r="H471" i="1"/>
  <c r="H641" i="1" s="1"/>
  <c r="H470" i="1"/>
  <c r="H652" i="1" s="1"/>
  <c r="H253" i="1"/>
  <c r="H246" i="1"/>
  <c r="H245" i="1"/>
  <c r="H234" i="1"/>
  <c r="H233" i="1"/>
  <c r="H208" i="1"/>
  <c r="H207" i="1"/>
  <c r="H206" i="1"/>
  <c r="H205" i="1"/>
  <c r="H204" i="1"/>
  <c r="H310" i="1" s="1"/>
  <c r="H203" i="1"/>
  <c r="H321" i="1" s="1"/>
  <c r="H202" i="1"/>
  <c r="H201" i="1"/>
  <c r="H199" i="1"/>
  <c r="H198" i="1"/>
  <c r="H197" i="1"/>
  <c r="H709" i="1" s="1"/>
  <c r="H733" i="1" s="1"/>
  <c r="H196" i="1"/>
  <c r="H195" i="1"/>
  <c r="H194" i="1"/>
  <c r="H193" i="1"/>
  <c r="H192" i="1"/>
  <c r="H283" i="1" s="1"/>
  <c r="H292" i="1" s="1"/>
  <c r="H191" i="1"/>
  <c r="H190" i="1"/>
  <c r="H189" i="1"/>
  <c r="H188" i="1"/>
  <c r="H282" i="1" s="1"/>
  <c r="H187" i="1"/>
  <c r="H186" i="1"/>
  <c r="H258" i="1" s="1"/>
  <c r="H185" i="1"/>
  <c r="H221" i="1" s="1"/>
  <c r="H183" i="1"/>
  <c r="H352" i="1" s="1"/>
  <c r="H182" i="1"/>
  <c r="H315" i="1" s="1"/>
  <c r="H181" i="1"/>
  <c r="H180" i="1"/>
  <c r="H200" i="1" s="1"/>
  <c r="H179" i="1"/>
  <c r="H337" i="1" s="1"/>
  <c r="H159" i="1"/>
  <c r="H170" i="1" s="1"/>
  <c r="H158" i="1"/>
  <c r="H169" i="1" s="1"/>
  <c r="H153" i="1"/>
  <c r="H152" i="1"/>
  <c r="H151" i="1"/>
  <c r="H149" i="1"/>
  <c r="H96" i="1"/>
  <c r="H95" i="1"/>
  <c r="H94" i="1"/>
  <c r="H93" i="1"/>
  <c r="H92" i="1"/>
  <c r="H91" i="1"/>
  <c r="H90" i="1"/>
  <c r="H89" i="1"/>
  <c r="H88" i="1"/>
  <c r="H87" i="1"/>
  <c r="H78" i="1"/>
  <c r="H77" i="1"/>
  <c r="H76" i="1"/>
  <c r="H75" i="1"/>
  <c r="H74" i="1"/>
  <c r="H73" i="1"/>
  <c r="H72" i="1"/>
  <c r="H71" i="1"/>
  <c r="H70" i="1"/>
  <c r="H69" i="1"/>
  <c r="H51" i="1"/>
  <c r="H61" i="1" s="1"/>
  <c r="H50" i="1"/>
  <c r="H60" i="1" s="1"/>
  <c r="H49" i="1"/>
  <c r="H59" i="1" s="1"/>
  <c r="H48" i="1"/>
  <c r="H46" i="1"/>
  <c r="H47" i="1" s="1"/>
  <c r="H6" i="1"/>
  <c r="G1051" i="1"/>
  <c r="G1049" i="1"/>
  <c r="G1042" i="1"/>
  <c r="G1040" i="1"/>
  <c r="G1039" i="1"/>
  <c r="G1023" i="1"/>
  <c r="G1021" i="1"/>
  <c r="G1022" i="1" s="1"/>
  <c r="G1010" i="1"/>
  <c r="G1008" i="1"/>
  <c r="G1001" i="1"/>
  <c r="G999" i="1"/>
  <c r="G998" i="1"/>
  <c r="G989" i="1"/>
  <c r="G982" i="1"/>
  <c r="G980" i="1"/>
  <c r="G981" i="1" s="1"/>
  <c r="G955" i="1"/>
  <c r="G940" i="1"/>
  <c r="G939" i="1"/>
  <c r="G915" i="1"/>
  <c r="G906" i="1"/>
  <c r="G904" i="1"/>
  <c r="G900" i="1"/>
  <c r="G898" i="1"/>
  <c r="G896" i="1"/>
  <c r="G887" i="1"/>
  <c r="G786" i="1"/>
  <c r="G769" i="1"/>
  <c r="G768" i="1"/>
  <c r="G766" i="1"/>
  <c r="G765" i="1"/>
  <c r="G745" i="1"/>
  <c r="G739" i="1"/>
  <c r="G735" i="1"/>
  <c r="G734" i="1"/>
  <c r="G795" i="1" s="1"/>
  <c r="G806" i="1" s="1"/>
  <c r="G729" i="1"/>
  <c r="G731" i="1" s="1"/>
  <c r="G725" i="1"/>
  <c r="G724" i="1"/>
  <c r="G723" i="1"/>
  <c r="G787" i="1" s="1"/>
  <c r="G722" i="1"/>
  <c r="G721" i="1"/>
  <c r="G720" i="1"/>
  <c r="G1030" i="1" s="1"/>
  <c r="G719" i="1"/>
  <c r="G718" i="1"/>
  <c r="G717" i="1"/>
  <c r="G885" i="1" s="1"/>
  <c r="G579" i="1"/>
  <c r="G552" i="1"/>
  <c r="G523" i="1"/>
  <c r="G515" i="1"/>
  <c r="G514" i="1"/>
  <c r="G501" i="1"/>
  <c r="G500" i="1"/>
  <c r="G475" i="1"/>
  <c r="G473" i="1"/>
  <c r="G472" i="1"/>
  <c r="G471" i="1"/>
  <c r="G641" i="1" s="1"/>
  <c r="G470" i="1"/>
  <c r="G652" i="1" s="1"/>
  <c r="G253" i="1"/>
  <c r="G246" i="1"/>
  <c r="G245" i="1"/>
  <c r="G234" i="1"/>
  <c r="G233" i="1"/>
  <c r="G208" i="1"/>
  <c r="G207" i="1"/>
  <c r="G206" i="1"/>
  <c r="G205" i="1"/>
  <c r="G204" i="1"/>
  <c r="G310" i="1" s="1"/>
  <c r="G203" i="1"/>
  <c r="G321" i="1" s="1"/>
  <c r="G202" i="1"/>
  <c r="G201" i="1"/>
  <c r="G199" i="1"/>
  <c r="G198" i="1"/>
  <c r="G197" i="1"/>
  <c r="G709" i="1" s="1"/>
  <c r="G732" i="1" s="1"/>
  <c r="G798" i="1" s="1"/>
  <c r="G822" i="1" s="1"/>
  <c r="G196" i="1"/>
  <c r="G195" i="1"/>
  <c r="G194" i="1"/>
  <c r="G193" i="1"/>
  <c r="G192" i="1"/>
  <c r="G283" i="1" s="1"/>
  <c r="G292" i="1" s="1"/>
  <c r="G191" i="1"/>
  <c r="G190" i="1"/>
  <c r="G189" i="1"/>
  <c r="G188" i="1"/>
  <c r="G282" i="1" s="1"/>
  <c r="G187" i="1"/>
  <c r="G186" i="1"/>
  <c r="G258" i="1" s="1"/>
  <c r="G185" i="1"/>
  <c r="G221" i="1" s="1"/>
  <c r="G183" i="1"/>
  <c r="G352" i="1" s="1"/>
  <c r="G182" i="1"/>
  <c r="G315" i="1" s="1"/>
  <c r="G181" i="1"/>
  <c r="G180" i="1"/>
  <c r="G200" i="1" s="1"/>
  <c r="G179" i="1"/>
  <c r="G337" i="1" s="1"/>
  <c r="G159" i="1"/>
  <c r="G170" i="1" s="1"/>
  <c r="G158" i="1"/>
  <c r="G169" i="1" s="1"/>
  <c r="G153" i="1"/>
  <c r="G152" i="1"/>
  <c r="G151" i="1"/>
  <c r="G149" i="1"/>
  <c r="G96" i="1"/>
  <c r="G95" i="1"/>
  <c r="G94" i="1"/>
  <c r="G93" i="1"/>
  <c r="G92" i="1"/>
  <c r="G91" i="1"/>
  <c r="G90" i="1"/>
  <c r="G89" i="1"/>
  <c r="G88" i="1"/>
  <c r="G87" i="1"/>
  <c r="G78" i="1"/>
  <c r="G77" i="1"/>
  <c r="G76" i="1"/>
  <c r="G75" i="1"/>
  <c r="G74" i="1"/>
  <c r="G73" i="1"/>
  <c r="G72" i="1"/>
  <c r="G71" i="1"/>
  <c r="G70" i="1"/>
  <c r="G69" i="1"/>
  <c r="G51" i="1"/>
  <c r="G61" i="1" s="1"/>
  <c r="G50" i="1"/>
  <c r="G60" i="1" s="1"/>
  <c r="G49" i="1"/>
  <c r="G59" i="1" s="1"/>
  <c r="G48" i="1"/>
  <c r="G46" i="1"/>
  <c r="G47" i="1" s="1"/>
  <c r="G6" i="1"/>
  <c r="H269" i="27"/>
  <c r="H267" i="27"/>
  <c r="H261" i="27"/>
  <c r="H259" i="27"/>
  <c r="H160" i="27"/>
  <c r="H136" i="27"/>
  <c r="H290" i="27" s="1"/>
  <c r="H59" i="27" s="1"/>
  <c r="H134" i="27"/>
  <c r="H79" i="27"/>
  <c r="H78" i="27"/>
  <c r="H159" i="27" s="1"/>
  <c r="H77" i="27"/>
  <c r="H158" i="27" s="1"/>
  <c r="H72" i="27"/>
  <c r="H70" i="27"/>
  <c r="H47" i="27"/>
  <c r="H46" i="27"/>
  <c r="H43" i="27"/>
  <c r="H38" i="27"/>
  <c r="H86" i="27" s="1"/>
  <c r="H37" i="27"/>
  <c r="H85" i="27" s="1"/>
  <c r="H36" i="27"/>
  <c r="H84" i="27" s="1"/>
  <c r="H35" i="27"/>
  <c r="H260" i="27" s="1"/>
  <c r="H25" i="27"/>
  <c r="H90" i="27" s="1"/>
  <c r="H173" i="27" s="1"/>
  <c r="H24" i="27"/>
  <c r="H23" i="27"/>
  <c r="H22" i="27"/>
  <c r="H21" i="27"/>
  <c r="H20" i="27"/>
  <c r="H19" i="27"/>
  <c r="H106" i="27" s="1"/>
  <c r="H18" i="27"/>
  <c r="H17" i="27"/>
  <c r="H16" i="27"/>
  <c r="H258" i="27" s="1"/>
  <c r="H262" i="27" s="1"/>
  <c r="H54" i="27" s="1"/>
  <c r="H15" i="27"/>
  <c r="H133" i="27" s="1"/>
  <c r="H14" i="27"/>
  <c r="H266" i="27" s="1"/>
  <c r="H13" i="27"/>
  <c r="H44" i="27" s="1"/>
  <c r="H12" i="27"/>
  <c r="H26" i="27" s="1"/>
  <c r="H11" i="27"/>
  <c r="H265" i="27" s="1"/>
  <c r="H270" i="27" s="1"/>
  <c r="H55" i="27" s="1"/>
  <c r="H10" i="27"/>
  <c r="H83" i="27" s="1"/>
  <c r="G269" i="27"/>
  <c r="G268" i="27"/>
  <c r="G267" i="27"/>
  <c r="G261" i="27"/>
  <c r="G259" i="27"/>
  <c r="G160" i="27"/>
  <c r="G136" i="27"/>
  <c r="G290" i="27" s="1"/>
  <c r="G59" i="27" s="1"/>
  <c r="G135" i="27"/>
  <c r="G134" i="27"/>
  <c r="G79" i="27"/>
  <c r="G78" i="27"/>
  <c r="G159" i="27" s="1"/>
  <c r="G77" i="27"/>
  <c r="G205" i="27" s="1"/>
  <c r="G206" i="27" s="1"/>
  <c r="G72" i="27"/>
  <c r="G70" i="27"/>
  <c r="G47" i="27"/>
  <c r="G46" i="27"/>
  <c r="G43" i="27"/>
  <c r="G38" i="27"/>
  <c r="G37" i="27"/>
  <c r="G85" i="27" s="1"/>
  <c r="G36" i="27"/>
  <c r="G84" i="27" s="1"/>
  <c r="G145" i="27" s="1"/>
  <c r="G35" i="27"/>
  <c r="G260" i="27" s="1"/>
  <c r="G25" i="27"/>
  <c r="G90" i="27" s="1"/>
  <c r="G173" i="27" s="1"/>
  <c r="G24" i="27"/>
  <c r="G23" i="27"/>
  <c r="G22" i="27"/>
  <c r="G21" i="27"/>
  <c r="G20" i="27"/>
  <c r="G19" i="27"/>
  <c r="G106" i="27" s="1"/>
  <c r="G110" i="27" s="1"/>
  <c r="G18" i="27"/>
  <c r="G17" i="27"/>
  <c r="G16" i="27"/>
  <c r="G258" i="27" s="1"/>
  <c r="G262" i="27" s="1"/>
  <c r="G54" i="27" s="1"/>
  <c r="G15" i="27"/>
  <c r="G133" i="27" s="1"/>
  <c r="G14" i="27"/>
  <c r="G13" i="27"/>
  <c r="G44" i="27" s="1"/>
  <c r="G12" i="27"/>
  <c r="G26" i="27" s="1"/>
  <c r="G11" i="27"/>
  <c r="G10" i="27"/>
  <c r="G83" i="27" s="1"/>
  <c r="G87" i="27" s="1"/>
  <c r="H79" i="26"/>
  <c r="H170" i="26" s="1"/>
  <c r="H78" i="26"/>
  <c r="H169" i="26" s="1"/>
  <c r="H77" i="26"/>
  <c r="H71" i="26"/>
  <c r="H86" i="26" s="1"/>
  <c r="H69" i="26"/>
  <c r="H187" i="26" s="1"/>
  <c r="H45" i="26"/>
  <c r="H44" i="26"/>
  <c r="H43" i="26"/>
  <c r="H38" i="26"/>
  <c r="H37" i="26"/>
  <c r="H36" i="26"/>
  <c r="H35" i="26"/>
  <c r="H60" i="26" s="1"/>
  <c r="H73" i="26"/>
  <c r="H80" i="26"/>
  <c r="H81" i="26"/>
  <c r="G79" i="26"/>
  <c r="G78" i="26"/>
  <c r="G224" i="26" s="1"/>
  <c r="G225" i="26" s="1"/>
  <c r="G77" i="26"/>
  <c r="G222" i="26" s="1"/>
  <c r="G223" i="26" s="1"/>
  <c r="G71" i="26"/>
  <c r="G69" i="26"/>
  <c r="G187" i="26" s="1"/>
  <c r="G45" i="26"/>
  <c r="G44" i="26"/>
  <c r="G43" i="26"/>
  <c r="G38" i="26"/>
  <c r="G36" i="26"/>
  <c r="G35" i="26"/>
  <c r="G60" i="26" s="1"/>
  <c r="G73" i="26"/>
  <c r="G80" i="26"/>
  <c r="G81" i="26"/>
  <c r="H91" i="20"/>
  <c r="H90" i="20"/>
  <c r="H89" i="20"/>
  <c r="H236" i="20" s="1"/>
  <c r="H237" i="20" s="1"/>
  <c r="H88" i="20"/>
  <c r="H87" i="20"/>
  <c r="H83" i="20"/>
  <c r="H82" i="20"/>
  <c r="H80" i="20"/>
  <c r="H79" i="20"/>
  <c r="H197" i="20" s="1"/>
  <c r="H57" i="20"/>
  <c r="H56" i="20"/>
  <c r="H55" i="20"/>
  <c r="H54" i="20"/>
  <c r="H53" i="20"/>
  <c r="H48" i="20"/>
  <c r="H46" i="20"/>
  <c r="H45" i="20"/>
  <c r="H81" i="20" s="1"/>
  <c r="H35" i="20"/>
  <c r="H34" i="20"/>
  <c r="H33" i="20"/>
  <c r="H31" i="20"/>
  <c r="H30" i="20"/>
  <c r="H29" i="20"/>
  <c r="H28" i="20"/>
  <c r="H24" i="20"/>
  <c r="H23" i="20"/>
  <c r="H22" i="20"/>
  <c r="H20" i="20"/>
  <c r="H19" i="20"/>
  <c r="H18" i="20"/>
  <c r="H17" i="20"/>
  <c r="G91" i="20"/>
  <c r="G90" i="20"/>
  <c r="G308" i="20" s="1"/>
  <c r="G89" i="20"/>
  <c r="G236" i="20" s="1"/>
  <c r="G237" i="20" s="1"/>
  <c r="G88" i="20"/>
  <c r="G87" i="20"/>
  <c r="G83" i="20"/>
  <c r="G82" i="20"/>
  <c r="G300" i="20" s="1"/>
  <c r="G80" i="20"/>
  <c r="G79" i="20"/>
  <c r="G197" i="20" s="1"/>
  <c r="G199" i="20" s="1"/>
  <c r="G57" i="20"/>
  <c r="G56" i="20"/>
  <c r="G55" i="20"/>
  <c r="G54" i="20"/>
  <c r="G53" i="20"/>
  <c r="G48" i="20"/>
  <c r="G46" i="20"/>
  <c r="G45" i="20"/>
  <c r="G81" i="20" s="1"/>
  <c r="G35" i="20"/>
  <c r="G34" i="20"/>
  <c r="G33" i="20"/>
  <c r="G31" i="20"/>
  <c r="G30" i="20"/>
  <c r="G29" i="20"/>
  <c r="G28" i="20"/>
  <c r="G24" i="20"/>
  <c r="G23" i="20"/>
  <c r="G22" i="20"/>
  <c r="G20" i="20"/>
  <c r="G19" i="20"/>
  <c r="G18" i="20"/>
  <c r="G17" i="20"/>
  <c r="G991" i="1" l="1"/>
  <c r="H856" i="1"/>
  <c r="H866" i="1" s="1"/>
  <c r="H991" i="1"/>
  <c r="G733" i="1"/>
  <c r="G275" i="1"/>
  <c r="G918" i="1"/>
  <c r="H21" i="1"/>
  <c r="H166" i="1"/>
  <c r="H732" i="1"/>
  <c r="H798" i="1" s="1"/>
  <c r="H822" i="1" s="1"/>
  <c r="H823" i="1" s="1"/>
  <c r="H829" i="1" s="1"/>
  <c r="H843" i="1" s="1"/>
  <c r="H167" i="1"/>
  <c r="H290" i="1"/>
  <c r="H294" i="1" s="1"/>
  <c r="H298" i="1" s="1"/>
  <c r="H300" i="1" s="1"/>
  <c r="H302" i="1" s="1"/>
  <c r="H164" i="1"/>
  <c r="G797" i="1"/>
  <c r="G740" i="1" s="1"/>
  <c r="G69" i="27"/>
  <c r="G73" i="27" s="1"/>
  <c r="G72" i="26"/>
  <c r="H39" i="26"/>
  <c r="H226" i="26"/>
  <c r="H227" i="26" s="1"/>
  <c r="G823" i="1"/>
  <c r="G829" i="1" s="1"/>
  <c r="G843" i="1" s="1"/>
  <c r="G738" i="1"/>
  <c r="G1003" i="1"/>
  <c r="H298" i="20"/>
  <c r="G174" i="27"/>
  <c r="G176" i="27" s="1"/>
  <c r="H176" i="26"/>
  <c r="G54" i="1"/>
  <c r="G101" i="1" s="1"/>
  <c r="H234" i="20"/>
  <c r="H235" i="20" s="1"/>
  <c r="H306" i="20"/>
  <c r="H289" i="26"/>
  <c r="H224" i="26"/>
  <c r="H225" i="26" s="1"/>
  <c r="G55" i="1"/>
  <c r="G102" i="1" s="1"/>
  <c r="G169" i="26"/>
  <c r="G176" i="26" s="1"/>
  <c r="H295" i="26"/>
  <c r="H135" i="27"/>
  <c r="G21" i="1"/>
  <c r="G247" i="1"/>
  <c r="G248" i="1" s="1"/>
  <c r="G244" i="1" s="1"/>
  <c r="G341" i="1" s="1"/>
  <c r="G728" i="1"/>
  <c r="H55" i="1"/>
  <c r="H102" i="1" s="1"/>
  <c r="H107" i="1"/>
  <c r="H308" i="20"/>
  <c r="G143" i="26"/>
  <c r="H72" i="26"/>
  <c r="G109" i="27"/>
  <c r="G164" i="1"/>
  <c r="H456" i="1"/>
  <c r="G234" i="20"/>
  <c r="G235" i="20" s="1"/>
  <c r="G306" i="20"/>
  <c r="G295" i="26"/>
  <c r="G265" i="27"/>
  <c r="G270" i="27" s="1"/>
  <c r="G55" i="27" s="1"/>
  <c r="G60" i="27"/>
  <c r="H275" i="1"/>
  <c r="H276" i="1" s="1"/>
  <c r="H850" i="1"/>
  <c r="H748" i="1"/>
  <c r="H882" i="1" s="1"/>
  <c r="H788" i="1"/>
  <c r="H32" i="20"/>
  <c r="H247" i="1"/>
  <c r="G148" i="26"/>
  <c r="H141" i="26"/>
  <c r="H316" i="26" s="1"/>
  <c r="H21" i="20"/>
  <c r="G86" i="26"/>
  <c r="G266" i="27"/>
  <c r="G39" i="27"/>
  <c r="G71" i="27"/>
  <c r="G93" i="27" s="1"/>
  <c r="G179" i="27" s="1"/>
  <c r="G91" i="27"/>
  <c r="G175" i="27" s="1"/>
  <c r="H109" i="27"/>
  <c r="G456" i="1"/>
  <c r="G457" i="1" s="1"/>
  <c r="G790" i="1"/>
  <c r="G1044" i="1"/>
  <c r="H106" i="1"/>
  <c r="H797" i="1"/>
  <c r="H740" i="1" s="1"/>
  <c r="G746" i="1"/>
  <c r="H54" i="1"/>
  <c r="H101" i="1" s="1"/>
  <c r="G730" i="1"/>
  <c r="G850" i="1"/>
  <c r="G1032" i="1"/>
  <c r="H56" i="1"/>
  <c r="H103" i="1" s="1"/>
  <c r="H1032" i="1"/>
  <c r="G276" i="1"/>
  <c r="G351" i="1"/>
  <c r="G748" i="1"/>
  <c r="G882" i="1" s="1"/>
  <c r="G788" i="1"/>
  <c r="H933" i="1"/>
  <c r="H934" i="1" s="1"/>
  <c r="G855" i="1"/>
  <c r="G1024" i="1" s="1"/>
  <c r="G933" i="1"/>
  <c r="G934" i="1" s="1"/>
  <c r="H163" i="1"/>
  <c r="H1003" i="1"/>
  <c r="H1044" i="1"/>
  <c r="G163" i="1"/>
  <c r="G222" i="1"/>
  <c r="H351" i="1"/>
  <c r="H28" i="1" s="1"/>
  <c r="G167" i="1"/>
  <c r="G173" i="1" s="1"/>
  <c r="H855" i="1"/>
  <c r="H983" i="1" s="1"/>
  <c r="H1011" i="1" s="1"/>
  <c r="G107" i="1"/>
  <c r="G290" i="1"/>
  <c r="G294" i="1" s="1"/>
  <c r="G298" i="1" s="1"/>
  <c r="G300" i="1" s="1"/>
  <c r="G302" i="1" s="1"/>
  <c r="G736" i="1"/>
  <c r="G861" i="1" s="1"/>
  <c r="H222" i="1"/>
  <c r="H790" i="1"/>
  <c r="H799" i="1"/>
  <c r="H965" i="1" s="1"/>
  <c r="H657" i="1"/>
  <c r="H27" i="1"/>
  <c r="H240" i="1"/>
  <c r="H237" i="1"/>
  <c r="H214" i="1"/>
  <c r="H235" i="1"/>
  <c r="H236" i="1" s="1"/>
  <c r="H212" i="1"/>
  <c r="H309" i="1"/>
  <c r="H311" i="1" s="1"/>
  <c r="H264" i="1"/>
  <c r="H269" i="1" s="1"/>
  <c r="H268" i="1"/>
  <c r="H108" i="1"/>
  <c r="H284" i="1"/>
  <c r="H285" i="1" s="1"/>
  <c r="H291" i="1"/>
  <c r="H248" i="1"/>
  <c r="H244" i="1" s="1"/>
  <c r="H341" i="1" s="1"/>
  <c r="H805" i="1"/>
  <c r="H796" i="1"/>
  <c r="H219" i="1"/>
  <c r="H52" i="1"/>
  <c r="H99" i="1" s="1"/>
  <c r="H763" i="1"/>
  <c r="H772" i="1" s="1"/>
  <c r="H774" i="1" s="1"/>
  <c r="H57" i="1"/>
  <c r="H104" i="1" s="1"/>
  <c r="H806" i="1"/>
  <c r="H211" i="1"/>
  <c r="H224" i="1"/>
  <c r="H277" i="1"/>
  <c r="H320" i="1"/>
  <c r="H353" i="1"/>
  <c r="H749" i="1"/>
  <c r="H757" i="1" s="1"/>
  <c r="H841" i="1"/>
  <c r="H986" i="1"/>
  <c r="H225" i="1"/>
  <c r="H254" i="1"/>
  <c r="H742" i="1"/>
  <c r="H744" i="1" s="1"/>
  <c r="H800" i="1"/>
  <c r="H872" i="1"/>
  <c r="H873" i="1" s="1"/>
  <c r="H874" i="1" s="1"/>
  <c r="H885" i="1"/>
  <c r="H959" i="1"/>
  <c r="H960" i="1" s="1"/>
  <c r="H58" i="1"/>
  <c r="H105" i="1" s="1"/>
  <c r="H213" i="1"/>
  <c r="H354" i="1"/>
  <c r="H442" i="1" s="1"/>
  <c r="H743" i="1"/>
  <c r="H751" i="1"/>
  <c r="H758" i="1" s="1"/>
  <c r="H762" i="1"/>
  <c r="H771" i="1" s="1"/>
  <c r="H773" i="1" s="1"/>
  <c r="H917" i="1"/>
  <c r="H914" i="1" s="1"/>
  <c r="H926" i="1" s="1"/>
  <c r="H948" i="1"/>
  <c r="H1012" i="1"/>
  <c r="H1027" i="1"/>
  <c r="H728" i="1"/>
  <c r="H736" i="1"/>
  <c r="H752" i="1"/>
  <c r="H824" i="1"/>
  <c r="H929" i="1"/>
  <c r="H930" i="1" s="1"/>
  <c r="H1013" i="1"/>
  <c r="H218" i="1"/>
  <c r="H313" i="1"/>
  <c r="H324" i="1"/>
  <c r="H335" i="1"/>
  <c r="H338" i="1" s="1"/>
  <c r="H334" i="1" s="1"/>
  <c r="H346" i="1" s="1"/>
  <c r="H785" i="1"/>
  <c r="H789" i="1" s="1"/>
  <c r="H803" i="1"/>
  <c r="H848" i="1"/>
  <c r="H1053" i="1"/>
  <c r="H53" i="1"/>
  <c r="H100" i="1" s="1"/>
  <c r="H184" i="1"/>
  <c r="H359" i="1" s="1"/>
  <c r="H730" i="1"/>
  <c r="H777" i="1"/>
  <c r="H892" i="1"/>
  <c r="H1054" i="1"/>
  <c r="H326" i="1"/>
  <c r="H778" i="1"/>
  <c r="G284" i="1"/>
  <c r="G285" i="1" s="1"/>
  <c r="G291" i="1"/>
  <c r="G799" i="1"/>
  <c r="G108" i="1"/>
  <c r="G106" i="1"/>
  <c r="G657" i="1"/>
  <c r="G27" i="1"/>
  <c r="G856" i="1"/>
  <c r="G866" i="1" s="1"/>
  <c r="G805" i="1"/>
  <c r="G796" i="1"/>
  <c r="G219" i="1"/>
  <c r="G52" i="1"/>
  <c r="G99" i="1" s="1"/>
  <c r="G763" i="1"/>
  <c r="G772" i="1" s="1"/>
  <c r="G774" i="1" s="1"/>
  <c r="G57" i="1"/>
  <c r="G104" i="1" s="1"/>
  <c r="G240" i="1"/>
  <c r="G237" i="1"/>
  <c r="G214" i="1"/>
  <c r="G235" i="1"/>
  <c r="G236" i="1" s="1"/>
  <c r="G212" i="1"/>
  <c r="G309" i="1"/>
  <c r="G264" i="1"/>
  <c r="G269" i="1" s="1"/>
  <c r="G28" i="1"/>
  <c r="G646" i="1"/>
  <c r="G268" i="1"/>
  <c r="G56" i="1"/>
  <c r="G103" i="1" s="1"/>
  <c r="G166" i="1"/>
  <c r="G172" i="1" s="1"/>
  <c r="G174" i="1" s="1"/>
  <c r="G211" i="1"/>
  <c r="G224" i="1"/>
  <c r="G277" i="1"/>
  <c r="G320" i="1"/>
  <c r="G322" i="1" s="1"/>
  <c r="G353" i="1"/>
  <c r="G749" i="1"/>
  <c r="G757" i="1" s="1"/>
  <c r="G841" i="1"/>
  <c r="G986" i="1"/>
  <c r="G225" i="1"/>
  <c r="G254" i="1"/>
  <c r="G742" i="1"/>
  <c r="G744" i="1" s="1"/>
  <c r="G800" i="1"/>
  <c r="G872" i="1"/>
  <c r="G873" i="1" s="1"/>
  <c r="G874" i="1" s="1"/>
  <c r="G959" i="1"/>
  <c r="G960" i="1" s="1"/>
  <c r="G58" i="1"/>
  <c r="G105" i="1" s="1"/>
  <c r="G213" i="1"/>
  <c r="G354" i="1"/>
  <c r="G442" i="1" s="1"/>
  <c r="G743" i="1"/>
  <c r="G818" i="1" s="1"/>
  <c r="G751" i="1"/>
  <c r="G762" i="1"/>
  <c r="G771" i="1" s="1"/>
  <c r="G773" i="1" s="1"/>
  <c r="G917" i="1"/>
  <c r="G948" i="1"/>
  <c r="G1012" i="1"/>
  <c r="G1027" i="1"/>
  <c r="G752" i="1"/>
  <c r="G824" i="1"/>
  <c r="G929" i="1"/>
  <c r="G930" i="1" s="1"/>
  <c r="G1013" i="1"/>
  <c r="G218" i="1"/>
  <c r="G313" i="1"/>
  <c r="G324" i="1"/>
  <c r="G335" i="1"/>
  <c r="G338" i="1" s="1"/>
  <c r="G334" i="1" s="1"/>
  <c r="G346" i="1" s="1"/>
  <c r="G737" i="1"/>
  <c r="G785" i="1"/>
  <c r="G789" i="1" s="1"/>
  <c r="G803" i="1"/>
  <c r="G848" i="1"/>
  <c r="G1053" i="1"/>
  <c r="G53" i="1"/>
  <c r="G100" i="1" s="1"/>
  <c r="G184" i="1"/>
  <c r="G359" i="1" s="1"/>
  <c r="G777" i="1"/>
  <c r="G892" i="1"/>
  <c r="G1054" i="1"/>
  <c r="G326" i="1"/>
  <c r="G778" i="1"/>
  <c r="H87" i="27"/>
  <c r="H288" i="27"/>
  <c r="H58" i="27" s="1"/>
  <c r="H144" i="27"/>
  <c r="H96" i="27"/>
  <c r="H100" i="27" s="1"/>
  <c r="H110" i="27"/>
  <c r="H145" i="27"/>
  <c r="H286" i="27"/>
  <c r="H137" i="27"/>
  <c r="H146" i="27"/>
  <c r="H147" i="27"/>
  <c r="H39" i="27"/>
  <c r="H205" i="27"/>
  <c r="H206" i="27" s="1"/>
  <c r="H69" i="27"/>
  <c r="H268" i="27"/>
  <c r="H207" i="27"/>
  <c r="H208" i="27" s="1"/>
  <c r="H60" i="27"/>
  <c r="H71" i="27"/>
  <c r="H108" i="27" s="1"/>
  <c r="H107" i="27"/>
  <c r="H45" i="27"/>
  <c r="H209" i="27"/>
  <c r="H210" i="27" s="1"/>
  <c r="H76" i="27"/>
  <c r="G42" i="27"/>
  <c r="G273" i="27"/>
  <c r="G146" i="27"/>
  <c r="G50" i="27"/>
  <c r="G150" i="27"/>
  <c r="G286" i="27"/>
  <c r="G137" i="27"/>
  <c r="G165" i="27"/>
  <c r="G207" i="27"/>
  <c r="G208" i="27" s="1"/>
  <c r="G107" i="27"/>
  <c r="G144" i="27"/>
  <c r="G166" i="27"/>
  <c r="G45" i="27"/>
  <c r="G97" i="27"/>
  <c r="G209" i="27"/>
  <c r="G210" i="27" s="1"/>
  <c r="G96" i="27"/>
  <c r="G100" i="27" s="1"/>
  <c r="G102" i="27" s="1"/>
  <c r="G103" i="27" s="1"/>
  <c r="G86" i="27"/>
  <c r="G158" i="27"/>
  <c r="G164" i="27" s="1"/>
  <c r="G288" i="27"/>
  <c r="G58" i="27" s="1"/>
  <c r="G76" i="27"/>
  <c r="H87" i="26"/>
  <c r="H57" i="26"/>
  <c r="H172" i="26"/>
  <c r="H114" i="26"/>
  <c r="H230" i="26"/>
  <c r="H231" i="26" s="1"/>
  <c r="H299" i="26"/>
  <c r="H171" i="26"/>
  <c r="H228" i="26"/>
  <c r="H229" i="26" s="1"/>
  <c r="H291" i="26"/>
  <c r="H145" i="26"/>
  <c r="H320" i="26" s="1"/>
  <c r="H59" i="26" s="1"/>
  <c r="H88" i="26"/>
  <c r="H47" i="26"/>
  <c r="H110" i="26"/>
  <c r="H155" i="26"/>
  <c r="H287" i="26"/>
  <c r="H297" i="26"/>
  <c r="H143" i="26"/>
  <c r="H168" i="26"/>
  <c r="H175" i="26" s="1"/>
  <c r="H112" i="26"/>
  <c r="H70" i="26"/>
  <c r="H94" i="26" s="1"/>
  <c r="H190" i="26" s="1"/>
  <c r="H92" i="26"/>
  <c r="H186" i="26" s="1"/>
  <c r="H222" i="26"/>
  <c r="H223" i="26" s="1"/>
  <c r="H84" i="26"/>
  <c r="H148" i="26"/>
  <c r="H46" i="26"/>
  <c r="G171" i="26"/>
  <c r="G178" i="26" s="1"/>
  <c r="G113" i="26"/>
  <c r="G228" i="26"/>
  <c r="G229" i="26" s="1"/>
  <c r="G290" i="26"/>
  <c r="G144" i="26"/>
  <c r="G298" i="26"/>
  <c r="G87" i="26"/>
  <c r="G172" i="26"/>
  <c r="G114" i="26"/>
  <c r="G230" i="26"/>
  <c r="G231" i="26" s="1"/>
  <c r="G299" i="26"/>
  <c r="G291" i="26"/>
  <c r="G145" i="26"/>
  <c r="G320" i="26" s="1"/>
  <c r="G59" i="26" s="1"/>
  <c r="G88" i="26"/>
  <c r="G47" i="26"/>
  <c r="G226" i="26"/>
  <c r="G227" i="26" s="1"/>
  <c r="G110" i="26"/>
  <c r="G155" i="26"/>
  <c r="G287" i="26"/>
  <c r="G297" i="26"/>
  <c r="G37" i="26"/>
  <c r="G39" i="26" s="1"/>
  <c r="G141" i="26"/>
  <c r="G168" i="26"/>
  <c r="G175" i="26" s="1"/>
  <c r="G112" i="26"/>
  <c r="G289" i="26"/>
  <c r="G70" i="26"/>
  <c r="G96" i="26" s="1"/>
  <c r="G194" i="26" s="1"/>
  <c r="G92" i="26"/>
  <c r="G186" i="26" s="1"/>
  <c r="G170" i="26"/>
  <c r="G93" i="26"/>
  <c r="G188" i="26" s="1"/>
  <c r="G84" i="26"/>
  <c r="G46" i="26"/>
  <c r="G201" i="20"/>
  <c r="G203" i="20" s="1"/>
  <c r="G205" i="20" s="1"/>
  <c r="G298" i="20"/>
  <c r="H199" i="20"/>
  <c r="H201" i="20" s="1"/>
  <c r="H203" i="20" s="1"/>
  <c r="H205" i="20" s="1"/>
  <c r="H301" i="20"/>
  <c r="H36" i="20"/>
  <c r="G124" i="20"/>
  <c r="G94" i="20"/>
  <c r="G163" i="20" s="1"/>
  <c r="H25" i="20"/>
  <c r="G21" i="20"/>
  <c r="G95" i="20"/>
  <c r="G164" i="20" s="1"/>
  <c r="G301" i="20"/>
  <c r="G151" i="20"/>
  <c r="G305" i="20"/>
  <c r="G152" i="20"/>
  <c r="H47" i="20"/>
  <c r="H49" i="20" s="1"/>
  <c r="H95" i="20"/>
  <c r="H164" i="20" s="1"/>
  <c r="G158" i="20"/>
  <c r="H300" i="20"/>
  <c r="H151" i="20"/>
  <c r="G32" i="20"/>
  <c r="G36" i="20"/>
  <c r="G25" i="20"/>
  <c r="H305" i="20"/>
  <c r="G103" i="20"/>
  <c r="G198" i="20" s="1"/>
  <c r="H105" i="20"/>
  <c r="H202" i="20" s="1"/>
  <c r="H104" i="20"/>
  <c r="H200" i="20" s="1"/>
  <c r="H96" i="20"/>
  <c r="H299" i="20"/>
  <c r="H84" i="20"/>
  <c r="H153" i="20"/>
  <c r="H106" i="20"/>
  <c r="H204" i="20" s="1"/>
  <c r="H307" i="20"/>
  <c r="H97" i="20"/>
  <c r="H120" i="20"/>
  <c r="H152" i="20"/>
  <c r="H297" i="20"/>
  <c r="H98" i="20"/>
  <c r="H121" i="20"/>
  <c r="H238" i="20"/>
  <c r="H239" i="20" s="1"/>
  <c r="H122" i="20"/>
  <c r="H154" i="20"/>
  <c r="H309" i="20"/>
  <c r="H102" i="20"/>
  <c r="H196" i="20" s="1"/>
  <c r="H123" i="20"/>
  <c r="H155" i="20"/>
  <c r="H232" i="20"/>
  <c r="H233" i="20" s="1"/>
  <c r="H240" i="20"/>
  <c r="H241" i="20" s="1"/>
  <c r="H70" i="20"/>
  <c r="H103" i="20"/>
  <c r="H198" i="20" s="1"/>
  <c r="H124" i="20"/>
  <c r="H94" i="20"/>
  <c r="H158" i="20"/>
  <c r="G105" i="20"/>
  <c r="G202" i="20" s="1"/>
  <c r="G104" i="20"/>
  <c r="G200" i="20" s="1"/>
  <c r="G96" i="20"/>
  <c r="G307" i="20"/>
  <c r="G299" i="20"/>
  <c r="G106" i="20"/>
  <c r="G204" i="20" s="1"/>
  <c r="G84" i="20"/>
  <c r="G153" i="20"/>
  <c r="G97" i="20"/>
  <c r="G120" i="20"/>
  <c r="G98" i="20"/>
  <c r="G121" i="20"/>
  <c r="G238" i="20"/>
  <c r="G239" i="20" s="1"/>
  <c r="G122" i="20"/>
  <c r="G154" i="20"/>
  <c r="G309" i="20"/>
  <c r="G102" i="20"/>
  <c r="G196" i="20" s="1"/>
  <c r="G123" i="20"/>
  <c r="G155" i="20"/>
  <c r="G232" i="20"/>
  <c r="G233" i="20" s="1"/>
  <c r="G240" i="20"/>
  <c r="G241" i="20" s="1"/>
  <c r="G47" i="20"/>
  <c r="G49" i="20" s="1"/>
  <c r="G297" i="20"/>
  <c r="G70" i="20"/>
  <c r="G914" i="1" l="1"/>
  <c r="G926" i="1" s="1"/>
  <c r="G458" i="1"/>
  <c r="H173" i="1"/>
  <c r="G791" i="1"/>
  <c r="G784" i="1" s="1"/>
  <c r="G921" i="1" s="1"/>
  <c r="G864" i="1"/>
  <c r="H172" i="1"/>
  <c r="H174" i="1" s="1"/>
  <c r="H781" i="1"/>
  <c r="H782" i="1"/>
  <c r="G931" i="1"/>
  <c r="G932" i="1" s="1"/>
  <c r="G781" i="1"/>
  <c r="G782" i="1"/>
  <c r="G111" i="26"/>
  <c r="H95" i="26"/>
  <c r="H192" i="26" s="1"/>
  <c r="H144" i="26"/>
  <c r="H290" i="26"/>
  <c r="H113" i="26"/>
  <c r="H298" i="26"/>
  <c r="G779" i="1"/>
  <c r="G780" i="1" s="1"/>
  <c r="G865" i="1"/>
  <c r="G857" i="1"/>
  <c r="G858" i="1" s="1"/>
  <c r="G877" i="1" s="1"/>
  <c r="H227" i="1"/>
  <c r="H229" i="1" s="1"/>
  <c r="H93" i="26"/>
  <c r="H188" i="26" s="1"/>
  <c r="H102" i="27"/>
  <c r="H116" i="27" s="1"/>
  <c r="H122" i="27" s="1"/>
  <c r="H129" i="27" s="1"/>
  <c r="H304" i="26"/>
  <c r="G92" i="27"/>
  <c r="G177" i="27" s="1"/>
  <c r="G108" i="27"/>
  <c r="H178" i="26"/>
  <c r="H189" i="26"/>
  <c r="H191" i="26" s="1"/>
  <c r="H193" i="26" s="1"/>
  <c r="H195" i="26" s="1"/>
  <c r="G983" i="1"/>
  <c r="G1011" i="1" s="1"/>
  <c r="G178" i="27"/>
  <c r="G180" i="27" s="1"/>
  <c r="H802" i="1"/>
  <c r="H791" i="1"/>
  <c r="H784" i="1" s="1"/>
  <c r="H921" i="1" s="1"/>
  <c r="H865" i="1"/>
  <c r="H1024" i="1"/>
  <c r="H1052" i="1" s="1"/>
  <c r="G758" i="1"/>
  <c r="G941" i="1" s="1"/>
  <c r="G756" i="1"/>
  <c r="H857" i="1"/>
  <c r="H858" i="1" s="1"/>
  <c r="H859" i="1" s="1"/>
  <c r="H912" i="1" s="1"/>
  <c r="H853" i="1" s="1"/>
  <c r="H925" i="1" s="1"/>
  <c r="H922" i="1" s="1"/>
  <c r="G881" i="1"/>
  <c r="G883" i="1" s="1"/>
  <c r="G741" i="1"/>
  <c r="G747" i="1" s="1"/>
  <c r="G1052" i="1"/>
  <c r="H326" i="20"/>
  <c r="G328" i="20"/>
  <c r="G68" i="20" s="1"/>
  <c r="G110" i="20"/>
  <c r="H646" i="1"/>
  <c r="H801" i="1"/>
  <c r="H825" i="1" s="1"/>
  <c r="H833" i="1" s="1"/>
  <c r="H834" i="1" s="1"/>
  <c r="H826" i="1"/>
  <c r="H457" i="1"/>
  <c r="H458" i="1"/>
  <c r="G808" i="1"/>
  <c r="G820" i="1" s="1"/>
  <c r="H545" i="1"/>
  <c r="H754" i="1"/>
  <c r="H941" i="1"/>
  <c r="H845" i="1"/>
  <c r="H793" i="1" s="1"/>
  <c r="H947" i="1"/>
  <c r="H389" i="1"/>
  <c r="H387" i="1"/>
  <c r="H832" i="1"/>
  <c r="H228" i="1"/>
  <c r="H230" i="1" s="1"/>
  <c r="H356" i="1"/>
  <c r="H861" i="1"/>
  <c r="H737" i="1"/>
  <c r="H864" i="1" s="1"/>
  <c r="H270" i="1"/>
  <c r="H278" i="1"/>
  <c r="H274" i="1" s="1"/>
  <c r="H344" i="1" s="1"/>
  <c r="H659" i="1"/>
  <c r="H358" i="1"/>
  <c r="H29" i="1"/>
  <c r="H444" i="1"/>
  <c r="H461" i="1" s="1"/>
  <c r="H362" i="1"/>
  <c r="H367" i="1" s="1"/>
  <c r="H361" i="1"/>
  <c r="H322" i="1"/>
  <c r="H131" i="1"/>
  <c r="H130" i="1"/>
  <c r="H129" i="1"/>
  <c r="H137" i="1"/>
  <c r="H128" i="1"/>
  <c r="H136" i="1"/>
  <c r="H127" i="1"/>
  <c r="H135" i="1"/>
  <c r="H126" i="1"/>
  <c r="H134" i="1"/>
  <c r="H125" i="1"/>
  <c r="H133" i="1"/>
  <c r="H808" i="1"/>
  <c r="H305" i="1"/>
  <c r="H286" i="1"/>
  <c r="H332" i="1" s="1"/>
  <c r="H280" i="1" s="1"/>
  <c r="H345" i="1" s="1"/>
  <c r="H342" i="1" s="1"/>
  <c r="H951" i="1"/>
  <c r="H952" i="1" s="1"/>
  <c r="H804" i="1"/>
  <c r="H811" i="1" s="1"/>
  <c r="H949" i="1"/>
  <c r="H950" i="1" s="1"/>
  <c r="H931" i="1"/>
  <c r="H932" i="1" s="1"/>
  <c r="H881" i="1"/>
  <c r="H741" i="1"/>
  <c r="H756" i="1"/>
  <c r="H779" i="1"/>
  <c r="H780" i="1" s="1"/>
  <c r="H350" i="1"/>
  <c r="H838" i="1"/>
  <c r="H839" i="1" s="1"/>
  <c r="H816" i="1"/>
  <c r="H851" i="1"/>
  <c r="H847" i="1" s="1"/>
  <c r="H924" i="1" s="1"/>
  <c r="H818" i="1"/>
  <c r="H390" i="1"/>
  <c r="H446" i="1"/>
  <c r="H655" i="1"/>
  <c r="H386" i="1"/>
  <c r="H209" i="1"/>
  <c r="H262" i="1"/>
  <c r="H272" i="1" s="1"/>
  <c r="H250" i="1" s="1"/>
  <c r="H122" i="1"/>
  <c r="H113" i="1"/>
  <c r="H121" i="1"/>
  <c r="H112" i="1"/>
  <c r="H120" i="1"/>
  <c r="H111" i="1"/>
  <c r="H119" i="1"/>
  <c r="H117" i="1"/>
  <c r="H116" i="1"/>
  <c r="H115" i="1"/>
  <c r="H123" i="1"/>
  <c r="H114" i="1"/>
  <c r="G545" i="1"/>
  <c r="G838" i="1"/>
  <c r="G839" i="1" s="1"/>
  <c r="G816" i="1"/>
  <c r="G851" i="1"/>
  <c r="G847" i="1" s="1"/>
  <c r="G924" i="1" s="1"/>
  <c r="G859" i="1"/>
  <c r="G912" i="1" s="1"/>
  <c r="G853" i="1" s="1"/>
  <c r="G925" i="1" s="1"/>
  <c r="G922" i="1" s="1"/>
  <c r="G659" i="1"/>
  <c r="G358" i="1"/>
  <c r="G29" i="1"/>
  <c r="G444" i="1"/>
  <c r="G461" i="1" s="1"/>
  <c r="G362" i="1"/>
  <c r="G367" i="1" s="1"/>
  <c r="G361" i="1"/>
  <c r="G389" i="1"/>
  <c r="G387" i="1"/>
  <c r="G951" i="1"/>
  <c r="G952" i="1" s="1"/>
  <c r="G804" i="1"/>
  <c r="G811" i="1" s="1"/>
  <c r="G949" i="1"/>
  <c r="G950" i="1" s="1"/>
  <c r="G965" i="1"/>
  <c r="G826" i="1"/>
  <c r="G802" i="1"/>
  <c r="G801" i="1"/>
  <c r="G832" i="1"/>
  <c r="G270" i="1"/>
  <c r="G278" i="1"/>
  <c r="G274" i="1" s="1"/>
  <c r="G344" i="1" s="1"/>
  <c r="G131" i="1"/>
  <c r="G130" i="1"/>
  <c r="G129" i="1"/>
  <c r="G137" i="1"/>
  <c r="G128" i="1"/>
  <c r="G136" i="1"/>
  <c r="G127" i="1"/>
  <c r="G135" i="1"/>
  <c r="G126" i="1"/>
  <c r="G134" i="1"/>
  <c r="G125" i="1"/>
  <c r="G133" i="1"/>
  <c r="G868" i="1"/>
  <c r="G862" i="1"/>
  <c r="G867" i="1" s="1"/>
  <c r="G305" i="1"/>
  <c r="G286" i="1"/>
  <c r="G332" i="1" s="1"/>
  <c r="G280" i="1" s="1"/>
  <c r="G345" i="1" s="1"/>
  <c r="G342" i="1" s="1"/>
  <c r="G350" i="1"/>
  <c r="G122" i="1"/>
  <c r="G113" i="1"/>
  <c r="G121" i="1"/>
  <c r="G112" i="1"/>
  <c r="G120" i="1"/>
  <c r="G111" i="1"/>
  <c r="G119" i="1"/>
  <c r="G117" i="1"/>
  <c r="G116" i="1"/>
  <c r="G115" i="1"/>
  <c r="G123" i="1"/>
  <c r="G114" i="1"/>
  <c r="G227" i="1"/>
  <c r="G229" i="1" s="1"/>
  <c r="G209" i="1"/>
  <c r="G262" i="1"/>
  <c r="G272" i="1" s="1"/>
  <c r="G250" i="1" s="1"/>
  <c r="G228" i="1"/>
  <c r="G230" i="1" s="1"/>
  <c r="G390" i="1"/>
  <c r="G446" i="1"/>
  <c r="G655" i="1"/>
  <c r="G386" i="1"/>
  <c r="G356" i="1"/>
  <c r="G311" i="1"/>
  <c r="H73" i="27"/>
  <c r="H174" i="27"/>
  <c r="H176" i="27" s="1"/>
  <c r="H178" i="27" s="1"/>
  <c r="H180" i="27" s="1"/>
  <c r="H166" i="27"/>
  <c r="H165" i="27"/>
  <c r="H93" i="27"/>
  <c r="H164" i="27"/>
  <c r="H92" i="27"/>
  <c r="H115" i="27" s="1"/>
  <c r="H121" i="27" s="1"/>
  <c r="H128" i="27" s="1"/>
  <c r="H91" i="27"/>
  <c r="H284" i="27"/>
  <c r="H65" i="27" s="1"/>
  <c r="H52" i="27"/>
  <c r="H113" i="27"/>
  <c r="H119" i="27" s="1"/>
  <c r="H48" i="27"/>
  <c r="H274" i="27"/>
  <c r="H57" i="27"/>
  <c r="H203" i="27"/>
  <c r="H204" i="27" s="1"/>
  <c r="H157" i="27"/>
  <c r="H163" i="27" s="1"/>
  <c r="H139" i="27"/>
  <c r="H280" i="27" s="1"/>
  <c r="H63" i="27" s="1"/>
  <c r="H150" i="27"/>
  <c r="H151" i="27" s="1"/>
  <c r="H50" i="27"/>
  <c r="G203" i="27"/>
  <c r="G204" i="27" s="1"/>
  <c r="G157" i="27"/>
  <c r="G163" i="27" s="1"/>
  <c r="G139" i="27"/>
  <c r="G280" i="27" s="1"/>
  <c r="G63" i="27" s="1"/>
  <c r="G98" i="27"/>
  <c r="G113" i="27"/>
  <c r="G119" i="27" s="1"/>
  <c r="G48" i="27"/>
  <c r="G115" i="27"/>
  <c r="G121" i="27" s="1"/>
  <c r="G114" i="27"/>
  <c r="G120" i="27" s="1"/>
  <c r="G127" i="27" s="1"/>
  <c r="G116" i="27"/>
  <c r="G122" i="27" s="1"/>
  <c r="G129" i="27" s="1"/>
  <c r="G284" i="27"/>
  <c r="G65" i="27" s="1"/>
  <c r="G52" i="27"/>
  <c r="G128" i="27"/>
  <c r="G274" i="27"/>
  <c r="G275" i="27" s="1"/>
  <c r="G56" i="27" s="1"/>
  <c r="G57" i="27"/>
  <c r="G147" i="27"/>
  <c r="G99" i="27"/>
  <c r="G151" i="27"/>
  <c r="H153" i="26"/>
  <c r="H318" i="26"/>
  <c r="H58" i="26" s="1"/>
  <c r="H99" i="26"/>
  <c r="H102" i="26"/>
  <c r="H156" i="26"/>
  <c r="H101" i="26"/>
  <c r="H157" i="26"/>
  <c r="H85" i="26"/>
  <c r="H89" i="26" s="1"/>
  <c r="H96" i="26"/>
  <c r="H194" i="26" s="1"/>
  <c r="H296" i="26"/>
  <c r="H300" i="26" s="1"/>
  <c r="H55" i="26" s="1"/>
  <c r="H288" i="26"/>
  <c r="H142" i="26"/>
  <c r="H74" i="26"/>
  <c r="H292" i="26"/>
  <c r="H54" i="26" s="1"/>
  <c r="H179" i="26"/>
  <c r="H177" i="26"/>
  <c r="H111" i="26"/>
  <c r="G95" i="26"/>
  <c r="G192" i="26" s="1"/>
  <c r="G115" i="26"/>
  <c r="G85" i="26"/>
  <c r="G288" i="26"/>
  <c r="G292" i="26" s="1"/>
  <c r="G54" i="26" s="1"/>
  <c r="G296" i="26"/>
  <c r="G300" i="26" s="1"/>
  <c r="G55" i="26" s="1"/>
  <c r="G142" i="26"/>
  <c r="G146" i="26" s="1"/>
  <c r="G74" i="26"/>
  <c r="G179" i="26"/>
  <c r="G156" i="26"/>
  <c r="G189" i="26"/>
  <c r="G191" i="26" s="1"/>
  <c r="G193" i="26" s="1"/>
  <c r="G195" i="26" s="1"/>
  <c r="G316" i="26"/>
  <c r="G94" i="26"/>
  <c r="G103" i="26"/>
  <c r="G157" i="26"/>
  <c r="G153" i="26"/>
  <c r="G318" i="26"/>
  <c r="G58" i="26" s="1"/>
  <c r="G99" i="26"/>
  <c r="G177" i="26"/>
  <c r="H156" i="20"/>
  <c r="H62" i="20" s="1"/>
  <c r="H330" i="20"/>
  <c r="H69" i="20" s="1"/>
  <c r="G310" i="20"/>
  <c r="G65" i="20" s="1"/>
  <c r="G330" i="20"/>
  <c r="G69" i="20" s="1"/>
  <c r="G156" i="20"/>
  <c r="G62" i="20" s="1"/>
  <c r="H310" i="20"/>
  <c r="H65" i="20" s="1"/>
  <c r="G326" i="20"/>
  <c r="G67" i="20" s="1"/>
  <c r="H112" i="20"/>
  <c r="H166" i="20"/>
  <c r="H110" i="20"/>
  <c r="H125" i="20"/>
  <c r="H313" i="20"/>
  <c r="H52" i="20"/>
  <c r="H302" i="20"/>
  <c r="H64" i="20" s="1"/>
  <c r="H111" i="20"/>
  <c r="H165" i="20"/>
  <c r="H314" i="20"/>
  <c r="H67" i="20"/>
  <c r="H113" i="20"/>
  <c r="H167" i="20"/>
  <c r="H163" i="20"/>
  <c r="H328" i="20"/>
  <c r="H68" i="20" s="1"/>
  <c r="H99" i="20"/>
  <c r="H109" i="20"/>
  <c r="G112" i="20"/>
  <c r="G166" i="20"/>
  <c r="G125" i="20"/>
  <c r="G313" i="20"/>
  <c r="G52" i="20"/>
  <c r="G113" i="20"/>
  <c r="G167" i="20"/>
  <c r="G99" i="20"/>
  <c r="G165" i="20"/>
  <c r="G111" i="20"/>
  <c r="G302" i="20"/>
  <c r="G64" i="20" s="1"/>
  <c r="G109" i="20"/>
  <c r="E723" i="1"/>
  <c r="F723" i="1"/>
  <c r="E724" i="1"/>
  <c r="F724" i="1"/>
  <c r="F1051" i="1"/>
  <c r="F1049" i="1"/>
  <c r="F1042" i="1"/>
  <c r="F1040" i="1"/>
  <c r="F1039" i="1"/>
  <c r="F1023" i="1"/>
  <c r="F1021" i="1"/>
  <c r="F1022" i="1" s="1"/>
  <c r="F1010" i="1"/>
  <c r="F1008" i="1"/>
  <c r="F1001" i="1"/>
  <c r="F999" i="1"/>
  <c r="F998" i="1"/>
  <c r="F989" i="1"/>
  <c r="F982" i="1"/>
  <c r="F980" i="1"/>
  <c r="F981" i="1" s="1"/>
  <c r="F955" i="1"/>
  <c r="F940" i="1"/>
  <c r="F915" i="1"/>
  <c r="F906" i="1"/>
  <c r="F904" i="1"/>
  <c r="F900" i="1"/>
  <c r="F898" i="1"/>
  <c r="F896" i="1"/>
  <c r="F887" i="1"/>
  <c r="F824" i="1"/>
  <c r="F786" i="1"/>
  <c r="F769" i="1"/>
  <c r="F768" i="1"/>
  <c r="F766" i="1"/>
  <c r="F765" i="1"/>
  <c r="F745" i="1"/>
  <c r="F739" i="1"/>
  <c r="F735" i="1"/>
  <c r="F734" i="1"/>
  <c r="F795" i="1" s="1"/>
  <c r="F729" i="1"/>
  <c r="F731" i="1" s="1"/>
  <c r="F722" i="1"/>
  <c r="F856" i="1" s="1"/>
  <c r="F721" i="1"/>
  <c r="F855" i="1" s="1"/>
  <c r="F865" i="1" s="1"/>
  <c r="F720" i="1"/>
  <c r="F1030" i="1" s="1"/>
  <c r="F719" i="1"/>
  <c r="F718" i="1"/>
  <c r="F948" i="1" s="1"/>
  <c r="F717" i="1"/>
  <c r="F933" i="1" s="1"/>
  <c r="F934" i="1" s="1"/>
  <c r="F800" i="1"/>
  <c r="F725" i="1"/>
  <c r="F579" i="1"/>
  <c r="F552" i="1"/>
  <c r="F523" i="1"/>
  <c r="F515" i="1"/>
  <c r="F514" i="1"/>
  <c r="F501" i="1"/>
  <c r="F500" i="1"/>
  <c r="F475" i="1"/>
  <c r="F473" i="1"/>
  <c r="F472" i="1"/>
  <c r="F471" i="1"/>
  <c r="F641" i="1" s="1"/>
  <c r="F470" i="1"/>
  <c r="F652" i="1" s="1"/>
  <c r="F253" i="1"/>
  <c r="F246" i="1"/>
  <c r="F245" i="1"/>
  <c r="F234" i="1"/>
  <c r="F233" i="1"/>
  <c r="F208" i="1"/>
  <c r="F207" i="1"/>
  <c r="F206" i="1"/>
  <c r="F205" i="1"/>
  <c r="F204" i="1"/>
  <c r="F310" i="1" s="1"/>
  <c r="F203" i="1"/>
  <c r="F321" i="1" s="1"/>
  <c r="F202" i="1"/>
  <c r="F201" i="1"/>
  <c r="F320" i="1" s="1"/>
  <c r="F199" i="1"/>
  <c r="F198" i="1"/>
  <c r="F197" i="1"/>
  <c r="F709" i="1" s="1"/>
  <c r="F733" i="1" s="1"/>
  <c r="F196" i="1"/>
  <c r="F195" i="1"/>
  <c r="F194" i="1"/>
  <c r="F193" i="1"/>
  <c r="F192" i="1"/>
  <c r="F254" i="1" s="1"/>
  <c r="F191" i="1"/>
  <c r="F190" i="1"/>
  <c r="F189" i="1"/>
  <c r="F188" i="1"/>
  <c r="F282" i="1" s="1"/>
  <c r="F291" i="1" s="1"/>
  <c r="F187" i="1"/>
  <c r="F186" i="1"/>
  <c r="F258" i="1" s="1"/>
  <c r="F185" i="1"/>
  <c r="F225" i="1" s="1"/>
  <c r="F183" i="1"/>
  <c r="F182" i="1"/>
  <c r="F181" i="1"/>
  <c r="F324" i="1" s="1"/>
  <c r="F180" i="1"/>
  <c r="F179" i="1"/>
  <c r="F337" i="1" s="1"/>
  <c r="F159" i="1"/>
  <c r="F170" i="1" s="1"/>
  <c r="F158" i="1"/>
  <c r="F153" i="1"/>
  <c r="F152" i="1"/>
  <c r="F151" i="1"/>
  <c r="F149" i="1"/>
  <c r="F96" i="1"/>
  <c r="F95" i="1"/>
  <c r="F94" i="1"/>
  <c r="F93" i="1"/>
  <c r="F92" i="1"/>
  <c r="F91" i="1"/>
  <c r="F90" i="1"/>
  <c r="F89" i="1"/>
  <c r="F88" i="1"/>
  <c r="F87" i="1"/>
  <c r="F78" i="1"/>
  <c r="F77" i="1"/>
  <c r="F76" i="1"/>
  <c r="F75" i="1"/>
  <c r="F74" i="1"/>
  <c r="F73" i="1"/>
  <c r="F72" i="1"/>
  <c r="F71" i="1"/>
  <c r="F70" i="1"/>
  <c r="F69" i="1"/>
  <c r="F51" i="1"/>
  <c r="F50" i="1"/>
  <c r="F60" i="1" s="1"/>
  <c r="F49" i="1"/>
  <c r="F54" i="1" s="1"/>
  <c r="F48" i="1"/>
  <c r="F46" i="1"/>
  <c r="F47" i="1" s="1"/>
  <c r="F52" i="1" s="1"/>
  <c r="F6" i="1"/>
  <c r="E1051" i="1"/>
  <c r="E1049" i="1"/>
  <c r="E1042" i="1"/>
  <c r="E1040" i="1"/>
  <c r="E1039" i="1"/>
  <c r="E1023" i="1"/>
  <c r="E1010" i="1"/>
  <c r="E1008" i="1"/>
  <c r="E1001" i="1"/>
  <c r="E999" i="1"/>
  <c r="E998" i="1"/>
  <c r="E989" i="1"/>
  <c r="E982" i="1"/>
  <c r="E955" i="1"/>
  <c r="E940" i="1"/>
  <c r="E906" i="1"/>
  <c r="E904" i="1"/>
  <c r="E900" i="1"/>
  <c r="E898" i="1"/>
  <c r="E896" i="1"/>
  <c r="E887" i="1"/>
  <c r="E800" i="1"/>
  <c r="E786" i="1"/>
  <c r="E769" i="1"/>
  <c r="E768" i="1"/>
  <c r="E766" i="1"/>
  <c r="E765" i="1"/>
  <c r="E745" i="1"/>
  <c r="E739" i="1"/>
  <c r="E735" i="1"/>
  <c r="E734" i="1"/>
  <c r="E824" i="1"/>
  <c r="E579" i="1"/>
  <c r="E552" i="1"/>
  <c r="E523" i="1"/>
  <c r="E515" i="1"/>
  <c r="E514" i="1"/>
  <c r="E501" i="1"/>
  <c r="E500" i="1"/>
  <c r="E475" i="1"/>
  <c r="E473" i="1"/>
  <c r="E472" i="1"/>
  <c r="E471" i="1"/>
  <c r="E641" i="1" s="1"/>
  <c r="E470" i="1"/>
  <c r="E652" i="1" s="1"/>
  <c r="E253" i="1"/>
  <c r="E246" i="1"/>
  <c r="E245" i="1"/>
  <c r="E234" i="1"/>
  <c r="E233" i="1"/>
  <c r="E208" i="1"/>
  <c r="E207" i="1"/>
  <c r="E206" i="1"/>
  <c r="E205" i="1"/>
  <c r="E204" i="1"/>
  <c r="E310" i="1" s="1"/>
  <c r="E203" i="1"/>
  <c r="E321" i="1" s="1"/>
  <c r="E202" i="1"/>
  <c r="E235" i="1" s="1"/>
  <c r="E201" i="1"/>
  <c r="E320" i="1" s="1"/>
  <c r="E199" i="1"/>
  <c r="E198" i="1"/>
  <c r="E197" i="1"/>
  <c r="E709" i="1" s="1"/>
  <c r="E196" i="1"/>
  <c r="E195" i="1"/>
  <c r="E194" i="1"/>
  <c r="E193" i="1"/>
  <c r="E192" i="1"/>
  <c r="E254" i="1" s="1"/>
  <c r="E209" i="1" s="1"/>
  <c r="E191" i="1"/>
  <c r="E190" i="1"/>
  <c r="E189" i="1"/>
  <c r="E188" i="1"/>
  <c r="E282" i="1" s="1"/>
  <c r="E291" i="1" s="1"/>
  <c r="E187" i="1"/>
  <c r="E186" i="1"/>
  <c r="E258" i="1" s="1"/>
  <c r="E185" i="1"/>
  <c r="E225" i="1" s="1"/>
  <c r="E183" i="1"/>
  <c r="E353" i="1" s="1"/>
  <c r="E182" i="1"/>
  <c r="E351" i="1" s="1"/>
  <c r="E181" i="1"/>
  <c r="E354" i="1" s="1"/>
  <c r="E180" i="1"/>
  <c r="E179" i="1"/>
  <c r="E337" i="1" s="1"/>
  <c r="E159" i="1"/>
  <c r="E167" i="1" s="1"/>
  <c r="E158" i="1"/>
  <c r="E169" i="1" s="1"/>
  <c r="E153" i="1"/>
  <c r="E152" i="1"/>
  <c r="E151" i="1"/>
  <c r="E149" i="1"/>
  <c r="E96" i="1"/>
  <c r="E95" i="1"/>
  <c r="E94" i="1"/>
  <c r="E93" i="1"/>
  <c r="E92" i="1"/>
  <c r="E91" i="1"/>
  <c r="E90" i="1"/>
  <c r="E89" i="1"/>
  <c r="E88" i="1"/>
  <c r="E87" i="1"/>
  <c r="E78" i="1"/>
  <c r="E77" i="1"/>
  <c r="E76" i="1"/>
  <c r="E75" i="1"/>
  <c r="E74" i="1"/>
  <c r="E73" i="1"/>
  <c r="E72" i="1"/>
  <c r="E71" i="1"/>
  <c r="E70" i="1"/>
  <c r="E69" i="1"/>
  <c r="E51" i="1"/>
  <c r="E61" i="1" s="1"/>
  <c r="E50" i="1"/>
  <c r="E49" i="1"/>
  <c r="E59" i="1" s="1"/>
  <c r="E48" i="1"/>
  <c r="E58" i="1" s="1"/>
  <c r="E46" i="1"/>
  <c r="E47" i="1" s="1"/>
  <c r="E6" i="1"/>
  <c r="F269" i="27"/>
  <c r="F267" i="27"/>
  <c r="F261" i="27"/>
  <c r="F259" i="27"/>
  <c r="F136" i="27"/>
  <c r="F290" i="27" s="1"/>
  <c r="F59" i="27" s="1"/>
  <c r="F134" i="27"/>
  <c r="F79" i="27"/>
  <c r="F78" i="27"/>
  <c r="F207" i="27" s="1"/>
  <c r="F208" i="27" s="1"/>
  <c r="F77" i="27"/>
  <c r="F72" i="27"/>
  <c r="F70" i="27"/>
  <c r="F47" i="27"/>
  <c r="F46" i="27"/>
  <c r="F43" i="27"/>
  <c r="F38" i="27"/>
  <c r="F86" i="27" s="1"/>
  <c r="F36" i="27"/>
  <c r="F84" i="27" s="1"/>
  <c r="F35" i="27"/>
  <c r="F260" i="27" s="1"/>
  <c r="F25" i="27"/>
  <c r="F90" i="27" s="1"/>
  <c r="F173" i="27" s="1"/>
  <c r="F24" i="27"/>
  <c r="F23" i="27"/>
  <c r="F22" i="27"/>
  <c r="F21" i="27"/>
  <c r="F20" i="27"/>
  <c r="F19" i="27"/>
  <c r="F106" i="27" s="1"/>
  <c r="F18" i="27"/>
  <c r="F17" i="27"/>
  <c r="F16" i="27"/>
  <c r="F258" i="27" s="1"/>
  <c r="F262" i="27" s="1"/>
  <c r="F54" i="27" s="1"/>
  <c r="F15" i="27"/>
  <c r="F133" i="27" s="1"/>
  <c r="F14" i="27"/>
  <c r="F13" i="27"/>
  <c r="F12" i="27"/>
  <c r="F11" i="27"/>
  <c r="F45" i="27" s="1"/>
  <c r="F10" i="27"/>
  <c r="F83" i="27" s="1"/>
  <c r="E269" i="27"/>
  <c r="E267" i="27"/>
  <c r="E261" i="27"/>
  <c r="E259" i="27"/>
  <c r="E136" i="27"/>
  <c r="E290" i="27" s="1"/>
  <c r="E59" i="27" s="1"/>
  <c r="E134" i="27"/>
  <c r="E79" i="27"/>
  <c r="E78" i="27"/>
  <c r="E77" i="27"/>
  <c r="E205" i="27" s="1"/>
  <c r="E206" i="27" s="1"/>
  <c r="E72" i="27"/>
  <c r="E70" i="27"/>
  <c r="E47" i="27"/>
  <c r="E46" i="27"/>
  <c r="E43" i="27"/>
  <c r="E38" i="27"/>
  <c r="E86" i="27" s="1"/>
  <c r="E36" i="27"/>
  <c r="E84" i="27" s="1"/>
  <c r="E35" i="27"/>
  <c r="E260" i="27" s="1"/>
  <c r="E25" i="27"/>
  <c r="E90" i="27" s="1"/>
  <c r="E173" i="27" s="1"/>
  <c r="E24" i="27"/>
  <c r="E23" i="27"/>
  <c r="E22" i="27"/>
  <c r="E21" i="27"/>
  <c r="E20" i="27"/>
  <c r="E19" i="27"/>
  <c r="E106" i="27" s="1"/>
  <c r="E18" i="27"/>
  <c r="E17" i="27"/>
  <c r="E16" i="27"/>
  <c r="E258" i="27" s="1"/>
  <c r="E262" i="27" s="1"/>
  <c r="E54" i="27" s="1"/>
  <c r="E15" i="27"/>
  <c r="E133" i="27" s="1"/>
  <c r="E14" i="27"/>
  <c r="E13" i="27"/>
  <c r="E12" i="27"/>
  <c r="E11" i="27"/>
  <c r="E45" i="27" s="1"/>
  <c r="E10" i="27"/>
  <c r="E83" i="27" s="1"/>
  <c r="F79" i="26"/>
  <c r="F170" i="26" s="1"/>
  <c r="F78" i="26"/>
  <c r="F224" i="26" s="1"/>
  <c r="F225" i="26" s="1"/>
  <c r="F77" i="26"/>
  <c r="F71" i="26"/>
  <c r="F69" i="26"/>
  <c r="F187" i="26" s="1"/>
  <c r="F45" i="26"/>
  <c r="F44" i="26"/>
  <c r="F43" i="26"/>
  <c r="F38" i="26"/>
  <c r="F36" i="26"/>
  <c r="F35" i="26"/>
  <c r="F60" i="26" s="1"/>
  <c r="F73" i="26"/>
  <c r="F80" i="26"/>
  <c r="F47" i="26"/>
  <c r="E79" i="26"/>
  <c r="E78" i="26"/>
  <c r="E224" i="26" s="1"/>
  <c r="E225" i="26" s="1"/>
  <c r="E77" i="26"/>
  <c r="E71" i="26"/>
  <c r="E143" i="26" s="1"/>
  <c r="E69" i="26"/>
  <c r="E187" i="26" s="1"/>
  <c r="E45" i="26"/>
  <c r="E44" i="26"/>
  <c r="E43" i="26"/>
  <c r="E38" i="26"/>
  <c r="E36" i="26"/>
  <c r="E35" i="26"/>
  <c r="E60" i="26" s="1"/>
  <c r="E73" i="26"/>
  <c r="E80" i="26"/>
  <c r="E81" i="26"/>
  <c r="F91" i="20"/>
  <c r="F90" i="20"/>
  <c r="F308" i="20" s="1"/>
  <c r="F89" i="20"/>
  <c r="F88" i="20"/>
  <c r="F87" i="20"/>
  <c r="F83" i="20"/>
  <c r="F82" i="20"/>
  <c r="F80" i="20"/>
  <c r="F79" i="20"/>
  <c r="F57" i="20"/>
  <c r="F56" i="20"/>
  <c r="F55" i="20"/>
  <c r="F54" i="20"/>
  <c r="F53" i="20"/>
  <c r="F48" i="20"/>
  <c r="F46" i="20"/>
  <c r="F45" i="20"/>
  <c r="F81" i="20" s="1"/>
  <c r="F35" i="20"/>
  <c r="F34" i="20"/>
  <c r="F33" i="20"/>
  <c r="F31" i="20"/>
  <c r="F30" i="20"/>
  <c r="F29" i="20"/>
  <c r="F28" i="20"/>
  <c r="F24" i="20"/>
  <c r="F23" i="20"/>
  <c r="F22" i="20"/>
  <c r="F20" i="20"/>
  <c r="F19" i="20"/>
  <c r="F18" i="20"/>
  <c r="F17" i="20"/>
  <c r="E91" i="20"/>
  <c r="E90" i="20"/>
  <c r="E89" i="20"/>
  <c r="E88" i="20"/>
  <c r="E87" i="20"/>
  <c r="E83" i="20"/>
  <c r="E82" i="20"/>
  <c r="E80" i="20"/>
  <c r="E79" i="20"/>
  <c r="E197" i="20" s="1"/>
  <c r="E57" i="20"/>
  <c r="E56" i="20"/>
  <c r="E55" i="20"/>
  <c r="E54" i="20"/>
  <c r="E53" i="20"/>
  <c r="E48" i="20"/>
  <c r="E46" i="20"/>
  <c r="E45" i="20"/>
  <c r="E81" i="20" s="1"/>
  <c r="E35" i="20"/>
  <c r="E34" i="20"/>
  <c r="E33" i="20"/>
  <c r="E31" i="20"/>
  <c r="E30" i="20"/>
  <c r="E29" i="20"/>
  <c r="E28" i="20"/>
  <c r="E24" i="20"/>
  <c r="E23" i="20"/>
  <c r="E22" i="20"/>
  <c r="E20" i="20"/>
  <c r="E19" i="20"/>
  <c r="E18" i="20"/>
  <c r="E17" i="20"/>
  <c r="D47" i="27"/>
  <c r="D46" i="27"/>
  <c r="D78" i="27"/>
  <c r="D77" i="27"/>
  <c r="D25" i="27"/>
  <c r="H776" i="1" l="1"/>
  <c r="F732" i="1"/>
  <c r="F798" i="1" s="1"/>
  <c r="F822" i="1" s="1"/>
  <c r="F823" i="1" s="1"/>
  <c r="F829" i="1" s="1"/>
  <c r="F841" i="1" s="1"/>
  <c r="G776" i="1"/>
  <c r="H146" i="26"/>
  <c r="H115" i="26"/>
  <c r="G102" i="26"/>
  <c r="G142" i="1" a="1"/>
  <c r="G142" i="1" s="1"/>
  <c r="G145" i="1" s="1"/>
  <c r="G150" i="1" s="1"/>
  <c r="G990" i="1" s="1"/>
  <c r="G992" i="1" s="1"/>
  <c r="F69" i="27"/>
  <c r="F174" i="27" s="1"/>
  <c r="F176" i="27" s="1"/>
  <c r="F44" i="27"/>
  <c r="G140" i="1" a="1"/>
  <c r="G140" i="1" s="1"/>
  <c r="F295" i="26"/>
  <c r="H320" i="20"/>
  <c r="H73" i="20" s="1"/>
  <c r="H103" i="26"/>
  <c r="E238" i="20"/>
  <c r="E239" i="20" s="1"/>
  <c r="E308" i="20"/>
  <c r="F306" i="20"/>
  <c r="G947" i="1"/>
  <c r="E306" i="20"/>
  <c r="G845" i="1"/>
  <c r="G793" i="1" s="1"/>
  <c r="E69" i="27"/>
  <c r="E44" i="27"/>
  <c r="G754" i="1"/>
  <c r="G750" i="1"/>
  <c r="G836" i="1" s="1"/>
  <c r="G815" i="1"/>
  <c r="G827" i="1"/>
  <c r="G837" i="1" s="1"/>
  <c r="H877" i="1"/>
  <c r="H884" i="1" s="1"/>
  <c r="H886" i="1" s="1"/>
  <c r="H888" i="1" s="1"/>
  <c r="H812" i="1"/>
  <c r="H753" i="1"/>
  <c r="H966" i="1" s="1"/>
  <c r="H141" i="1" a="1"/>
  <c r="H141" i="1" s="1"/>
  <c r="H144" i="1" s="1"/>
  <c r="H148" i="1" s="1"/>
  <c r="H984" i="1" s="1"/>
  <c r="H831" i="1"/>
  <c r="H862" i="1"/>
  <c r="H863" i="1" s="1"/>
  <c r="H883" i="1"/>
  <c r="H396" i="1"/>
  <c r="H139" i="1" a="1"/>
  <c r="H139" i="1" s="1"/>
  <c r="H312" i="1"/>
  <c r="H314" i="1" s="1"/>
  <c r="H316" i="1" s="1"/>
  <c r="H323" i="1"/>
  <c r="H325" i="1" s="1"/>
  <c r="H327" i="1" s="1"/>
  <c r="H810" i="1"/>
  <c r="H820" i="1"/>
  <c r="H365" i="1"/>
  <c r="H370" i="1" s="1"/>
  <c r="H364" i="1"/>
  <c r="H369" i="1" s="1"/>
  <c r="H355" i="1"/>
  <c r="H465" i="1"/>
  <c r="H462" i="1" s="1"/>
  <c r="H464" i="1"/>
  <c r="H142" i="1" a="1"/>
  <c r="H142" i="1" s="1"/>
  <c r="H145" i="1" s="1"/>
  <c r="H150" i="1" s="1"/>
  <c r="H366" i="1"/>
  <c r="H397" i="1"/>
  <c r="H140" i="1" a="1"/>
  <c r="H140" i="1" s="1"/>
  <c r="H827" i="1"/>
  <c r="H837" i="1" s="1"/>
  <c r="H747" i="1"/>
  <c r="H815" i="1"/>
  <c r="H750" i="1"/>
  <c r="H868" i="1"/>
  <c r="G863" i="1"/>
  <c r="G870" i="1" s="1"/>
  <c r="G366" i="1"/>
  <c r="G397" i="1"/>
  <c r="G825" i="1"/>
  <c r="G753" i="1"/>
  <c r="G966" i="1" s="1"/>
  <c r="G893" i="1"/>
  <c r="G755" i="1"/>
  <c r="G365" i="1"/>
  <c r="G370" i="1" s="1"/>
  <c r="G364" i="1"/>
  <c r="G369" i="1" s="1"/>
  <c r="G355" i="1"/>
  <c r="G465" i="1"/>
  <c r="G462" i="1" s="1"/>
  <c r="G464" i="1"/>
  <c r="G141" i="1" a="1"/>
  <c r="G141" i="1" s="1"/>
  <c r="G144" i="1" s="1"/>
  <c r="G148" i="1" s="1"/>
  <c r="G884" i="1"/>
  <c r="G886" i="1" s="1"/>
  <c r="G888" i="1" s="1"/>
  <c r="G139" i="1" a="1"/>
  <c r="G139" i="1" s="1"/>
  <c r="G812" i="1"/>
  <c r="G396" i="1"/>
  <c r="G323" i="1"/>
  <c r="G325" i="1" s="1"/>
  <c r="G327" i="1" s="1"/>
  <c r="G312" i="1"/>
  <c r="G314" i="1" s="1"/>
  <c r="G316" i="1" s="1"/>
  <c r="G810" i="1"/>
  <c r="F300" i="20"/>
  <c r="H175" i="27"/>
  <c r="H97" i="27"/>
  <c r="H177" i="27"/>
  <c r="H98" i="27"/>
  <c r="H123" i="27"/>
  <c r="H126" i="27"/>
  <c r="H130" i="27" s="1"/>
  <c r="H179" i="27"/>
  <c r="H99" i="27"/>
  <c r="H168" i="27"/>
  <c r="H152" i="27"/>
  <c r="H153" i="27" s="1"/>
  <c r="H154" i="27" s="1"/>
  <c r="H114" i="27"/>
  <c r="H120" i="27" s="1"/>
  <c r="H127" i="27" s="1"/>
  <c r="H169" i="27"/>
  <c r="H273" i="27"/>
  <c r="H275" i="27" s="1"/>
  <c r="H56" i="27" s="1"/>
  <c r="H103" i="27"/>
  <c r="H42" i="27"/>
  <c r="G126" i="27"/>
  <c r="G130" i="27" s="1"/>
  <c r="G123" i="27"/>
  <c r="G152" i="27"/>
  <c r="G153" i="27" s="1"/>
  <c r="G154" i="27" s="1"/>
  <c r="G168" i="27"/>
  <c r="H52" i="26"/>
  <c r="H314" i="26"/>
  <c r="H65" i="26" s="1"/>
  <c r="H310" i="26"/>
  <c r="H63" i="26" s="1"/>
  <c r="H160" i="26"/>
  <c r="H161" i="26" s="1"/>
  <c r="H50" i="26"/>
  <c r="H303" i="26"/>
  <c r="H305" i="26" s="1"/>
  <c r="H56" i="26" s="1"/>
  <c r="H42" i="26"/>
  <c r="H154" i="26"/>
  <c r="H100" i="26"/>
  <c r="H104" i="26" s="1"/>
  <c r="H106" i="26" s="1"/>
  <c r="G304" i="26"/>
  <c r="G57" i="26"/>
  <c r="G100" i="26"/>
  <c r="G104" i="26" s="1"/>
  <c r="G154" i="26"/>
  <c r="G89" i="26"/>
  <c r="G314" i="26" s="1"/>
  <c r="G65" i="26" s="1"/>
  <c r="G190" i="26"/>
  <c r="G101" i="26"/>
  <c r="G303" i="26"/>
  <c r="G42" i="26"/>
  <c r="G52" i="26"/>
  <c r="G310" i="26"/>
  <c r="G63" i="26" s="1"/>
  <c r="G314" i="20"/>
  <c r="G324" i="20"/>
  <c r="G75" i="20" s="1"/>
  <c r="G320" i="20"/>
  <c r="G73" i="20" s="1"/>
  <c r="H315" i="20"/>
  <c r="H66" i="20" s="1"/>
  <c r="H114" i="20"/>
  <c r="H116" i="20" s="1"/>
  <c r="H170" i="20"/>
  <c r="H60" i="20"/>
  <c r="H324" i="20"/>
  <c r="H75" i="20" s="1"/>
  <c r="G315" i="20"/>
  <c r="G66" i="20" s="1"/>
  <c r="G170" i="20"/>
  <c r="G60" i="20"/>
  <c r="G114" i="20"/>
  <c r="G116" i="20" s="1"/>
  <c r="F21" i="20"/>
  <c r="F124" i="20"/>
  <c r="F86" i="26"/>
  <c r="F289" i="26"/>
  <c r="E72" i="26"/>
  <c r="E290" i="26" s="1"/>
  <c r="F47" i="20"/>
  <c r="F49" i="20" s="1"/>
  <c r="F26" i="27"/>
  <c r="F135" i="27"/>
  <c r="F265" i="27"/>
  <c r="F298" i="20"/>
  <c r="F152" i="20"/>
  <c r="F141" i="26"/>
  <c r="F316" i="26" s="1"/>
  <c r="F234" i="20"/>
  <c r="F235" i="20" s="1"/>
  <c r="E295" i="26"/>
  <c r="F226" i="26"/>
  <c r="F227" i="26" s="1"/>
  <c r="F297" i="26"/>
  <c r="F72" i="26"/>
  <c r="F113" i="26" s="1"/>
  <c r="F37" i="26"/>
  <c r="F39" i="26" s="1"/>
  <c r="E37" i="27"/>
  <c r="F235" i="1"/>
  <c r="F236" i="1" s="1"/>
  <c r="E300" i="20"/>
  <c r="F743" i="1"/>
  <c r="F959" i="1"/>
  <c r="E1044" i="1"/>
  <c r="F918" i="1"/>
  <c r="F738" i="1"/>
  <c r="E105" i="1"/>
  <c r="E166" i="1"/>
  <c r="F107" i="1"/>
  <c r="F99" i="1"/>
  <c r="F111" i="1" s="1"/>
  <c r="E54" i="1"/>
  <c r="E101" i="1" s="1"/>
  <c r="F101" i="1"/>
  <c r="E106" i="1"/>
  <c r="E170" i="1"/>
  <c r="F59" i="1"/>
  <c r="F106" i="1" s="1"/>
  <c r="F21" i="1"/>
  <c r="E290" i="1"/>
  <c r="E294" i="1" s="1"/>
  <c r="E298" i="1" s="1"/>
  <c r="E300" i="1" s="1"/>
  <c r="F762" i="1"/>
  <c r="F771" i="1" s="1"/>
  <c r="F773" i="1" s="1"/>
  <c r="F275" i="1"/>
  <c r="F276" i="1" s="1"/>
  <c r="E108" i="1"/>
  <c r="F313" i="1"/>
  <c r="E236" i="1"/>
  <c r="F167" i="1"/>
  <c r="E275" i="1"/>
  <c r="E276" i="1" s="1"/>
  <c r="F218" i="1"/>
  <c r="E214" i="1"/>
  <c r="F55" i="1"/>
  <c r="F102" i="1" s="1"/>
  <c r="F237" i="1"/>
  <c r="F283" i="1"/>
  <c r="F292" i="1" s="1"/>
  <c r="F763" i="1"/>
  <c r="F772" i="1" s="1"/>
  <c r="F774" i="1" s="1"/>
  <c r="F991" i="1"/>
  <c r="E56" i="1"/>
  <c r="E103" i="1" s="1"/>
  <c r="F214" i="1"/>
  <c r="E21" i="1"/>
  <c r="E213" i="1"/>
  <c r="E237" i="1"/>
  <c r="F247" i="1"/>
  <c r="F248" i="1" s="1"/>
  <c r="F244" i="1" s="1"/>
  <c r="F341" i="1" s="1"/>
  <c r="F1044" i="1"/>
  <c r="F335" i="1"/>
  <c r="F338" i="1" s="1"/>
  <c r="F334" i="1" s="1"/>
  <c r="F346" i="1" s="1"/>
  <c r="F290" i="1"/>
  <c r="F294" i="1" s="1"/>
  <c r="F298" i="1" s="1"/>
  <c r="F300" i="1" s="1"/>
  <c r="F322" i="1"/>
  <c r="F736" i="1"/>
  <c r="F737" i="1" s="1"/>
  <c r="F728" i="1"/>
  <c r="F929" i="1"/>
  <c r="F930" i="1" s="1"/>
  <c r="F746" i="1"/>
  <c r="F752" i="1"/>
  <c r="F986" i="1"/>
  <c r="F917" i="1"/>
  <c r="E721" i="1"/>
  <c r="E855" i="1" s="1"/>
  <c r="E915" i="1"/>
  <c r="E725" i="1"/>
  <c r="E1032" i="1"/>
  <c r="F1024" i="1"/>
  <c r="F866" i="1"/>
  <c r="F166" i="1"/>
  <c r="F169" i="1"/>
  <c r="F57" i="1"/>
  <c r="F104" i="1" s="1"/>
  <c r="F164" i="1"/>
  <c r="F219" i="1"/>
  <c r="F983" i="1"/>
  <c r="F1011" i="1" s="1"/>
  <c r="F857" i="1"/>
  <c r="F858" i="1" s="1"/>
  <c r="F1003" i="1"/>
  <c r="F1013" i="1"/>
  <c r="F56" i="1"/>
  <c r="F103" i="1" s="1"/>
  <c r="F61" i="1"/>
  <c r="F108" i="1" s="1"/>
  <c r="F456" i="1"/>
  <c r="F268" i="1"/>
  <c r="F806" i="1"/>
  <c r="F805" i="1"/>
  <c r="F796" i="1"/>
  <c r="F351" i="1"/>
  <c r="F315" i="1"/>
  <c r="F353" i="1"/>
  <c r="F352" i="1"/>
  <c r="F326" i="1"/>
  <c r="F209" i="1"/>
  <c r="F58" i="1"/>
  <c r="F105" i="1" s="1"/>
  <c r="F213" i="1"/>
  <c r="F354" i="1"/>
  <c r="F742" i="1"/>
  <c r="F744" i="1" s="1"/>
  <c r="F751" i="1" s="1"/>
  <c r="F885" i="1"/>
  <c r="F1032" i="1"/>
  <c r="F53" i="1"/>
  <c r="F100" i="1" s="1"/>
  <c r="F184" i="1"/>
  <c r="F359" i="1" s="1"/>
  <c r="F200" i="1"/>
  <c r="F785" i="1"/>
  <c r="F803" i="1"/>
  <c r="F848" i="1"/>
  <c r="F1012" i="1"/>
  <c r="F1027" i="1"/>
  <c r="F163" i="1"/>
  <c r="F221" i="1"/>
  <c r="F240" i="1"/>
  <c r="F730" i="1"/>
  <c r="F777" i="1"/>
  <c r="F892" i="1"/>
  <c r="F222" i="1"/>
  <c r="F778" i="1"/>
  <c r="F787" i="1"/>
  <c r="F790" i="1" s="1"/>
  <c r="F797" i="1"/>
  <c r="F740" i="1" s="1"/>
  <c r="F850" i="1"/>
  <c r="F1053" i="1"/>
  <c r="F211" i="1"/>
  <c r="F224" i="1"/>
  <c r="F264" i="1"/>
  <c r="F269" i="1" s="1"/>
  <c r="F277" i="1"/>
  <c r="F309" i="1"/>
  <c r="F311" i="1" s="1"/>
  <c r="F748" i="1"/>
  <c r="F882" i="1" s="1"/>
  <c r="F788" i="1"/>
  <c r="F1054" i="1"/>
  <c r="F212" i="1"/>
  <c r="F749" i="1"/>
  <c r="F757" i="1" s="1"/>
  <c r="E446" i="1"/>
  <c r="E655" i="1"/>
  <c r="E386" i="1"/>
  <c r="E1003" i="1"/>
  <c r="E57" i="1"/>
  <c r="E104" i="1" s="1"/>
  <c r="E164" i="1"/>
  <c r="E219" i="1"/>
  <c r="E763" i="1"/>
  <c r="E772" i="1" s="1"/>
  <c r="E774" i="1" s="1"/>
  <c r="E52" i="1"/>
  <c r="E99" i="1" s="1"/>
  <c r="E268" i="1"/>
  <c r="E991" i="1"/>
  <c r="E1053" i="1"/>
  <c r="E1012" i="1"/>
  <c r="E324" i="1"/>
  <c r="E163" i="1"/>
  <c r="E53" i="1"/>
  <c r="E100" i="1" s="1"/>
  <c r="E218" i="1"/>
  <c r="E762" i="1"/>
  <c r="E646" i="1"/>
  <c r="E28" i="1"/>
  <c r="E55" i="1"/>
  <c r="E102" i="1" s="1"/>
  <c r="E60" i="1"/>
  <c r="E107" i="1" s="1"/>
  <c r="E361" i="1"/>
  <c r="E659" i="1"/>
  <c r="E358" i="1"/>
  <c r="E29" i="1"/>
  <c r="E444" i="1"/>
  <c r="E456" i="1"/>
  <c r="E200" i="1"/>
  <c r="E322" i="1"/>
  <c r="E736" i="1"/>
  <c r="E247" i="1"/>
  <c r="E248" i="1" s="1"/>
  <c r="E244" i="1" s="1"/>
  <c r="E341" i="1" s="1"/>
  <c r="E283" i="1"/>
  <c r="E313" i="1"/>
  <c r="E335" i="1"/>
  <c r="E338" i="1" s="1"/>
  <c r="E334" i="1" s="1"/>
  <c r="E346" i="1" s="1"/>
  <c r="E752" i="1"/>
  <c r="E184" i="1"/>
  <c r="E359" i="1" s="1"/>
  <c r="E785" i="1"/>
  <c r="E221" i="1"/>
  <c r="E240" i="1"/>
  <c r="E315" i="1"/>
  <c r="E326" i="1"/>
  <c r="E352" i="1"/>
  <c r="E777" i="1"/>
  <c r="E892" i="1"/>
  <c r="E1013" i="1"/>
  <c r="E222" i="1"/>
  <c r="E778" i="1"/>
  <c r="E787" i="1"/>
  <c r="E790" i="1" s="1"/>
  <c r="E211" i="1"/>
  <c r="E224" i="1"/>
  <c r="E264" i="1"/>
  <c r="E269" i="1" s="1"/>
  <c r="E277" i="1"/>
  <c r="E309" i="1"/>
  <c r="E748" i="1"/>
  <c r="E882" i="1" s="1"/>
  <c r="E788" i="1"/>
  <c r="E1054" i="1"/>
  <c r="E212" i="1"/>
  <c r="E749" i="1"/>
  <c r="E297" i="26"/>
  <c r="F103" i="20"/>
  <c r="F198" i="20" s="1"/>
  <c r="F36" i="20"/>
  <c r="F32" i="20"/>
  <c r="F95" i="20"/>
  <c r="F164" i="20" s="1"/>
  <c r="E21" i="20"/>
  <c r="E98" i="20"/>
  <c r="E167" i="20" s="1"/>
  <c r="F97" i="20"/>
  <c r="F166" i="20" s="1"/>
  <c r="F236" i="20"/>
  <c r="F237" i="20" s="1"/>
  <c r="F301" i="20"/>
  <c r="F151" i="20"/>
  <c r="E36" i="20"/>
  <c r="F25" i="20"/>
  <c r="F305" i="20"/>
  <c r="E25" i="20"/>
  <c r="F197" i="20"/>
  <c r="F199" i="20" s="1"/>
  <c r="F201" i="20" s="1"/>
  <c r="F203" i="20" s="1"/>
  <c r="F205" i="20" s="1"/>
  <c r="E124" i="20"/>
  <c r="E97" i="20"/>
  <c r="E166" i="20" s="1"/>
  <c r="E152" i="20"/>
  <c r="E47" i="20"/>
  <c r="E49" i="20" s="1"/>
  <c r="E32" i="20"/>
  <c r="F37" i="27"/>
  <c r="F85" i="27" s="1"/>
  <c r="F146" i="27" s="1"/>
  <c r="F109" i="27"/>
  <c r="F266" i="27"/>
  <c r="E265" i="27"/>
  <c r="E26" i="27"/>
  <c r="E91" i="27"/>
  <c r="E175" i="27" s="1"/>
  <c r="E109" i="27"/>
  <c r="E268" i="27"/>
  <c r="E135" i="27"/>
  <c r="F147" i="27"/>
  <c r="F91" i="27"/>
  <c r="F175" i="27" s="1"/>
  <c r="F145" i="27"/>
  <c r="F286" i="27"/>
  <c r="F137" i="27"/>
  <c r="F87" i="27"/>
  <c r="F205" i="27"/>
  <c r="F206" i="27" s="1"/>
  <c r="F268" i="27"/>
  <c r="F60" i="27"/>
  <c r="F71" i="27"/>
  <c r="F96" i="27"/>
  <c r="F107" i="27"/>
  <c r="F144" i="27"/>
  <c r="F209" i="27"/>
  <c r="F210" i="27" s="1"/>
  <c r="F288" i="27"/>
  <c r="F58" i="27" s="1"/>
  <c r="F76" i="27"/>
  <c r="E147" i="27"/>
  <c r="E286" i="27"/>
  <c r="E137" i="27"/>
  <c r="E73" i="27"/>
  <c r="E87" i="27"/>
  <c r="E288" i="27"/>
  <c r="E58" i="27" s="1"/>
  <c r="E144" i="27"/>
  <c r="E96" i="27"/>
  <c r="E145" i="27"/>
  <c r="E174" i="27"/>
  <c r="E176" i="27" s="1"/>
  <c r="E266" i="27"/>
  <c r="E270" i="27" s="1"/>
  <c r="E55" i="27" s="1"/>
  <c r="E207" i="27"/>
  <c r="E208" i="27" s="1"/>
  <c r="E60" i="27"/>
  <c r="E71" i="27"/>
  <c r="E92" i="27" s="1"/>
  <c r="E177" i="27" s="1"/>
  <c r="E107" i="27"/>
  <c r="E110" i="27" s="1"/>
  <c r="E209" i="27"/>
  <c r="E210" i="27" s="1"/>
  <c r="E76" i="27"/>
  <c r="F57" i="26"/>
  <c r="F171" i="26"/>
  <c r="F228" i="26"/>
  <c r="F229" i="26" s="1"/>
  <c r="F143" i="26"/>
  <c r="F168" i="26"/>
  <c r="F175" i="26" s="1"/>
  <c r="F112" i="26"/>
  <c r="F169" i="26"/>
  <c r="F176" i="26" s="1"/>
  <c r="F70" i="26"/>
  <c r="F93" i="26" s="1"/>
  <c r="F188" i="26" s="1"/>
  <c r="F92" i="26"/>
  <c r="F186" i="26" s="1"/>
  <c r="F222" i="26"/>
  <c r="F223" i="26" s="1"/>
  <c r="F81" i="26"/>
  <c r="F291" i="26" s="1"/>
  <c r="F110" i="26"/>
  <c r="F155" i="26"/>
  <c r="F84" i="26"/>
  <c r="F287" i="26"/>
  <c r="F46" i="26"/>
  <c r="E86" i="26"/>
  <c r="E155" i="26" s="1"/>
  <c r="E289" i="26"/>
  <c r="E114" i="26"/>
  <c r="E230" i="26"/>
  <c r="E231" i="26" s="1"/>
  <c r="E299" i="26"/>
  <c r="E291" i="26"/>
  <c r="E145" i="26"/>
  <c r="E320" i="26" s="1"/>
  <c r="E59" i="26" s="1"/>
  <c r="E88" i="26"/>
  <c r="E228" i="26"/>
  <c r="E229" i="26" s="1"/>
  <c r="E37" i="26"/>
  <c r="E39" i="26" s="1"/>
  <c r="E47" i="26"/>
  <c r="E141" i="26"/>
  <c r="E226" i="26"/>
  <c r="E227" i="26" s="1"/>
  <c r="E110" i="26"/>
  <c r="E112" i="26"/>
  <c r="E70" i="26"/>
  <c r="E92" i="26"/>
  <c r="E186" i="26" s="1"/>
  <c r="E222" i="26"/>
  <c r="E223" i="26" s="1"/>
  <c r="E287" i="26"/>
  <c r="E84" i="26"/>
  <c r="E148" i="26"/>
  <c r="E46" i="26"/>
  <c r="F105" i="20"/>
  <c r="F202" i="20" s="1"/>
  <c r="F104" i="20"/>
  <c r="F200" i="20" s="1"/>
  <c r="F84" i="20"/>
  <c r="F307" i="20"/>
  <c r="F96" i="20"/>
  <c r="F299" i="20"/>
  <c r="F106" i="20"/>
  <c r="F204" i="20" s="1"/>
  <c r="F153" i="20"/>
  <c r="F98" i="20"/>
  <c r="F121" i="20"/>
  <c r="F238" i="20"/>
  <c r="F239" i="20" s="1"/>
  <c r="F297" i="20"/>
  <c r="F122" i="20"/>
  <c r="F154" i="20"/>
  <c r="F309" i="20"/>
  <c r="F102" i="20"/>
  <c r="F196" i="20" s="1"/>
  <c r="F123" i="20"/>
  <c r="F155" i="20"/>
  <c r="F232" i="20"/>
  <c r="F233" i="20" s="1"/>
  <c r="F240" i="20"/>
  <c r="F241" i="20" s="1"/>
  <c r="F120" i="20"/>
  <c r="F70" i="20"/>
  <c r="F94" i="20"/>
  <c r="F158" i="20"/>
  <c r="E305" i="20"/>
  <c r="E151" i="20"/>
  <c r="E301" i="20"/>
  <c r="E95" i="20"/>
  <c r="E164" i="20" s="1"/>
  <c r="E154" i="20"/>
  <c r="E122" i="20"/>
  <c r="E236" i="20"/>
  <c r="E237" i="20" s="1"/>
  <c r="E199" i="20"/>
  <c r="E201" i="20" s="1"/>
  <c r="E203" i="20" s="1"/>
  <c r="E205" i="20" s="1"/>
  <c r="E96" i="20"/>
  <c r="E299" i="20"/>
  <c r="E84" i="20"/>
  <c r="E153" i="20"/>
  <c r="E106" i="20"/>
  <c r="E204" i="20" s="1"/>
  <c r="E307" i="20"/>
  <c r="E297" i="20"/>
  <c r="E120" i="20"/>
  <c r="E121" i="20"/>
  <c r="E298" i="20"/>
  <c r="E309" i="20"/>
  <c r="E102" i="20"/>
  <c r="E196" i="20" s="1"/>
  <c r="E123" i="20"/>
  <c r="E155" i="20"/>
  <c r="E232" i="20"/>
  <c r="E233" i="20" s="1"/>
  <c r="E240" i="20"/>
  <c r="E241" i="20" s="1"/>
  <c r="E70" i="20"/>
  <c r="E103" i="20"/>
  <c r="E198" i="20" s="1"/>
  <c r="E94" i="20"/>
  <c r="E104" i="20"/>
  <c r="E200" i="20" s="1"/>
  <c r="E158" i="20"/>
  <c r="E234" i="20"/>
  <c r="E235" i="20" s="1"/>
  <c r="E105" i="20"/>
  <c r="E202" i="20" s="1"/>
  <c r="D90" i="27"/>
  <c r="D269" i="27"/>
  <c r="D267" i="27"/>
  <c r="D261" i="27"/>
  <c r="D259" i="27"/>
  <c r="D136" i="27"/>
  <c r="D290" i="27" s="1"/>
  <c r="D134" i="27"/>
  <c r="D70" i="27"/>
  <c r="D107" i="27" s="1"/>
  <c r="D24" i="27"/>
  <c r="D23" i="27"/>
  <c r="D22" i="27"/>
  <c r="D21" i="27"/>
  <c r="D20" i="27"/>
  <c r="D19" i="27"/>
  <c r="D18" i="27"/>
  <c r="D17" i="27"/>
  <c r="D16" i="27"/>
  <c r="D258" i="27" s="1"/>
  <c r="D15" i="27"/>
  <c r="D133" i="27" s="1"/>
  <c r="D14" i="27"/>
  <c r="D13" i="27"/>
  <c r="D44" i="27" s="1"/>
  <c r="D12" i="27"/>
  <c r="D11" i="27"/>
  <c r="D45" i="27" s="1"/>
  <c r="D10" i="27"/>
  <c r="D83" i="27" s="1"/>
  <c r="D79" i="27"/>
  <c r="D209" i="27" s="1"/>
  <c r="D72" i="27"/>
  <c r="D43" i="27"/>
  <c r="D38" i="27"/>
  <c r="D36" i="27"/>
  <c r="D35" i="27"/>
  <c r="F799" i="1" l="1"/>
  <c r="F826" i="1" s="1"/>
  <c r="F781" i="1"/>
  <c r="G343" i="1"/>
  <c r="G1031" i="1"/>
  <c r="G1033" i="1" s="1"/>
  <c r="G1041" i="1" s="1"/>
  <c r="G1043" i="1" s="1"/>
  <c r="G972" i="1" s="1"/>
  <c r="G973" i="1" s="1"/>
  <c r="F93" i="27"/>
  <c r="F179" i="27" s="1"/>
  <c r="F97" i="27"/>
  <c r="E87" i="26"/>
  <c r="E298" i="26"/>
  <c r="E96" i="26"/>
  <c r="E194" i="26" s="1"/>
  <c r="E113" i="26"/>
  <c r="E144" i="26"/>
  <c r="G923" i="1"/>
  <c r="H1025" i="1"/>
  <c r="H1050" i="1" s="1"/>
  <c r="H920" i="1"/>
  <c r="F87" i="26"/>
  <c r="F298" i="26"/>
  <c r="F178" i="26"/>
  <c r="F144" i="26"/>
  <c r="F290" i="26"/>
  <c r="G305" i="26"/>
  <c r="G56" i="26" s="1"/>
  <c r="G849" i="1"/>
  <c r="G814" i="1"/>
  <c r="F818" i="1"/>
  <c r="H867" i="1"/>
  <c r="H870" i="1" s="1"/>
  <c r="G329" i="1"/>
  <c r="G330" i="1" s="1"/>
  <c r="H329" i="1"/>
  <c r="H330" i="1" s="1"/>
  <c r="H1031" i="1"/>
  <c r="H1033" i="1" s="1"/>
  <c r="H923" i="1"/>
  <c r="H990" i="1"/>
  <c r="H992" i="1" s="1"/>
  <c r="H343" i="1"/>
  <c r="H893" i="1"/>
  <c r="H755" i="1"/>
  <c r="H1009" i="1"/>
  <c r="H1014" i="1"/>
  <c r="H640" i="1"/>
  <c r="H502" i="1"/>
  <c r="H503" i="1" s="1"/>
  <c r="H479" i="1"/>
  <c r="H534" i="1"/>
  <c r="H644" i="1"/>
  <c r="H459" i="1"/>
  <c r="H443" i="1"/>
  <c r="H445" i="1" s="1"/>
  <c r="H357" i="1"/>
  <c r="H388" i="1"/>
  <c r="H391" i="1" s="1"/>
  <c r="H363" i="1"/>
  <c r="H836" i="1"/>
  <c r="H849" i="1"/>
  <c r="H814" i="1"/>
  <c r="G640" i="1"/>
  <c r="G502" i="1"/>
  <c r="G503" i="1" s="1"/>
  <c r="G479" i="1"/>
  <c r="G534" i="1"/>
  <c r="G901" i="1"/>
  <c r="G895" i="1"/>
  <c r="G897" i="1" s="1"/>
  <c r="G899" i="1" s="1"/>
  <c r="G894" i="1"/>
  <c r="G644" i="1"/>
  <c r="G459" i="1"/>
  <c r="G443" i="1"/>
  <c r="G445" i="1" s="1"/>
  <c r="G388" i="1"/>
  <c r="G391" i="1" s="1"/>
  <c r="G357" i="1"/>
  <c r="G363" i="1"/>
  <c r="G1004" i="1"/>
  <c r="G1000" i="1"/>
  <c r="G1002" i="1" s="1"/>
  <c r="G970" i="1" s="1"/>
  <c r="G971" i="1" s="1"/>
  <c r="G920" i="1"/>
  <c r="G984" i="1"/>
  <c r="G1025" i="1"/>
  <c r="G869" i="1"/>
  <c r="G831" i="1"/>
  <c r="G833" i="1"/>
  <c r="G834" i="1" s="1"/>
  <c r="H282" i="27"/>
  <c r="H64" i="27" s="1"/>
  <c r="H51" i="27"/>
  <c r="H278" i="27"/>
  <c r="H62" i="27" s="1"/>
  <c r="H277" i="27"/>
  <c r="H61" i="27" s="1"/>
  <c r="H213" i="27"/>
  <c r="H183" i="27"/>
  <c r="H193" i="27" s="1"/>
  <c r="H214" i="27"/>
  <c r="H220" i="27"/>
  <c r="H190" i="27"/>
  <c r="H200" i="27" s="1"/>
  <c r="H219" i="27"/>
  <c r="H189" i="27"/>
  <c r="H199" i="27" s="1"/>
  <c r="H218" i="27"/>
  <c r="H188" i="27"/>
  <c r="H198" i="27" s="1"/>
  <c r="H217" i="27"/>
  <c r="H187" i="27"/>
  <c r="H197" i="27" s="1"/>
  <c r="H216" i="27"/>
  <c r="H186" i="27"/>
  <c r="H196" i="27" s="1"/>
  <c r="H215" i="27"/>
  <c r="H185" i="27"/>
  <c r="H195" i="27" s="1"/>
  <c r="H49" i="27"/>
  <c r="H184" i="27"/>
  <c r="H194" i="27" s="1"/>
  <c r="G213" i="27"/>
  <c r="G183" i="27"/>
  <c r="G193" i="27" s="1"/>
  <c r="G220" i="27"/>
  <c r="G190" i="27"/>
  <c r="G200" i="27" s="1"/>
  <c r="G216" i="27"/>
  <c r="G215" i="27"/>
  <c r="G185" i="27"/>
  <c r="G195" i="27" s="1"/>
  <c r="G49" i="27"/>
  <c r="G214" i="27"/>
  <c r="G219" i="27"/>
  <c r="G189" i="27"/>
  <c r="G199" i="27" s="1"/>
  <c r="G218" i="27"/>
  <c r="G188" i="27"/>
  <c r="G198" i="27" s="1"/>
  <c r="G186" i="27"/>
  <c r="G196" i="27" s="1"/>
  <c r="G217" i="27"/>
  <c r="G187" i="27"/>
  <c r="G197" i="27" s="1"/>
  <c r="G184" i="27"/>
  <c r="G194" i="27" s="1"/>
  <c r="G169" i="27"/>
  <c r="G278" i="27"/>
  <c r="G62" i="27" s="1"/>
  <c r="G282" i="27"/>
  <c r="G64" i="27" s="1"/>
  <c r="G51" i="27"/>
  <c r="G277" i="27"/>
  <c r="G61" i="27" s="1"/>
  <c r="H118" i="26"/>
  <c r="H125" i="26" s="1"/>
  <c r="H122" i="26"/>
  <c r="H129" i="26" s="1"/>
  <c r="H137" i="26" s="1"/>
  <c r="H121" i="26"/>
  <c r="H128" i="26" s="1"/>
  <c r="H136" i="26" s="1"/>
  <c r="H119" i="26"/>
  <c r="H126" i="26" s="1"/>
  <c r="H134" i="26" s="1"/>
  <c r="H120" i="26"/>
  <c r="H127" i="26" s="1"/>
  <c r="H135" i="26" s="1"/>
  <c r="H48" i="26"/>
  <c r="H107" i="26"/>
  <c r="H162" i="26"/>
  <c r="H163" i="26" s="1"/>
  <c r="H164" i="26" s="1"/>
  <c r="H165" i="26" s="1"/>
  <c r="H181" i="26"/>
  <c r="G106" i="26"/>
  <c r="G160" i="26"/>
  <c r="G161" i="26" s="1"/>
  <c r="G50" i="26"/>
  <c r="H171" i="20"/>
  <c r="H178" i="20"/>
  <c r="H185" i="20" s="1"/>
  <c r="H128" i="20"/>
  <c r="H135" i="20" s="1"/>
  <c r="H129" i="20"/>
  <c r="H136" i="20" s="1"/>
  <c r="H144" i="20" s="1"/>
  <c r="H132" i="20"/>
  <c r="H139" i="20" s="1"/>
  <c r="H147" i="20" s="1"/>
  <c r="H131" i="20"/>
  <c r="H138" i="20" s="1"/>
  <c r="H146" i="20" s="1"/>
  <c r="H130" i="20"/>
  <c r="H137" i="20" s="1"/>
  <c r="H145" i="20" s="1"/>
  <c r="H58" i="20"/>
  <c r="H117" i="20"/>
  <c r="G128" i="20"/>
  <c r="G135" i="20" s="1"/>
  <c r="G58" i="20"/>
  <c r="G130" i="20"/>
  <c r="G137" i="20" s="1"/>
  <c r="G145" i="20" s="1"/>
  <c r="G132" i="20"/>
  <c r="G139" i="20" s="1"/>
  <c r="G147" i="20" s="1"/>
  <c r="G131" i="20"/>
  <c r="G138" i="20" s="1"/>
  <c r="G146" i="20" s="1"/>
  <c r="G129" i="20"/>
  <c r="G136" i="20" s="1"/>
  <c r="G144" i="20" s="1"/>
  <c r="G117" i="20"/>
  <c r="G171" i="20"/>
  <c r="G178" i="20"/>
  <c r="G185" i="20" s="1"/>
  <c r="F270" i="27"/>
  <c r="F55" i="27" s="1"/>
  <c r="F88" i="26"/>
  <c r="F157" i="26" s="1"/>
  <c r="F145" i="26"/>
  <c r="F320" i="26" s="1"/>
  <c r="F59" i="26" s="1"/>
  <c r="F326" i="20"/>
  <c r="F67" i="20" s="1"/>
  <c r="F110" i="20"/>
  <c r="E108" i="27"/>
  <c r="E93" i="27"/>
  <c r="E179" i="27" s="1"/>
  <c r="E97" i="27"/>
  <c r="F39" i="27"/>
  <c r="E85" i="27"/>
  <c r="E146" i="27" s="1"/>
  <c r="E39" i="27"/>
  <c r="F960" i="1"/>
  <c r="F914" i="1"/>
  <c r="F926" i="1" s="1"/>
  <c r="F758" i="1"/>
  <c r="F754" i="1" s="1"/>
  <c r="F864" i="1"/>
  <c r="F868" i="1" s="1"/>
  <c r="E172" i="1"/>
  <c r="E326" i="20"/>
  <c r="E67" i="20" s="1"/>
  <c r="F156" i="20"/>
  <c r="F320" i="20" s="1"/>
  <c r="F73" i="20" s="1"/>
  <c r="F112" i="20"/>
  <c r="F119" i="1"/>
  <c r="F113" i="1"/>
  <c r="E278" i="1"/>
  <c r="E274" i="1" s="1"/>
  <c r="E344" i="1" s="1"/>
  <c r="F120" i="1"/>
  <c r="E173" i="1"/>
  <c r="F861" i="1"/>
  <c r="F862" i="1" s="1"/>
  <c r="F863" i="1" s="1"/>
  <c r="F173" i="1"/>
  <c r="F122" i="1"/>
  <c r="E458" i="1"/>
  <c r="F801" i="1"/>
  <c r="F825" i="1" s="1"/>
  <c r="F832" i="1"/>
  <c r="F949" i="1"/>
  <c r="F950" i="1" s="1"/>
  <c r="F802" i="1"/>
  <c r="F804" i="1"/>
  <c r="F811" i="1" s="1"/>
  <c r="F951" i="1"/>
  <c r="F952" i="1" s="1"/>
  <c r="F123" i="1"/>
  <c r="F284" i="1"/>
  <c r="F285" i="1" s="1"/>
  <c r="F965" i="1"/>
  <c r="F227" i="1"/>
  <c r="F229" i="1" s="1"/>
  <c r="F808" i="1"/>
  <c r="F789" i="1"/>
  <c r="F791" i="1" s="1"/>
  <c r="F784" i="1" s="1"/>
  <c r="F921" i="1" s="1"/>
  <c r="E789" i="1"/>
  <c r="E791" i="1" s="1"/>
  <c r="E784" i="1" s="1"/>
  <c r="E921" i="1" s="1"/>
  <c r="E771" i="1"/>
  <c r="E773" i="1" s="1"/>
  <c r="F115" i="1"/>
  <c r="F135" i="1"/>
  <c r="F126" i="1"/>
  <c r="F134" i="1"/>
  <c r="F125" i="1"/>
  <c r="F133" i="1"/>
  <c r="F131" i="1"/>
  <c r="F130" i="1"/>
  <c r="F136" i="1"/>
  <c r="F127" i="1"/>
  <c r="F137" i="1"/>
  <c r="F129" i="1"/>
  <c r="F128" i="1"/>
  <c r="F117" i="1"/>
  <c r="F116" i="1"/>
  <c r="F278" i="1"/>
  <c r="F274" i="1" s="1"/>
  <c r="F344" i="1" s="1"/>
  <c r="F112" i="1"/>
  <c r="F361" i="1"/>
  <c r="F659" i="1"/>
  <c r="F358" i="1"/>
  <c r="F29" i="1"/>
  <c r="F362" i="1"/>
  <c r="F367" i="1" s="1"/>
  <c r="F444" i="1"/>
  <c r="F121" i="1"/>
  <c r="F389" i="1"/>
  <c r="F387" i="1"/>
  <c r="F458" i="1"/>
  <c r="F28" i="1"/>
  <c r="F646" i="1"/>
  <c r="F172" i="1"/>
  <c r="F350" i="1"/>
  <c r="F859" i="1"/>
  <c r="F741" i="1"/>
  <c r="F779" i="1"/>
  <c r="F780" i="1" s="1"/>
  <c r="F756" i="1"/>
  <c r="F1052" i="1"/>
  <c r="F931" i="1"/>
  <c r="F932" i="1" s="1"/>
  <c r="F881" i="1"/>
  <c r="F883" i="1" s="1"/>
  <c r="F782" i="1"/>
  <c r="F390" i="1"/>
  <c r="F446" i="1"/>
  <c r="F655" i="1"/>
  <c r="F386" i="1"/>
  <c r="F851" i="1"/>
  <c r="F847" i="1" s="1"/>
  <c r="F924" i="1" s="1"/>
  <c r="F838" i="1"/>
  <c r="F839" i="1" s="1"/>
  <c r="F442" i="1"/>
  <c r="F457" i="1"/>
  <c r="F27" i="1"/>
  <c r="F657" i="1"/>
  <c r="F356" i="1"/>
  <c r="F114" i="1"/>
  <c r="F228" i="1"/>
  <c r="F230" i="1" s="1"/>
  <c r="E366" i="1"/>
  <c r="E397" i="1"/>
  <c r="E116" i="1"/>
  <c r="E115" i="1"/>
  <c r="E123" i="1"/>
  <c r="E114" i="1"/>
  <c r="E122" i="1"/>
  <c r="E113" i="1"/>
  <c r="E119" i="1"/>
  <c r="E121" i="1"/>
  <c r="E112" i="1"/>
  <c r="E120" i="1"/>
  <c r="E111" i="1"/>
  <c r="E117" i="1"/>
  <c r="E228" i="1"/>
  <c r="E230" i="1" s="1"/>
  <c r="E442" i="1"/>
  <c r="E457" i="1"/>
  <c r="E657" i="1"/>
  <c r="E356" i="1"/>
  <c r="E27" i="1"/>
  <c r="E227" i="1"/>
  <c r="E229" i="1" s="1"/>
  <c r="E311" i="1"/>
  <c r="E284" i="1"/>
  <c r="E285" i="1" s="1"/>
  <c r="E292" i="1"/>
  <c r="E865" i="1"/>
  <c r="E350" i="1"/>
  <c r="E135" i="1"/>
  <c r="E126" i="1"/>
  <c r="E134" i="1"/>
  <c r="E125" i="1"/>
  <c r="E133" i="1"/>
  <c r="E137" i="1"/>
  <c r="E128" i="1"/>
  <c r="E131" i="1"/>
  <c r="E130" i="1"/>
  <c r="E129" i="1"/>
  <c r="E136" i="1"/>
  <c r="E127" i="1"/>
  <c r="E389" i="1"/>
  <c r="E387" i="1"/>
  <c r="E362" i="1"/>
  <c r="E367" i="1" s="1"/>
  <c r="E390" i="1"/>
  <c r="F310" i="20"/>
  <c r="F65" i="20" s="1"/>
  <c r="F302" i="20"/>
  <c r="F64" i="20" s="1"/>
  <c r="E330" i="20"/>
  <c r="E69" i="20" s="1"/>
  <c r="E156" i="20"/>
  <c r="E320" i="20" s="1"/>
  <c r="E73" i="20" s="1"/>
  <c r="F274" i="27"/>
  <c r="F57" i="27"/>
  <c r="F73" i="27"/>
  <c r="F50" i="27"/>
  <c r="F150" i="27"/>
  <c r="F151" i="27" s="1"/>
  <c r="F178" i="27"/>
  <c r="F180" i="27" s="1"/>
  <c r="F108" i="27"/>
  <c r="F284" i="27"/>
  <c r="F65" i="27" s="1"/>
  <c r="F52" i="27"/>
  <c r="F92" i="27"/>
  <c r="F99" i="27"/>
  <c r="F203" i="27"/>
  <c r="F204" i="27" s="1"/>
  <c r="F139" i="27"/>
  <c r="F280" i="27" s="1"/>
  <c r="F63" i="27" s="1"/>
  <c r="F110" i="27"/>
  <c r="E50" i="27"/>
  <c r="E150" i="27"/>
  <c r="E151" i="27" s="1"/>
  <c r="E57" i="27"/>
  <c r="E274" i="27"/>
  <c r="E203" i="27"/>
  <c r="E204" i="27" s="1"/>
  <c r="E139" i="27"/>
  <c r="E280" i="27" s="1"/>
  <c r="E63" i="27" s="1"/>
  <c r="E273" i="27"/>
  <c r="E42" i="27"/>
  <c r="E98" i="27"/>
  <c r="E284" i="27"/>
  <c r="E65" i="27" s="1"/>
  <c r="E52" i="27"/>
  <c r="E178" i="27"/>
  <c r="E180" i="27" s="1"/>
  <c r="F153" i="26"/>
  <c r="F318" i="26"/>
  <c r="F58" i="26" s="1"/>
  <c r="F99" i="26"/>
  <c r="F172" i="26"/>
  <c r="F179" i="26" s="1"/>
  <c r="F114" i="26"/>
  <c r="F230" i="26"/>
  <c r="F231" i="26" s="1"/>
  <c r="F299" i="26"/>
  <c r="F156" i="26"/>
  <c r="F148" i="26"/>
  <c r="F95" i="26"/>
  <c r="F192" i="26" s="1"/>
  <c r="F85" i="26"/>
  <c r="F89" i="26" s="1"/>
  <c r="F74" i="26"/>
  <c r="F94" i="26"/>
  <c r="F296" i="26"/>
  <c r="F300" i="26" s="1"/>
  <c r="F55" i="26" s="1"/>
  <c r="F96" i="26"/>
  <c r="F194" i="26" s="1"/>
  <c r="F189" i="26"/>
  <c r="F191" i="26" s="1"/>
  <c r="F193" i="26" s="1"/>
  <c r="F195" i="26" s="1"/>
  <c r="F288" i="26"/>
  <c r="F177" i="26"/>
  <c r="F142" i="26"/>
  <c r="F146" i="26" s="1"/>
  <c r="F111" i="26"/>
  <c r="F115" i="26" s="1"/>
  <c r="E93" i="26"/>
  <c r="E188" i="26" s="1"/>
  <c r="E103" i="26"/>
  <c r="E157" i="26"/>
  <c r="E95" i="26"/>
  <c r="E192" i="26" s="1"/>
  <c r="E85" i="26"/>
  <c r="E94" i="26"/>
  <c r="E189" i="26"/>
  <c r="E191" i="26" s="1"/>
  <c r="E193" i="26" s="1"/>
  <c r="E195" i="26" s="1"/>
  <c r="E142" i="26"/>
  <c r="E146" i="26" s="1"/>
  <c r="E288" i="26"/>
  <c r="E292" i="26" s="1"/>
  <c r="E54" i="26" s="1"/>
  <c r="E296" i="26"/>
  <c r="E300" i="26" s="1"/>
  <c r="E55" i="26" s="1"/>
  <c r="E74" i="26"/>
  <c r="E153" i="26"/>
  <c r="E318" i="26"/>
  <c r="E58" i="26" s="1"/>
  <c r="E99" i="26"/>
  <c r="E156" i="26"/>
  <c r="E316" i="26"/>
  <c r="E111" i="26"/>
  <c r="F313" i="20"/>
  <c r="F52" i="20"/>
  <c r="F111" i="20"/>
  <c r="F165" i="20"/>
  <c r="F125" i="20"/>
  <c r="F330" i="20"/>
  <c r="F113" i="20"/>
  <c r="F167" i="20"/>
  <c r="F163" i="20"/>
  <c r="F328" i="20"/>
  <c r="F68" i="20" s="1"/>
  <c r="F109" i="20"/>
  <c r="F99" i="20"/>
  <c r="E112" i="20"/>
  <c r="E302" i="20"/>
  <c r="E64" i="20" s="1"/>
  <c r="E310" i="20"/>
  <c r="E65" i="20" s="1"/>
  <c r="E125" i="20"/>
  <c r="E313" i="20"/>
  <c r="E52" i="20"/>
  <c r="E113" i="20"/>
  <c r="E110" i="20"/>
  <c r="E163" i="20"/>
  <c r="E109" i="20"/>
  <c r="E328" i="20"/>
  <c r="E68" i="20" s="1"/>
  <c r="E99" i="20"/>
  <c r="E111" i="20"/>
  <c r="E165" i="20"/>
  <c r="D96" i="27"/>
  <c r="D109" i="27"/>
  <c r="D106" i="27"/>
  <c r="D84" i="27"/>
  <c r="D288" i="27" s="1"/>
  <c r="D86" i="27"/>
  <c r="D260" i="27"/>
  <c r="D71" i="27"/>
  <c r="D108" i="27" s="1"/>
  <c r="D135" i="27"/>
  <c r="D265" i="27"/>
  <c r="D210" i="27"/>
  <c r="D286" i="27"/>
  <c r="D268" i="27"/>
  <c r="D266" i="27"/>
  <c r="D26" i="27"/>
  <c r="D76" i="27"/>
  <c r="D139" i="27" s="1"/>
  <c r="D69" i="27"/>
  <c r="D37" i="27"/>
  <c r="D85" i="27" s="1"/>
  <c r="D60" i="27"/>
  <c r="D45" i="26"/>
  <c r="D44" i="26"/>
  <c r="D73" i="26"/>
  <c r="D80" i="26"/>
  <c r="D228" i="26" s="1"/>
  <c r="D229" i="26" s="1"/>
  <c r="D81" i="26"/>
  <c r="D79" i="26"/>
  <c r="D78" i="26"/>
  <c r="D77" i="26"/>
  <c r="D71" i="26"/>
  <c r="D69" i="26"/>
  <c r="D92" i="26" s="1"/>
  <c r="D43" i="26"/>
  <c r="D38" i="26"/>
  <c r="D36" i="26"/>
  <c r="D35" i="26"/>
  <c r="D70" i="26" s="1"/>
  <c r="D17" i="20"/>
  <c r="D18" i="20"/>
  <c r="D19" i="20"/>
  <c r="D20" i="20"/>
  <c r="D22" i="20"/>
  <c r="D23" i="20"/>
  <c r="D24" i="20"/>
  <c r="D28" i="20"/>
  <c r="D29" i="20"/>
  <c r="D30" i="20"/>
  <c r="D31" i="20"/>
  <c r="D33" i="20"/>
  <c r="D34" i="20"/>
  <c r="D35" i="20"/>
  <c r="D57" i="20"/>
  <c r="D55" i="20"/>
  <c r="D56" i="20"/>
  <c r="D54" i="20"/>
  <c r="D53" i="20"/>
  <c r="G1045" i="1" l="1"/>
  <c r="H1055" i="1"/>
  <c r="E174" i="1"/>
  <c r="F292" i="26"/>
  <c r="F54" i="26" s="1"/>
  <c r="F304" i="26"/>
  <c r="D86" i="26"/>
  <c r="H869" i="1"/>
  <c r="H454" i="1"/>
  <c r="H546" i="1"/>
  <c r="H1004" i="1"/>
  <c r="H1000" i="1"/>
  <c r="H1002" i="1" s="1"/>
  <c r="H970" i="1" s="1"/>
  <c r="H971" i="1" s="1"/>
  <c r="H1041" i="1"/>
  <c r="H1043" i="1" s="1"/>
  <c r="H972" i="1" s="1"/>
  <c r="H973" i="1" s="1"/>
  <c r="H1045" i="1"/>
  <c r="H901" i="1"/>
  <c r="H895" i="1"/>
  <c r="H897" i="1" s="1"/>
  <c r="H899" i="1" s="1"/>
  <c r="H894" i="1"/>
  <c r="H368" i="1"/>
  <c r="H371" i="1" s="1"/>
  <c r="H360" i="1"/>
  <c r="H448" i="1"/>
  <c r="H447" i="1"/>
  <c r="H450" i="1" s="1"/>
  <c r="H642" i="1"/>
  <c r="G1014" i="1"/>
  <c r="G1009" i="1"/>
  <c r="G1055" i="1"/>
  <c r="G1050" i="1"/>
  <c r="G454" i="1"/>
  <c r="G546" i="1"/>
  <c r="G903" i="1"/>
  <c r="G905" i="1" s="1"/>
  <c r="G907" i="1" s="1"/>
  <c r="G909" i="1" s="1"/>
  <c r="G910" i="1" s="1"/>
  <c r="G902" i="1"/>
  <c r="G642" i="1"/>
  <c r="G368" i="1"/>
  <c r="G371" i="1" s="1"/>
  <c r="G360" i="1"/>
  <c r="G455" i="1" s="1"/>
  <c r="G448" i="1"/>
  <c r="G447" i="1"/>
  <c r="G449" i="1" s="1"/>
  <c r="H224" i="27"/>
  <c r="H234" i="27"/>
  <c r="H237" i="27"/>
  <c r="H227" i="27"/>
  <c r="H247" i="27" s="1"/>
  <c r="H233" i="27"/>
  <c r="H223" i="27"/>
  <c r="H240" i="27"/>
  <c r="H230" i="27"/>
  <c r="H238" i="27"/>
  <c r="H228" i="27"/>
  <c r="H235" i="27"/>
  <c r="H225" i="27"/>
  <c r="H245" i="27" s="1"/>
  <c r="H239" i="27"/>
  <c r="H229" i="27"/>
  <c r="H236" i="27"/>
  <c r="H226" i="27"/>
  <c r="G235" i="27"/>
  <c r="G225" i="27"/>
  <c r="G245" i="27" s="1"/>
  <c r="G226" i="27"/>
  <c r="G236" i="27"/>
  <c r="G238" i="27"/>
  <c r="G228" i="27"/>
  <c r="G237" i="27"/>
  <c r="G227" i="27"/>
  <c r="G240" i="27"/>
  <c r="G230" i="27"/>
  <c r="G250" i="27" s="1"/>
  <c r="G239" i="27"/>
  <c r="G229" i="27"/>
  <c r="G224" i="27"/>
  <c r="G234" i="27"/>
  <c r="G233" i="27"/>
  <c r="G223" i="27"/>
  <c r="H243" i="26"/>
  <c r="H235" i="26"/>
  <c r="H205" i="26"/>
  <c r="H217" i="26" s="1"/>
  <c r="H242" i="26"/>
  <c r="H234" i="26"/>
  <c r="H204" i="26"/>
  <c r="H216" i="26" s="1"/>
  <c r="H236" i="26"/>
  <c r="H198" i="26"/>
  <c r="H210" i="26" s="1"/>
  <c r="H241" i="26"/>
  <c r="H203" i="26"/>
  <c r="H215" i="26" s="1"/>
  <c r="H240" i="26"/>
  <c r="H202" i="26"/>
  <c r="H214" i="26" s="1"/>
  <c r="H239" i="26"/>
  <c r="H201" i="26"/>
  <c r="H213" i="26" s="1"/>
  <c r="H238" i="26"/>
  <c r="H200" i="26"/>
  <c r="H212" i="26" s="1"/>
  <c r="H49" i="26"/>
  <c r="H237" i="26"/>
  <c r="H207" i="26"/>
  <c r="H219" i="26" s="1"/>
  <c r="H199" i="26"/>
  <c r="H211" i="26" s="1"/>
  <c r="H206" i="26"/>
  <c r="H218" i="26" s="1"/>
  <c r="H182" i="26"/>
  <c r="H130" i="26"/>
  <c r="H133" i="26"/>
  <c r="H138" i="26" s="1"/>
  <c r="G162" i="26"/>
  <c r="G163" i="26" s="1"/>
  <c r="G164" i="26" s="1"/>
  <c r="G165" i="26" s="1"/>
  <c r="G181" i="26"/>
  <c r="G118" i="26"/>
  <c r="G125" i="26" s="1"/>
  <c r="G122" i="26"/>
  <c r="G129" i="26" s="1"/>
  <c r="G137" i="26" s="1"/>
  <c r="G121" i="26"/>
  <c r="G128" i="26" s="1"/>
  <c r="G136" i="26" s="1"/>
  <c r="G119" i="26"/>
  <c r="G126" i="26" s="1"/>
  <c r="G134" i="26" s="1"/>
  <c r="G120" i="26"/>
  <c r="G127" i="26" s="1"/>
  <c r="G135" i="26" s="1"/>
  <c r="G48" i="26"/>
  <c r="G107" i="26"/>
  <c r="H140" i="20"/>
  <c r="H143" i="20"/>
  <c r="H148" i="20" s="1"/>
  <c r="H172" i="20"/>
  <c r="H179" i="20"/>
  <c r="H186" i="20" s="1"/>
  <c r="G172" i="20"/>
  <c r="G179" i="20"/>
  <c r="G186" i="20" s="1"/>
  <c r="G140" i="20"/>
  <c r="G143" i="20"/>
  <c r="G148" i="20" s="1"/>
  <c r="E99" i="27"/>
  <c r="F62" i="20"/>
  <c r="F947" i="1"/>
  <c r="F810" i="1"/>
  <c r="E324" i="20"/>
  <c r="E75" i="20" s="1"/>
  <c r="E314" i="20"/>
  <c r="E315" i="20" s="1"/>
  <c r="E66" i="20" s="1"/>
  <c r="F141" i="1" a="1"/>
  <c r="F141" i="1" s="1"/>
  <c r="F747" i="1"/>
  <c r="F750" i="1"/>
  <c r="F814" i="1" s="1"/>
  <c r="F816" i="1"/>
  <c r="F174" i="1"/>
  <c r="F305" i="1"/>
  <c r="F323" i="1" s="1"/>
  <c r="F325" i="1" s="1"/>
  <c r="F327" i="1" s="1"/>
  <c r="F753" i="1"/>
  <c r="F966" i="1" s="1"/>
  <c r="F286" i="1"/>
  <c r="F812" i="1"/>
  <c r="F820" i="1" s="1"/>
  <c r="F845" i="1" s="1"/>
  <c r="F793" i="1" s="1"/>
  <c r="F776" i="1"/>
  <c r="E1021" i="1"/>
  <c r="E1022" i="1" s="1"/>
  <c r="E732" i="1"/>
  <c r="E798" i="1" s="1"/>
  <c r="E718" i="1"/>
  <c r="E959" i="1" s="1"/>
  <c r="F867" i="1"/>
  <c r="F827" i="1"/>
  <c r="F837" i="1" s="1"/>
  <c r="F815" i="1"/>
  <c r="F139" i="1" a="1"/>
  <c r="F139" i="1" s="1"/>
  <c r="F142" i="1" a="1"/>
  <c r="F142" i="1" s="1"/>
  <c r="F145" i="1" s="1"/>
  <c r="F150" i="1" s="1"/>
  <c r="F545" i="1"/>
  <c r="F461" i="1"/>
  <c r="F140" i="1" a="1"/>
  <c r="F140" i="1" s="1"/>
  <c r="F366" i="1"/>
  <c r="F397" i="1"/>
  <c r="F396" i="1"/>
  <c r="F465" i="1"/>
  <c r="F464" i="1"/>
  <c r="F365" i="1"/>
  <c r="F370" i="1" s="1"/>
  <c r="F355" i="1"/>
  <c r="F364" i="1"/>
  <c r="F369" i="1" s="1"/>
  <c r="F831" i="1"/>
  <c r="F833" i="1" s="1"/>
  <c r="F834" i="1" s="1"/>
  <c r="F843" i="1" s="1"/>
  <c r="E141" i="1" a="1"/>
  <c r="E141" i="1" s="1"/>
  <c r="E545" i="1"/>
  <c r="E461" i="1"/>
  <c r="E286" i="1"/>
  <c r="E465" i="1"/>
  <c r="E464" i="1"/>
  <c r="E365" i="1"/>
  <c r="E370" i="1" s="1"/>
  <c r="E364" i="1"/>
  <c r="E369" i="1" s="1"/>
  <c r="E355" i="1"/>
  <c r="E142" i="1" a="1"/>
  <c r="E142" i="1" s="1"/>
  <c r="E396" i="1"/>
  <c r="E139" i="1" a="1"/>
  <c r="E139" i="1" s="1"/>
  <c r="E140" i="1" a="1"/>
  <c r="E140" i="1" s="1"/>
  <c r="E62" i="20"/>
  <c r="E275" i="27"/>
  <c r="E56" i="27" s="1"/>
  <c r="E100" i="27"/>
  <c r="E102" i="27" s="1"/>
  <c r="E114" i="27" s="1"/>
  <c r="E120" i="27" s="1"/>
  <c r="E127" i="27" s="1"/>
  <c r="F152" i="27"/>
  <c r="F158" i="27"/>
  <c r="F164" i="27" s="1"/>
  <c r="F177" i="27"/>
  <c r="F98" i="27"/>
  <c r="F100" i="27" s="1"/>
  <c r="F102" i="27" s="1"/>
  <c r="F273" i="27"/>
  <c r="F275" i="27" s="1"/>
  <c r="F56" i="27" s="1"/>
  <c r="F42" i="27"/>
  <c r="F157" i="27"/>
  <c r="F163" i="27" s="1"/>
  <c r="E152" i="27"/>
  <c r="E158" i="27"/>
  <c r="E164" i="27" s="1"/>
  <c r="E157" i="27"/>
  <c r="E163" i="27" s="1"/>
  <c r="F160" i="26"/>
  <c r="F161" i="26" s="1"/>
  <c r="F50" i="26"/>
  <c r="F102" i="26"/>
  <c r="F154" i="26"/>
  <c r="F100" i="26"/>
  <c r="F52" i="26"/>
  <c r="F314" i="26"/>
  <c r="F65" i="26" s="1"/>
  <c r="F310" i="26"/>
  <c r="F63" i="26" s="1"/>
  <c r="F190" i="26"/>
  <c r="F101" i="26"/>
  <c r="F103" i="26"/>
  <c r="F303" i="26"/>
  <c r="F305" i="26" s="1"/>
  <c r="F56" i="26" s="1"/>
  <c r="F42" i="26"/>
  <c r="E303" i="26"/>
  <c r="E42" i="26"/>
  <c r="E100" i="26"/>
  <c r="E154" i="26"/>
  <c r="E52" i="26"/>
  <c r="E310" i="26"/>
  <c r="E63" i="26" s="1"/>
  <c r="E304" i="26"/>
  <c r="E57" i="26"/>
  <c r="E89" i="26"/>
  <c r="E115" i="26"/>
  <c r="E190" i="26"/>
  <c r="E101" i="26"/>
  <c r="E102" i="26"/>
  <c r="F170" i="20"/>
  <c r="F60" i="20"/>
  <c r="F114" i="20"/>
  <c r="F116" i="20" s="1"/>
  <c r="F69" i="20"/>
  <c r="F314" i="20"/>
  <c r="F315" i="20" s="1"/>
  <c r="F66" i="20" s="1"/>
  <c r="F324" i="20"/>
  <c r="F75" i="20" s="1"/>
  <c r="E114" i="20"/>
  <c r="E116" i="20" s="1"/>
  <c r="E117" i="20" s="1"/>
  <c r="E60" i="20"/>
  <c r="E170" i="20"/>
  <c r="D297" i="26"/>
  <c r="D296" i="26"/>
  <c r="D114" i="26"/>
  <c r="D46" i="26"/>
  <c r="D93" i="27"/>
  <c r="D99" i="27" s="1"/>
  <c r="D39" i="27"/>
  <c r="D207" i="27"/>
  <c r="D208" i="27" s="1"/>
  <c r="D205" i="27"/>
  <c r="D206" i="27" s="1"/>
  <c r="D203" i="27"/>
  <c r="D204" i="27" s="1"/>
  <c r="D110" i="27"/>
  <c r="D174" i="27"/>
  <c r="D176" i="27" s="1"/>
  <c r="D91" i="27"/>
  <c r="D175" i="27" s="1"/>
  <c r="D173" i="27"/>
  <c r="D58" i="27"/>
  <c r="D59" i="27"/>
  <c r="D295" i="26"/>
  <c r="D85" i="26"/>
  <c r="D112" i="26"/>
  <c r="D224" i="26"/>
  <c r="D225" i="26" s="1"/>
  <c r="D299" i="26"/>
  <c r="D226" i="26"/>
  <c r="D227" i="26" s="1"/>
  <c r="D47" i="26"/>
  <c r="D230" i="26"/>
  <c r="D231" i="26" s="1"/>
  <c r="D88" i="26"/>
  <c r="D187" i="26"/>
  <c r="D189" i="26" s="1"/>
  <c r="D191" i="26" s="1"/>
  <c r="D148" i="26"/>
  <c r="D222" i="26"/>
  <c r="D223" i="26" s="1"/>
  <c r="D110" i="26"/>
  <c r="D143" i="26"/>
  <c r="D142" i="26"/>
  <c r="D84" i="26"/>
  <c r="D287" i="26"/>
  <c r="D93" i="26"/>
  <c r="D188" i="26" s="1"/>
  <c r="D111" i="26"/>
  <c r="D291" i="26"/>
  <c r="D94" i="26"/>
  <c r="D190" i="26" s="1"/>
  <c r="D141" i="26"/>
  <c r="D316" i="26" s="1"/>
  <c r="D145" i="26"/>
  <c r="D320" i="26" s="1"/>
  <c r="D289" i="26"/>
  <c r="D288" i="26"/>
  <c r="D25" i="26"/>
  <c r="D72" i="26" s="1"/>
  <c r="D113" i="26" s="1"/>
  <c r="D37" i="26"/>
  <c r="D39" i="26" s="1"/>
  <c r="D186" i="26"/>
  <c r="D60" i="26"/>
  <c r="D32" i="20"/>
  <c r="D21" i="20"/>
  <c r="D36" i="20"/>
  <c r="D25" i="20"/>
  <c r="D90" i="20"/>
  <c r="D91" i="20"/>
  <c r="D89" i="20"/>
  <c r="D88" i="20"/>
  <c r="D87" i="20"/>
  <c r="D48" i="20"/>
  <c r="D83" i="20"/>
  <c r="D82" i="20"/>
  <c r="D80" i="20"/>
  <c r="D79" i="20"/>
  <c r="D45" i="20"/>
  <c r="D46" i="20"/>
  <c r="G248" i="27" l="1"/>
  <c r="H249" i="27"/>
  <c r="H243" i="27"/>
  <c r="E48" i="27"/>
  <c r="E144" i="1"/>
  <c r="E148" i="1" s="1"/>
  <c r="E1025" i="1" s="1"/>
  <c r="D306" i="20"/>
  <c r="G246" i="27"/>
  <c r="G252" i="27" s="1"/>
  <c r="H248" i="27"/>
  <c r="F104" i="26"/>
  <c r="F106" i="26" s="1"/>
  <c r="F107" i="26" s="1"/>
  <c r="E103" i="27"/>
  <c r="D308" i="20"/>
  <c r="E115" i="27"/>
  <c r="E121" i="27" s="1"/>
  <c r="E128" i="27" s="1"/>
  <c r="G243" i="27"/>
  <c r="G247" i="27"/>
  <c r="H246" i="27"/>
  <c r="H253" i="27" s="1"/>
  <c r="H250" i="27"/>
  <c r="G450" i="1"/>
  <c r="G452" i="1" s="1"/>
  <c r="H449" i="1"/>
  <c r="H451" i="1" s="1"/>
  <c r="E145" i="1"/>
  <c r="E150" i="1" s="1"/>
  <c r="H452" i="1"/>
  <c r="G372" i="1"/>
  <c r="G379" i="1" s="1"/>
  <c r="G384" i="1" s="1"/>
  <c r="H372" i="1"/>
  <c r="H378" i="1" s="1"/>
  <c r="H383" i="1" s="1"/>
  <c r="H670" i="1"/>
  <c r="H668" i="1"/>
  <c r="H671" i="1" s="1"/>
  <c r="H395" i="1"/>
  <c r="H394" i="1"/>
  <c r="H903" i="1"/>
  <c r="H905" i="1" s="1"/>
  <c r="H907" i="1" s="1"/>
  <c r="H909" i="1" s="1"/>
  <c r="H910" i="1" s="1"/>
  <c r="H902" i="1"/>
  <c r="H455" i="1"/>
  <c r="G373" i="1"/>
  <c r="G613" i="1"/>
  <c r="G623" i="1" s="1"/>
  <c r="G524" i="1"/>
  <c r="G532" i="1" s="1"/>
  <c r="G542" i="1" s="1"/>
  <c r="G451" i="1"/>
  <c r="G670" i="1"/>
  <c r="G668" i="1"/>
  <c r="G671" i="1" s="1"/>
  <c r="G395" i="1"/>
  <c r="G394" i="1"/>
  <c r="H252" i="27"/>
  <c r="H244" i="27"/>
  <c r="G244" i="27"/>
  <c r="G249" i="27"/>
  <c r="H246" i="26"/>
  <c r="H258" i="26"/>
  <c r="H260" i="26"/>
  <c r="H248" i="26"/>
  <c r="H254" i="26"/>
  <c r="H266" i="26"/>
  <c r="H307" i="26"/>
  <c r="H61" i="26" s="1"/>
  <c r="H51" i="26"/>
  <c r="H312" i="26"/>
  <c r="H64" i="26" s="1"/>
  <c r="H308" i="26"/>
  <c r="H62" i="26" s="1"/>
  <c r="H262" i="26"/>
  <c r="H250" i="26"/>
  <c r="H252" i="26"/>
  <c r="H264" i="26"/>
  <c r="H263" i="26"/>
  <c r="H251" i="26"/>
  <c r="H275" i="26" s="1"/>
  <c r="H261" i="26"/>
  <c r="H249" i="26"/>
  <c r="H259" i="26"/>
  <c r="H247" i="26"/>
  <c r="H253" i="26"/>
  <c r="H265" i="26"/>
  <c r="H267" i="26"/>
  <c r="H255" i="26"/>
  <c r="H279" i="26" s="1"/>
  <c r="G130" i="26"/>
  <c r="G133" i="26"/>
  <c r="G138" i="26" s="1"/>
  <c r="G243" i="26"/>
  <c r="G235" i="26"/>
  <c r="G205" i="26"/>
  <c r="G217" i="26" s="1"/>
  <c r="G242" i="26"/>
  <c r="G234" i="26"/>
  <c r="G204" i="26"/>
  <c r="G216" i="26" s="1"/>
  <c r="G241" i="26"/>
  <c r="G203" i="26"/>
  <c r="G215" i="26" s="1"/>
  <c r="G240" i="26"/>
  <c r="G202" i="26"/>
  <c r="G214" i="26" s="1"/>
  <c r="G239" i="26"/>
  <c r="G201" i="26"/>
  <c r="G213" i="26" s="1"/>
  <c r="G238" i="26"/>
  <c r="G200" i="26"/>
  <c r="G212" i="26" s="1"/>
  <c r="G49" i="26"/>
  <c r="G236" i="26"/>
  <c r="G206" i="26"/>
  <c r="G218" i="26" s="1"/>
  <c r="G237" i="26"/>
  <c r="G207" i="26"/>
  <c r="G219" i="26" s="1"/>
  <c r="G199" i="26"/>
  <c r="G211" i="26" s="1"/>
  <c r="G198" i="26"/>
  <c r="G210" i="26" s="1"/>
  <c r="G182" i="26"/>
  <c r="H173" i="20"/>
  <c r="H180" i="20"/>
  <c r="H187" i="20" s="1"/>
  <c r="H61" i="20"/>
  <c r="H322" i="20"/>
  <c r="H74" i="20" s="1"/>
  <c r="H317" i="20"/>
  <c r="H71" i="20" s="1"/>
  <c r="H318" i="20"/>
  <c r="H72" i="20" s="1"/>
  <c r="G61" i="20"/>
  <c r="G322" i="20"/>
  <c r="G74" i="20" s="1"/>
  <c r="G318" i="20"/>
  <c r="G72" i="20" s="1"/>
  <c r="G317" i="20"/>
  <c r="G71" i="20" s="1"/>
  <c r="G173" i="20"/>
  <c r="G180" i="20"/>
  <c r="G187" i="20" s="1"/>
  <c r="F144" i="1"/>
  <c r="F148" i="1" s="1"/>
  <c r="F920" i="1" s="1"/>
  <c r="E113" i="27"/>
  <c r="E119" i="27" s="1"/>
  <c r="E116" i="27"/>
  <c r="E122" i="27" s="1"/>
  <c r="E129" i="27" s="1"/>
  <c r="F171" i="20"/>
  <c r="F179" i="20" s="1"/>
  <c r="F186" i="20" s="1"/>
  <c r="F178" i="20"/>
  <c r="F185" i="20" s="1"/>
  <c r="E305" i="26"/>
  <c r="E56" i="26" s="1"/>
  <c r="F312" i="1"/>
  <c r="F314" i="1" s="1"/>
  <c r="F316" i="1" s="1"/>
  <c r="F329" i="1" s="1"/>
  <c r="F330" i="1" s="1"/>
  <c r="F332" i="1" s="1"/>
  <c r="F280" i="1" s="1"/>
  <c r="F345" i="1" s="1"/>
  <c r="F849" i="1"/>
  <c r="F836" i="1"/>
  <c r="F893" i="1"/>
  <c r="F755" i="1"/>
  <c r="E803" i="1"/>
  <c r="E742" i="1"/>
  <c r="E948" i="1"/>
  <c r="E822" i="1"/>
  <c r="E823" i="1" s="1"/>
  <c r="E799" i="1"/>
  <c r="F644" i="1"/>
  <c r="F459" i="1"/>
  <c r="F443" i="1"/>
  <c r="F445" i="1" s="1"/>
  <c r="F388" i="1"/>
  <c r="F391" i="1" s="1"/>
  <c r="F363" i="1"/>
  <c r="F357" i="1"/>
  <c r="F870" i="1"/>
  <c r="F869" i="1"/>
  <c r="F534" i="1"/>
  <c r="F640" i="1"/>
  <c r="F502" i="1"/>
  <c r="F503" i="1" s="1"/>
  <c r="F479" i="1"/>
  <c r="F923" i="1"/>
  <c r="F462" i="1"/>
  <c r="E534" i="1"/>
  <c r="E640" i="1"/>
  <c r="E502" i="1"/>
  <c r="E503" i="1" s="1"/>
  <c r="E479" i="1"/>
  <c r="E462" i="1"/>
  <c r="E459" i="1"/>
  <c r="E443" i="1"/>
  <c r="E445" i="1" s="1"/>
  <c r="E546" i="1" s="1"/>
  <c r="E644" i="1"/>
  <c r="E363" i="1"/>
  <c r="E357" i="1"/>
  <c r="E388" i="1"/>
  <c r="E391" i="1" s="1"/>
  <c r="F116" i="27"/>
  <c r="F122" i="27" s="1"/>
  <c r="F129" i="27" s="1"/>
  <c r="F115" i="27"/>
  <c r="F121" i="27" s="1"/>
  <c r="F128" i="27" s="1"/>
  <c r="F114" i="27"/>
  <c r="F120" i="27" s="1"/>
  <c r="F127" i="27" s="1"/>
  <c r="F113" i="27"/>
  <c r="F119" i="27" s="1"/>
  <c r="F48" i="27"/>
  <c r="F153" i="27"/>
  <c r="F159" i="27"/>
  <c r="F165" i="27" s="1"/>
  <c r="F168" i="27"/>
  <c r="F103" i="27"/>
  <c r="E153" i="27"/>
  <c r="E159" i="27"/>
  <c r="E165" i="27" s="1"/>
  <c r="E168" i="27"/>
  <c r="E123" i="27"/>
  <c r="E126" i="27"/>
  <c r="E130" i="27" s="1"/>
  <c r="F118" i="26"/>
  <c r="F125" i="26" s="1"/>
  <c r="F48" i="26"/>
  <c r="F122" i="26"/>
  <c r="F129" i="26" s="1"/>
  <c r="F137" i="26" s="1"/>
  <c r="F121" i="26"/>
  <c r="F128" i="26" s="1"/>
  <c r="F136" i="26" s="1"/>
  <c r="F120" i="26"/>
  <c r="F127" i="26" s="1"/>
  <c r="F135" i="26" s="1"/>
  <c r="F162" i="26"/>
  <c r="F163" i="26" s="1"/>
  <c r="F164" i="26" s="1"/>
  <c r="F165" i="26" s="1"/>
  <c r="F181" i="26"/>
  <c r="E104" i="26"/>
  <c r="E106" i="26" s="1"/>
  <c r="E118" i="26" s="1"/>
  <c r="E125" i="26" s="1"/>
  <c r="E160" i="26"/>
  <c r="E50" i="26"/>
  <c r="E314" i="26"/>
  <c r="E65" i="26" s="1"/>
  <c r="F128" i="20"/>
  <c r="F135" i="20" s="1"/>
  <c r="F58" i="20"/>
  <c r="F129" i="20"/>
  <c r="F136" i="20" s="1"/>
  <c r="F144" i="20" s="1"/>
  <c r="F132" i="20"/>
  <c r="F139" i="20" s="1"/>
  <c r="F147" i="20" s="1"/>
  <c r="F131" i="20"/>
  <c r="F138" i="20" s="1"/>
  <c r="F146" i="20" s="1"/>
  <c r="F130" i="20"/>
  <c r="F137" i="20" s="1"/>
  <c r="F145" i="20" s="1"/>
  <c r="F117" i="20"/>
  <c r="E129" i="20"/>
  <c r="E136" i="20" s="1"/>
  <c r="E144" i="20" s="1"/>
  <c r="E132" i="20"/>
  <c r="E139" i="20" s="1"/>
  <c r="E147" i="20" s="1"/>
  <c r="E58" i="20"/>
  <c r="E131" i="20"/>
  <c r="E138" i="20" s="1"/>
  <c r="E146" i="20" s="1"/>
  <c r="E130" i="20"/>
  <c r="E137" i="20" s="1"/>
  <c r="E145" i="20" s="1"/>
  <c r="E128" i="20"/>
  <c r="E135" i="20" s="1"/>
  <c r="E171" i="20"/>
  <c r="E178" i="20"/>
  <c r="E185" i="20" s="1"/>
  <c r="D97" i="27"/>
  <c r="D178" i="27"/>
  <c r="D180" i="27" s="1"/>
  <c r="D144" i="27"/>
  <c r="D92" i="27"/>
  <c r="D262" i="27"/>
  <c r="D54" i="27" s="1"/>
  <c r="D270" i="27"/>
  <c r="D55" i="27" s="1"/>
  <c r="D137" i="27"/>
  <c r="D52" i="27" s="1"/>
  <c r="D274" i="27"/>
  <c r="D57" i="27"/>
  <c r="D145" i="27"/>
  <c r="D96" i="26"/>
  <c r="D194" i="26" s="1"/>
  <c r="D95" i="26"/>
  <c r="D192" i="26" s="1"/>
  <c r="D298" i="26"/>
  <c r="D300" i="26" s="1"/>
  <c r="D55" i="26" s="1"/>
  <c r="D193" i="26"/>
  <c r="D195" i="26" s="1"/>
  <c r="D153" i="26"/>
  <c r="D318" i="26"/>
  <c r="D58" i="26" s="1"/>
  <c r="D144" i="26"/>
  <c r="D146" i="26" s="1"/>
  <c r="D290" i="26"/>
  <c r="D292" i="26" s="1"/>
  <c r="D54" i="26" s="1"/>
  <c r="D74" i="26"/>
  <c r="D87" i="26"/>
  <c r="D57" i="26"/>
  <c r="D100" i="26"/>
  <c r="D154" i="26"/>
  <c r="D99" i="26"/>
  <c r="D101" i="26"/>
  <c r="D155" i="26"/>
  <c r="D115" i="26"/>
  <c r="D81" i="20"/>
  <c r="D122" i="20" s="1"/>
  <c r="D70" i="20"/>
  <c r="D300" i="20"/>
  <c r="D154" i="20"/>
  <c r="D152" i="20"/>
  <c r="D298" i="20"/>
  <c r="D120" i="20"/>
  <c r="D158" i="20"/>
  <c r="D305" i="20"/>
  <c r="D155" i="20"/>
  <c r="D301" i="20"/>
  <c r="D151" i="20"/>
  <c r="D297" i="20"/>
  <c r="D309" i="20"/>
  <c r="D121" i="20"/>
  <c r="D124" i="20"/>
  <c r="D123" i="20"/>
  <c r="D236" i="20"/>
  <c r="D237" i="20" s="1"/>
  <c r="D232" i="20"/>
  <c r="D233" i="20" s="1"/>
  <c r="D240" i="20"/>
  <c r="D241" i="20" s="1"/>
  <c r="D238" i="20"/>
  <c r="D239" i="20" s="1"/>
  <c r="D234" i="20"/>
  <c r="D235" i="20" s="1"/>
  <c r="D102" i="20"/>
  <c r="D196" i="20" s="1"/>
  <c r="D197" i="20"/>
  <c r="D103" i="20"/>
  <c r="D198" i="20" s="1"/>
  <c r="D94" i="20"/>
  <c r="D98" i="20"/>
  <c r="D97" i="20"/>
  <c r="D95" i="20"/>
  <c r="D47" i="20"/>
  <c r="G375" i="1" l="1"/>
  <c r="G380" i="1" s="1"/>
  <c r="G376" i="1"/>
  <c r="G381" i="1" s="1"/>
  <c r="G253" i="27"/>
  <c r="H273" i="26"/>
  <c r="H255" i="27"/>
  <c r="H53" i="27" s="1"/>
  <c r="F119" i="26"/>
  <c r="F126" i="26" s="1"/>
  <c r="F134" i="26" s="1"/>
  <c r="H375" i="1"/>
  <c r="H380" i="1" s="1"/>
  <c r="H277" i="26"/>
  <c r="H276" i="26"/>
  <c r="H278" i="26"/>
  <c r="G377" i="1"/>
  <c r="G382" i="1" s="1"/>
  <c r="H376" i="1"/>
  <c r="H381" i="1" s="1"/>
  <c r="H271" i="26"/>
  <c r="H274" i="26"/>
  <c r="H272" i="26"/>
  <c r="G378" i="1"/>
  <c r="G383" i="1" s="1"/>
  <c r="H379" i="1"/>
  <c r="H384" i="1" s="1"/>
  <c r="H398" i="1"/>
  <c r="H408" i="1" s="1"/>
  <c r="H373" i="1"/>
  <c r="H374" i="1" s="1"/>
  <c r="H453" i="1"/>
  <c r="H605" i="1" s="1"/>
  <c r="G667" i="1"/>
  <c r="G679" i="1" s="1"/>
  <c r="H377" i="1"/>
  <c r="H382" i="1" s="1"/>
  <c r="G398" i="1"/>
  <c r="G400" i="1" s="1"/>
  <c r="H618" i="1"/>
  <c r="H400" i="1"/>
  <c r="H613" i="1"/>
  <c r="H623" i="1" s="1"/>
  <c r="H524" i="1"/>
  <c r="H532" i="1" s="1"/>
  <c r="H542" i="1" s="1"/>
  <c r="H667" i="1"/>
  <c r="H679" i="1" s="1"/>
  <c r="G618" i="1"/>
  <c r="G466" i="1"/>
  <c r="G550" i="1" s="1"/>
  <c r="G453" i="1"/>
  <c r="G605" i="1" s="1"/>
  <c r="G374" i="1"/>
  <c r="F984" i="1"/>
  <c r="F1014" i="1" s="1"/>
  <c r="F1025" i="1"/>
  <c r="F1055" i="1" s="1"/>
  <c r="G255" i="27"/>
  <c r="G53" i="27" s="1"/>
  <c r="H270" i="26"/>
  <c r="G266" i="26"/>
  <c r="G254" i="26"/>
  <c r="G278" i="26" s="1"/>
  <c r="G263" i="26"/>
  <c r="G251" i="26"/>
  <c r="G258" i="26"/>
  <c r="G246" i="26"/>
  <c r="G261" i="26"/>
  <c r="G249" i="26"/>
  <c r="G273" i="26" s="1"/>
  <c r="G259" i="26"/>
  <c r="G247" i="26"/>
  <c r="G271" i="26" s="1"/>
  <c r="G252" i="26"/>
  <c r="G264" i="26"/>
  <c r="G267" i="26"/>
  <c r="G255" i="26"/>
  <c r="G262" i="26"/>
  <c r="G250" i="26"/>
  <c r="G274" i="26" s="1"/>
  <c r="G260" i="26"/>
  <c r="G248" i="26"/>
  <c r="G272" i="26" s="1"/>
  <c r="G312" i="26"/>
  <c r="G64" i="26" s="1"/>
  <c r="G51" i="26"/>
  <c r="G308" i="26"/>
  <c r="G62" i="26" s="1"/>
  <c r="G307" i="26"/>
  <c r="G61" i="26" s="1"/>
  <c r="G253" i="26"/>
  <c r="G265" i="26"/>
  <c r="F172" i="20"/>
  <c r="F180" i="20" s="1"/>
  <c r="F187" i="20" s="1"/>
  <c r="H174" i="20"/>
  <c r="H181" i="20"/>
  <c r="H188" i="20" s="1"/>
  <c r="G174" i="20"/>
  <c r="G181" i="20"/>
  <c r="G188" i="20" s="1"/>
  <c r="F901" i="1"/>
  <c r="F902" i="1" s="1"/>
  <c r="F894" i="1"/>
  <c r="E829" i="1"/>
  <c r="E951" i="1"/>
  <c r="E952" i="1" s="1"/>
  <c r="E965" i="1"/>
  <c r="E801" i="1"/>
  <c r="E832" i="1"/>
  <c r="E826" i="1"/>
  <c r="F642" i="1"/>
  <c r="F454" i="1"/>
  <c r="F877" i="1"/>
  <c r="F342" i="1"/>
  <c r="F546" i="1"/>
  <c r="F368" i="1"/>
  <c r="F371" i="1" s="1"/>
  <c r="F448" i="1"/>
  <c r="F360" i="1"/>
  <c r="F455" i="1" s="1"/>
  <c r="F447" i="1"/>
  <c r="F449" i="1" s="1"/>
  <c r="E1055" i="1"/>
  <c r="E1050" i="1"/>
  <c r="E642" i="1"/>
  <c r="E368" i="1"/>
  <c r="E371" i="1" s="1"/>
  <c r="E447" i="1"/>
  <c r="E450" i="1" s="1"/>
  <c r="E360" i="1"/>
  <c r="E448" i="1"/>
  <c r="E454" i="1"/>
  <c r="E140" i="20"/>
  <c r="E121" i="26"/>
  <c r="E128" i="26" s="1"/>
  <c r="E136" i="26" s="1"/>
  <c r="E107" i="26"/>
  <c r="E48" i="26"/>
  <c r="E119" i="26"/>
  <c r="E126" i="26" s="1"/>
  <c r="E134" i="26" s="1"/>
  <c r="E122" i="26"/>
  <c r="E129" i="26" s="1"/>
  <c r="E137" i="26" s="1"/>
  <c r="E120" i="26"/>
  <c r="E127" i="26" s="1"/>
  <c r="E135" i="26" s="1"/>
  <c r="F154" i="27"/>
  <c r="F160" i="27"/>
  <c r="F166" i="27" s="1"/>
  <c r="F220" i="27" s="1"/>
  <c r="F123" i="27"/>
  <c r="F126" i="27"/>
  <c r="F130" i="27" s="1"/>
  <c r="F213" i="27"/>
  <c r="F183" i="27"/>
  <c r="F193" i="27" s="1"/>
  <c r="F217" i="27"/>
  <c r="F187" i="27"/>
  <c r="F197" i="27" s="1"/>
  <c r="F190" i="27"/>
  <c r="F200" i="27" s="1"/>
  <c r="F189" i="27"/>
  <c r="F199" i="27" s="1"/>
  <c r="F218" i="27"/>
  <c r="F188" i="27"/>
  <c r="F198" i="27" s="1"/>
  <c r="F216" i="27"/>
  <c r="F186" i="27"/>
  <c r="F196" i="27" s="1"/>
  <c r="F184" i="27"/>
  <c r="F194" i="27" s="1"/>
  <c r="F215" i="27"/>
  <c r="F185" i="27"/>
  <c r="F195" i="27" s="1"/>
  <c r="F49" i="27"/>
  <c r="F214" i="27"/>
  <c r="F169" i="27"/>
  <c r="E282" i="27"/>
  <c r="E64" i="27" s="1"/>
  <c r="E51" i="27"/>
  <c r="E277" i="27"/>
  <c r="E61" i="27" s="1"/>
  <c r="E278" i="27"/>
  <c r="E62" i="27" s="1"/>
  <c r="E213" i="27"/>
  <c r="E183" i="27"/>
  <c r="E193" i="27" s="1"/>
  <c r="E185" i="27"/>
  <c r="E195" i="27" s="1"/>
  <c r="E190" i="27"/>
  <c r="E200" i="27" s="1"/>
  <c r="E215" i="27"/>
  <c r="E189" i="27"/>
  <c r="E199" i="27" s="1"/>
  <c r="E218" i="27"/>
  <c r="E188" i="27"/>
  <c r="E198" i="27" s="1"/>
  <c r="E217" i="27"/>
  <c r="E187" i="27"/>
  <c r="E197" i="27" s="1"/>
  <c r="E49" i="27"/>
  <c r="E214" i="27"/>
  <c r="E184" i="27"/>
  <c r="E194" i="27" s="1"/>
  <c r="E216" i="27"/>
  <c r="E186" i="27"/>
  <c r="E196" i="27" s="1"/>
  <c r="E169" i="27"/>
  <c r="E154" i="27"/>
  <c r="E160" i="27"/>
  <c r="E166" i="27" s="1"/>
  <c r="E220" i="27" s="1"/>
  <c r="F243" i="26"/>
  <c r="F235" i="26"/>
  <c r="F205" i="26"/>
  <c r="F217" i="26" s="1"/>
  <c r="F199" i="26"/>
  <c r="F211" i="26" s="1"/>
  <c r="F236" i="26"/>
  <c r="F206" i="26"/>
  <c r="F218" i="26" s="1"/>
  <c r="F242" i="26"/>
  <c r="F234" i="26"/>
  <c r="F204" i="26"/>
  <c r="F216" i="26" s="1"/>
  <c r="F241" i="26"/>
  <c r="F203" i="26"/>
  <c r="F215" i="26" s="1"/>
  <c r="F240" i="26"/>
  <c r="F202" i="26"/>
  <c r="F214" i="26" s="1"/>
  <c r="F239" i="26"/>
  <c r="F201" i="26"/>
  <c r="F213" i="26" s="1"/>
  <c r="F238" i="26"/>
  <c r="F200" i="26"/>
  <c r="F212" i="26" s="1"/>
  <c r="F49" i="26"/>
  <c r="F237" i="26"/>
  <c r="F207" i="26"/>
  <c r="F219" i="26" s="1"/>
  <c r="F198" i="26"/>
  <c r="F210" i="26" s="1"/>
  <c r="F182" i="26"/>
  <c r="F130" i="26"/>
  <c r="F133" i="26"/>
  <c r="F138" i="26" s="1"/>
  <c r="E161" i="26"/>
  <c r="E168" i="26"/>
  <c r="E175" i="26" s="1"/>
  <c r="E130" i="26"/>
  <c r="E133" i="26"/>
  <c r="E138" i="26" s="1"/>
  <c r="F140" i="20"/>
  <c r="F143" i="20"/>
  <c r="F148" i="20" s="1"/>
  <c r="E143" i="20"/>
  <c r="E148" i="20" s="1"/>
  <c r="E317" i="20" s="1"/>
  <c r="E71" i="20" s="1"/>
  <c r="E172" i="20"/>
  <c r="E179" i="20"/>
  <c r="E186" i="20" s="1"/>
  <c r="D177" i="27"/>
  <c r="D98" i="27"/>
  <c r="D73" i="27"/>
  <c r="D146" i="27"/>
  <c r="D179" i="27"/>
  <c r="D280" i="27"/>
  <c r="D63" i="27" s="1"/>
  <c r="D102" i="26"/>
  <c r="D42" i="26"/>
  <c r="D303" i="26"/>
  <c r="D310" i="26"/>
  <c r="D63" i="26" s="1"/>
  <c r="D89" i="26"/>
  <c r="D314" i="26" s="1"/>
  <c r="D65" i="26" s="1"/>
  <c r="D156" i="26"/>
  <c r="D59" i="26"/>
  <c r="D103" i="26"/>
  <c r="D157" i="26"/>
  <c r="D52" i="26"/>
  <c r="D304" i="26"/>
  <c r="D84" i="20"/>
  <c r="D313" i="20" s="1"/>
  <c r="D153" i="20"/>
  <c r="D156" i="20" s="1"/>
  <c r="D104" i="20"/>
  <c r="D200" i="20" s="1"/>
  <c r="D307" i="20"/>
  <c r="D310" i="20" s="1"/>
  <c r="D65" i="20" s="1"/>
  <c r="D105" i="20"/>
  <c r="D202" i="20" s="1"/>
  <c r="D299" i="20"/>
  <c r="D302" i="20" s="1"/>
  <c r="D64" i="20" s="1"/>
  <c r="D96" i="20"/>
  <c r="D106" i="20"/>
  <c r="D204" i="20" s="1"/>
  <c r="D330" i="20"/>
  <c r="D69" i="20" s="1"/>
  <c r="D328" i="20"/>
  <c r="D68" i="20" s="1"/>
  <c r="D326" i="20"/>
  <c r="D166" i="20"/>
  <c r="D163" i="20"/>
  <c r="D164" i="20"/>
  <c r="D167" i="20"/>
  <c r="D125" i="20"/>
  <c r="D199" i="20"/>
  <c r="D110" i="20"/>
  <c r="D109" i="20"/>
  <c r="D49" i="20"/>
  <c r="H410" i="1" l="1"/>
  <c r="G404" i="1"/>
  <c r="G385" i="1"/>
  <c r="G392" i="1" s="1"/>
  <c r="G440" i="1" s="1"/>
  <c r="G560" i="1" s="1"/>
  <c r="G279" i="26"/>
  <c r="G270" i="26"/>
  <c r="F1050" i="1"/>
  <c r="G489" i="1"/>
  <c r="G488" i="1"/>
  <c r="G439" i="1"/>
  <c r="G942" i="1" s="1"/>
  <c r="G486" i="1"/>
  <c r="G491" i="1"/>
  <c r="G275" i="26"/>
  <c r="H466" i="1"/>
  <c r="H550" i="1" s="1"/>
  <c r="H577" i="1" s="1"/>
  <c r="H578" i="1" s="1"/>
  <c r="F219" i="27"/>
  <c r="F239" i="27" s="1"/>
  <c r="G408" i="1"/>
  <c r="H385" i="1"/>
  <c r="H392" i="1" s="1"/>
  <c r="H489" i="1" s="1"/>
  <c r="H404" i="1"/>
  <c r="H405" i="1" s="1"/>
  <c r="F1009" i="1"/>
  <c r="G410" i="1"/>
  <c r="G411" i="1" s="1"/>
  <c r="F173" i="20"/>
  <c r="H409" i="1"/>
  <c r="H402" i="1"/>
  <c r="H418" i="1" s="1"/>
  <c r="H434" i="1" s="1"/>
  <c r="H401" i="1"/>
  <c r="H411" i="1"/>
  <c r="G577" i="1"/>
  <c r="G578" i="1" s="1"/>
  <c r="G551" i="1"/>
  <c r="G402" i="1"/>
  <c r="G418" i="1" s="1"/>
  <c r="G434" i="1" s="1"/>
  <c r="G401" i="1"/>
  <c r="G406" i="1"/>
  <c r="G423" i="1" s="1"/>
  <c r="G427" i="1" s="1"/>
  <c r="G405" i="1"/>
  <c r="G409" i="1"/>
  <c r="H282" i="26"/>
  <c r="H281" i="26"/>
  <c r="G276" i="26"/>
  <c r="G277" i="26"/>
  <c r="G282" i="26" s="1"/>
  <c r="H175" i="20"/>
  <c r="H191" i="20" s="1"/>
  <c r="H245" i="20" s="1"/>
  <c r="H182" i="20"/>
  <c r="H189" i="20" s="1"/>
  <c r="G182" i="20"/>
  <c r="G189" i="20" s="1"/>
  <c r="G175" i="20"/>
  <c r="G191" i="20" s="1"/>
  <c r="G244" i="20" s="1"/>
  <c r="F450" i="1"/>
  <c r="F452" i="1" s="1"/>
  <c r="F372" i="1"/>
  <c r="F378" i="1" s="1"/>
  <c r="F383" i="1" s="1"/>
  <c r="E449" i="1"/>
  <c r="E451" i="1" s="1"/>
  <c r="E825" i="1"/>
  <c r="E831" i="1" s="1"/>
  <c r="E833" i="1" s="1"/>
  <c r="E834" i="1" s="1"/>
  <c r="E753" i="1"/>
  <c r="E966" i="1" s="1"/>
  <c r="F613" i="1"/>
  <c r="F623" i="1" s="1"/>
  <c r="F524" i="1"/>
  <c r="F895" i="1"/>
  <c r="F897" i="1" s="1"/>
  <c r="F899" i="1" s="1"/>
  <c r="F884" i="1"/>
  <c r="F886" i="1" s="1"/>
  <c r="F888" i="1" s="1"/>
  <c r="F903" i="1"/>
  <c r="F905" i="1" s="1"/>
  <c r="F907" i="1" s="1"/>
  <c r="F451" i="1"/>
  <c r="F394" i="1"/>
  <c r="F670" i="1"/>
  <c r="F395" i="1"/>
  <c r="F668" i="1"/>
  <c r="F671" i="1" s="1"/>
  <c r="E394" i="1"/>
  <c r="E670" i="1"/>
  <c r="E917" i="1" s="1"/>
  <c r="E668" i="1"/>
  <c r="E671" i="1" s="1"/>
  <c r="E918" i="1" s="1"/>
  <c r="E395" i="1"/>
  <c r="E455" i="1"/>
  <c r="E372" i="1"/>
  <c r="E452" i="1"/>
  <c r="E318" i="20"/>
  <c r="E72" i="20" s="1"/>
  <c r="E322" i="20"/>
  <c r="E74" i="20" s="1"/>
  <c r="E61" i="20"/>
  <c r="F240" i="27"/>
  <c r="F230" i="27"/>
  <c r="F250" i="27" s="1"/>
  <c r="F234" i="27"/>
  <c r="F224" i="27"/>
  <c r="F238" i="27"/>
  <c r="F228" i="27"/>
  <c r="F233" i="27"/>
  <c r="F223" i="27"/>
  <c r="F236" i="27"/>
  <c r="F226" i="27"/>
  <c r="F246" i="27" s="1"/>
  <c r="F282" i="27"/>
  <c r="F64" i="27" s="1"/>
  <c r="F51" i="27"/>
  <c r="F278" i="27"/>
  <c r="F62" i="27" s="1"/>
  <c r="F277" i="27"/>
  <c r="F61" i="27" s="1"/>
  <c r="F235" i="27"/>
  <c r="F225" i="27"/>
  <c r="F245" i="27" s="1"/>
  <c r="F237" i="27"/>
  <c r="F227" i="27"/>
  <c r="E240" i="27"/>
  <c r="E230" i="27"/>
  <c r="E237" i="27"/>
  <c r="E227" i="27"/>
  <c r="E247" i="27" s="1"/>
  <c r="E233" i="27"/>
  <c r="E223" i="27"/>
  <c r="E219" i="27"/>
  <c r="E238" i="27"/>
  <c r="E228" i="27"/>
  <c r="E236" i="27"/>
  <c r="E226" i="27"/>
  <c r="E234" i="27"/>
  <c r="E224" i="27"/>
  <c r="E235" i="27"/>
  <c r="E225" i="27"/>
  <c r="F260" i="26"/>
  <c r="F248" i="26"/>
  <c r="F264" i="26"/>
  <c r="F252" i="26"/>
  <c r="F262" i="26"/>
  <c r="F250" i="26"/>
  <c r="F263" i="26"/>
  <c r="F251" i="26"/>
  <c r="F51" i="26"/>
  <c r="F312" i="26"/>
  <c r="F64" i="26" s="1"/>
  <c r="F307" i="26"/>
  <c r="F61" i="26" s="1"/>
  <c r="F308" i="26"/>
  <c r="F62" i="26" s="1"/>
  <c r="F254" i="26"/>
  <c r="F266" i="26"/>
  <c r="F253" i="26"/>
  <c r="F265" i="26"/>
  <c r="F259" i="26"/>
  <c r="F247" i="26"/>
  <c r="F246" i="26"/>
  <c r="F258" i="26"/>
  <c r="F261" i="26"/>
  <c r="F249" i="26"/>
  <c r="F255" i="26"/>
  <c r="F267" i="26"/>
  <c r="E308" i="26"/>
  <c r="E62" i="26" s="1"/>
  <c r="E51" i="26"/>
  <c r="E312" i="26"/>
  <c r="E64" i="26" s="1"/>
  <c r="E307" i="26"/>
  <c r="E61" i="26" s="1"/>
  <c r="E162" i="26"/>
  <c r="E169" i="26"/>
  <c r="E176" i="26" s="1"/>
  <c r="F61" i="20"/>
  <c r="F322" i="20"/>
  <c r="F74" i="20" s="1"/>
  <c r="F318" i="20"/>
  <c r="F72" i="20" s="1"/>
  <c r="F317" i="20"/>
  <c r="F71" i="20" s="1"/>
  <c r="E173" i="20"/>
  <c r="E180" i="20"/>
  <c r="E187" i="20" s="1"/>
  <c r="D104" i="26"/>
  <c r="D106" i="26" s="1"/>
  <c r="D121" i="26" s="1"/>
  <c r="D128" i="26" s="1"/>
  <c r="D136" i="26" s="1"/>
  <c r="D147" i="27"/>
  <c r="D100" i="27"/>
  <c r="D273" i="27"/>
  <c r="D275" i="27" s="1"/>
  <c r="D56" i="27" s="1"/>
  <c r="D42" i="27"/>
  <c r="D87" i="27"/>
  <c r="D160" i="26"/>
  <c r="D161" i="26" s="1"/>
  <c r="D169" i="26" s="1"/>
  <c r="D176" i="26" s="1"/>
  <c r="D305" i="26"/>
  <c r="D56" i="26" s="1"/>
  <c r="D50" i="26"/>
  <c r="D52" i="20"/>
  <c r="D113" i="20"/>
  <c r="D112" i="20"/>
  <c r="D67" i="20"/>
  <c r="D314" i="20"/>
  <c r="D320" i="20"/>
  <c r="D73" i="20" s="1"/>
  <c r="D62" i="20"/>
  <c r="D201" i="20"/>
  <c r="D165" i="20"/>
  <c r="D99" i="20"/>
  <c r="D111" i="20"/>
  <c r="G485" i="1" l="1"/>
  <c r="G441" i="1"/>
  <c r="G612" i="1" s="1"/>
  <c r="G622" i="1" s="1"/>
  <c r="G492" i="1"/>
  <c r="G495" i="1" s="1"/>
  <c r="G497" i="1" s="1"/>
  <c r="G954" i="1"/>
  <c r="H406" i="1"/>
  <c r="H423" i="1" s="1"/>
  <c r="H427" i="1" s="1"/>
  <c r="H551" i="1"/>
  <c r="H945" i="1" s="1"/>
  <c r="G614" i="1"/>
  <c r="G615" i="1" s="1"/>
  <c r="G616" i="1" s="1"/>
  <c r="G665" i="1" s="1"/>
  <c r="G610" i="1" s="1"/>
  <c r="G678" i="1" s="1"/>
  <c r="G675" i="1" s="1"/>
  <c r="G469" i="1"/>
  <c r="G504" i="1" s="1"/>
  <c r="G494" i="1"/>
  <c r="G496" i="1" s="1"/>
  <c r="E914" i="1"/>
  <c r="E926" i="1" s="1"/>
  <c r="E243" i="27"/>
  <c r="F229" i="27"/>
  <c r="G281" i="26"/>
  <c r="H284" i="26"/>
  <c r="H53" i="26" s="1"/>
  <c r="H253" i="20"/>
  <c r="H485" i="1"/>
  <c r="H439" i="1"/>
  <c r="H942" i="1" s="1"/>
  <c r="G463" i="1"/>
  <c r="H486" i="1"/>
  <c r="H492" i="1"/>
  <c r="H491" i="1"/>
  <c r="F276" i="26"/>
  <c r="F181" i="20"/>
  <c r="F188" i="20" s="1"/>
  <c r="G556" i="1"/>
  <c r="H441" i="1"/>
  <c r="H612" i="1" s="1"/>
  <c r="H614" i="1" s="1"/>
  <c r="H615" i="1" s="1"/>
  <c r="G548" i="1"/>
  <c r="G549" i="1" s="1"/>
  <c r="F174" i="20"/>
  <c r="G474" i="1"/>
  <c r="H954" i="1"/>
  <c r="G476" i="1"/>
  <c r="H488" i="1"/>
  <c r="G284" i="26"/>
  <c r="G53" i="26" s="1"/>
  <c r="H440" i="1"/>
  <c r="H548" i="1" s="1"/>
  <c r="H549" i="1" s="1"/>
  <c r="G215" i="20"/>
  <c r="G227" i="20" s="1"/>
  <c r="G245" i="20"/>
  <c r="G257" i="20" s="1"/>
  <c r="H210" i="20"/>
  <c r="H222" i="20" s="1"/>
  <c r="G210" i="20"/>
  <c r="G222" i="20" s="1"/>
  <c r="H251" i="20"/>
  <c r="H275" i="20" s="1"/>
  <c r="G248" i="20"/>
  <c r="H214" i="20"/>
  <c r="H226" i="20" s="1"/>
  <c r="H248" i="20"/>
  <c r="G208" i="20"/>
  <c r="G220" i="20" s="1"/>
  <c r="H244" i="20"/>
  <c r="H256" i="20" s="1"/>
  <c r="G246" i="20"/>
  <c r="G270" i="20" s="1"/>
  <c r="H59" i="20"/>
  <c r="G247" i="20"/>
  <c r="G271" i="20" s="1"/>
  <c r="H417" i="1"/>
  <c r="H426" i="1" s="1"/>
  <c r="H594" i="1"/>
  <c r="H584" i="1"/>
  <c r="H598" i="1" s="1"/>
  <c r="H589" i="1"/>
  <c r="H421" i="1"/>
  <c r="H432" i="1" s="1"/>
  <c r="G594" i="1"/>
  <c r="G584" i="1"/>
  <c r="G589" i="1"/>
  <c r="G945" i="1"/>
  <c r="G946" i="1" s="1"/>
  <c r="G553" i="1"/>
  <c r="G963" i="1"/>
  <c r="G964" i="1" s="1"/>
  <c r="G581" i="1"/>
  <c r="G587" i="1"/>
  <c r="G424" i="1"/>
  <c r="G435" i="1" s="1"/>
  <c r="G421" i="1"/>
  <c r="G432" i="1" s="1"/>
  <c r="G414" i="1"/>
  <c r="G422" i="1" s="1"/>
  <c r="G433" i="1" s="1"/>
  <c r="G420" i="1"/>
  <c r="G429" i="1" s="1"/>
  <c r="G417" i="1"/>
  <c r="G426" i="1" s="1"/>
  <c r="G413" i="1"/>
  <c r="G212" i="20"/>
  <c r="G224" i="20" s="1"/>
  <c r="G250" i="20"/>
  <c r="G262" i="20" s="1"/>
  <c r="G209" i="20"/>
  <c r="G221" i="20" s="1"/>
  <c r="H208" i="20"/>
  <c r="H220" i="20" s="1"/>
  <c r="G217" i="20"/>
  <c r="G229" i="20" s="1"/>
  <c r="H216" i="20"/>
  <c r="H228" i="20" s="1"/>
  <c r="H211" i="20"/>
  <c r="H223" i="20" s="1"/>
  <c r="H249" i="20"/>
  <c r="G253" i="20"/>
  <c r="G277" i="20" s="1"/>
  <c r="G211" i="20"/>
  <c r="G223" i="20" s="1"/>
  <c r="G272" i="20" s="1"/>
  <c r="G251" i="20"/>
  <c r="G263" i="20" s="1"/>
  <c r="H209" i="20"/>
  <c r="H221" i="20" s="1"/>
  <c r="H212" i="20"/>
  <c r="H224" i="20" s="1"/>
  <c r="H246" i="20"/>
  <c r="G213" i="20"/>
  <c r="G225" i="20" s="1"/>
  <c r="G192" i="20"/>
  <c r="G249" i="20"/>
  <c r="G214" i="20"/>
  <c r="G226" i="20" s="1"/>
  <c r="H217" i="20"/>
  <c r="H229" i="20" s="1"/>
  <c r="H250" i="20"/>
  <c r="H274" i="20" s="1"/>
  <c r="H215" i="20"/>
  <c r="H227" i="20" s="1"/>
  <c r="H192" i="20"/>
  <c r="G59" i="20"/>
  <c r="G216" i="20"/>
  <c r="G228" i="20" s="1"/>
  <c r="H247" i="20"/>
  <c r="H259" i="20" s="1"/>
  <c r="H213" i="20"/>
  <c r="H225" i="20" s="1"/>
  <c r="H277" i="20"/>
  <c r="H265" i="20"/>
  <c r="H269" i="20"/>
  <c r="H257" i="20"/>
  <c r="H252" i="20"/>
  <c r="G256" i="20"/>
  <c r="G252" i="20"/>
  <c r="E245" i="27"/>
  <c r="F376" i="1"/>
  <c r="F381" i="1" s="1"/>
  <c r="F377" i="1"/>
  <c r="F382" i="1" s="1"/>
  <c r="E246" i="27"/>
  <c r="F247" i="27"/>
  <c r="F244" i="27"/>
  <c r="F271" i="26"/>
  <c r="F272" i="26"/>
  <c r="F279" i="26"/>
  <c r="F277" i="26"/>
  <c r="F273" i="26"/>
  <c r="F274" i="26"/>
  <c r="F270" i="26"/>
  <c r="F375" i="1"/>
  <c r="F380" i="1" s="1"/>
  <c r="F373" i="1"/>
  <c r="F374" i="1" s="1"/>
  <c r="F379" i="1"/>
  <c r="F384" i="1" s="1"/>
  <c r="F398" i="1"/>
  <c r="F410" i="1" s="1"/>
  <c r="F453" i="1"/>
  <c r="F605" i="1" s="1"/>
  <c r="F909" i="1"/>
  <c r="F910" i="1" s="1"/>
  <c r="F912" i="1" s="1"/>
  <c r="F853" i="1" s="1"/>
  <c r="F925" i="1" s="1"/>
  <c r="F922" i="1" s="1"/>
  <c r="F667" i="1"/>
  <c r="F679" i="1" s="1"/>
  <c r="E377" i="1"/>
  <c r="E382" i="1" s="1"/>
  <c r="E376" i="1"/>
  <c r="E381" i="1" s="1"/>
  <c r="E375" i="1"/>
  <c r="E380" i="1" s="1"/>
  <c r="E379" i="1"/>
  <c r="E384" i="1" s="1"/>
  <c r="E378" i="1"/>
  <c r="E383" i="1" s="1"/>
  <c r="E373" i="1"/>
  <c r="E613" i="1"/>
  <c r="E623" i="1" s="1"/>
  <c r="E524" i="1"/>
  <c r="E667" i="1"/>
  <c r="E679" i="1" s="1"/>
  <c r="E453" i="1"/>
  <c r="E605" i="1" s="1"/>
  <c r="E398" i="1"/>
  <c r="F248" i="27"/>
  <c r="E250" i="27"/>
  <c r="E244" i="27"/>
  <c r="F249" i="27"/>
  <c r="F243" i="27"/>
  <c r="E239" i="27"/>
  <c r="E229" i="27"/>
  <c r="E248" i="27"/>
  <c r="F275" i="26"/>
  <c r="F278" i="26"/>
  <c r="E163" i="26"/>
  <c r="E170" i="26"/>
  <c r="E177" i="26" s="1"/>
  <c r="E174" i="20"/>
  <c r="E181" i="20"/>
  <c r="E188" i="20" s="1"/>
  <c r="D102" i="27"/>
  <c r="D150" i="27"/>
  <c r="D284" i="27"/>
  <c r="D65" i="27" s="1"/>
  <c r="D50" i="27"/>
  <c r="D119" i="26"/>
  <c r="D126" i="26" s="1"/>
  <c r="D134" i="26" s="1"/>
  <c r="D107" i="26"/>
  <c r="D48" i="26"/>
  <c r="D122" i="26"/>
  <c r="D129" i="26" s="1"/>
  <c r="D137" i="26" s="1"/>
  <c r="D118" i="26"/>
  <c r="D125" i="26" s="1"/>
  <c r="D133" i="26" s="1"/>
  <c r="D120" i="26"/>
  <c r="D127" i="26" s="1"/>
  <c r="D135" i="26" s="1"/>
  <c r="D168" i="26"/>
  <c r="D175" i="26" s="1"/>
  <c r="D162" i="26"/>
  <c r="D170" i="26" s="1"/>
  <c r="D177" i="26" s="1"/>
  <c r="D324" i="20"/>
  <c r="D75" i="20" s="1"/>
  <c r="D170" i="20"/>
  <c r="D178" i="20" s="1"/>
  <c r="D185" i="20" s="1"/>
  <c r="D60" i="20"/>
  <c r="D114" i="20"/>
  <c r="D315" i="20"/>
  <c r="D66" i="20" s="1"/>
  <c r="D203" i="20"/>
  <c r="H424" i="1" l="1"/>
  <c r="H435" i="1" s="1"/>
  <c r="H553" i="1"/>
  <c r="H413" i="1"/>
  <c r="H467" i="1" s="1"/>
  <c r="H581" i="1"/>
  <c r="H963" i="1"/>
  <c r="H964" i="1" s="1"/>
  <c r="G559" i="1"/>
  <c r="G582" i="1" s="1"/>
  <c r="G636" i="1"/>
  <c r="G643" i="1" s="1"/>
  <c r="G645" i="1" s="1"/>
  <c r="G647" i="1" s="1"/>
  <c r="G507" i="1"/>
  <c r="H587" i="1"/>
  <c r="H414" i="1"/>
  <c r="H422" i="1" s="1"/>
  <c r="H433" i="1" s="1"/>
  <c r="H436" i="1" s="1"/>
  <c r="H420" i="1"/>
  <c r="H429" i="1" s="1"/>
  <c r="G481" i="1"/>
  <c r="G477" i="1" s="1"/>
  <c r="H560" i="1"/>
  <c r="H494" i="1"/>
  <c r="H496" i="1" s="1"/>
  <c r="H463" i="1"/>
  <c r="H556" i="1"/>
  <c r="G558" i="1"/>
  <c r="G563" i="1" s="1"/>
  <c r="G575" i="1" s="1"/>
  <c r="H474" i="1"/>
  <c r="H476" i="1"/>
  <c r="H469" i="1"/>
  <c r="H559" i="1" s="1"/>
  <c r="F282" i="26"/>
  <c r="H495" i="1"/>
  <c r="H497" i="1" s="1"/>
  <c r="H263" i="20"/>
  <c r="H273" i="20"/>
  <c r="H260" i="20"/>
  <c r="F191" i="20"/>
  <c r="F247" i="20"/>
  <c r="F213" i="20"/>
  <c r="F225" i="20" s="1"/>
  <c r="F212" i="20"/>
  <c r="F224" i="20" s="1"/>
  <c r="F59" i="20"/>
  <c r="F217" i="20"/>
  <c r="F229" i="20" s="1"/>
  <c r="F210" i="20"/>
  <c r="F222" i="20" s="1"/>
  <c r="F244" i="20"/>
  <c r="F250" i="20"/>
  <c r="F192" i="20"/>
  <c r="F208" i="20"/>
  <c r="F220" i="20" s="1"/>
  <c r="F209" i="20"/>
  <c r="F221" i="20" s="1"/>
  <c r="F246" i="20"/>
  <c r="F211" i="20"/>
  <c r="F223" i="20" s="1"/>
  <c r="F249" i="20"/>
  <c r="F248" i="20"/>
  <c r="F215" i="20"/>
  <c r="F227" i="20" s="1"/>
  <c r="F245" i="20"/>
  <c r="F216" i="20"/>
  <c r="F228" i="20" s="1"/>
  <c r="F214" i="20"/>
  <c r="F226" i="20" s="1"/>
  <c r="F251" i="20"/>
  <c r="F182" i="20"/>
  <c r="F189" i="20" s="1"/>
  <c r="F252" i="20" s="1"/>
  <c r="F175" i="20"/>
  <c r="G269" i="20"/>
  <c r="H622" i="1"/>
  <c r="F281" i="26"/>
  <c r="F284" i="26" s="1"/>
  <c r="F53" i="26" s="1"/>
  <c r="G561" i="1"/>
  <c r="G573" i="1" s="1"/>
  <c r="H946" i="1"/>
  <c r="G260" i="20"/>
  <c r="G284" i="20" s="1"/>
  <c r="H272" i="20"/>
  <c r="H268" i="20"/>
  <c r="H280" i="20" s="1"/>
  <c r="H262" i="20"/>
  <c r="H286" i="20" s="1"/>
  <c r="H261" i="20"/>
  <c r="G268" i="20"/>
  <c r="G280" i="20" s="1"/>
  <c r="H289" i="20"/>
  <c r="H281" i="20"/>
  <c r="H270" i="20"/>
  <c r="G259" i="20"/>
  <c r="G283" i="20" s="1"/>
  <c r="G275" i="20"/>
  <c r="G287" i="20" s="1"/>
  <c r="G258" i="20"/>
  <c r="G282" i="20" s="1"/>
  <c r="H258" i="20"/>
  <c r="H419" i="1"/>
  <c r="H428" i="1" s="1"/>
  <c r="H430" i="1" s="1"/>
  <c r="H415" i="1"/>
  <c r="H580" i="1"/>
  <c r="H567" i="1"/>
  <c r="H636" i="1"/>
  <c r="H616" i="1"/>
  <c r="H665" i="1" s="1"/>
  <c r="H610" i="1" s="1"/>
  <c r="H678" i="1" s="1"/>
  <c r="H675" i="1" s="1"/>
  <c r="H596" i="1"/>
  <c r="G436" i="1"/>
  <c r="G419" i="1"/>
  <c r="G428" i="1" s="1"/>
  <c r="G430" i="1" s="1"/>
  <c r="G467" i="1"/>
  <c r="G415" i="1"/>
  <c r="G654" i="1"/>
  <c r="G598" i="1"/>
  <c r="G596" i="1"/>
  <c r="G580" i="1"/>
  <c r="G567" i="1"/>
  <c r="G261" i="20"/>
  <c r="G273" i="20"/>
  <c r="G285" i="20"/>
  <c r="H285" i="20"/>
  <c r="H271" i="20"/>
  <c r="H283" i="20" s="1"/>
  <c r="G274" i="20"/>
  <c r="G286" i="20" s="1"/>
  <c r="G265" i="20"/>
  <c r="G289" i="20" s="1"/>
  <c r="H287" i="20"/>
  <c r="H276" i="20"/>
  <c r="H264" i="20"/>
  <c r="G281" i="20"/>
  <c r="G264" i="20"/>
  <c r="G276" i="20"/>
  <c r="F253" i="20"/>
  <c r="F385" i="1"/>
  <c r="F392" i="1" s="1"/>
  <c r="F439" i="1" s="1"/>
  <c r="F618" i="1"/>
  <c r="F466" i="1"/>
  <c r="F550" i="1" s="1"/>
  <c r="F577" i="1" s="1"/>
  <c r="F578" i="1" s="1"/>
  <c r="F400" i="1"/>
  <c r="F402" i="1" s="1"/>
  <c r="F418" i="1" s="1"/>
  <c r="F434" i="1" s="1"/>
  <c r="F408" i="1"/>
  <c r="F409" i="1" s="1"/>
  <c r="F404" i="1"/>
  <c r="F406" i="1" s="1"/>
  <c r="F423" i="1" s="1"/>
  <c r="F427" i="1" s="1"/>
  <c r="F411" i="1"/>
  <c r="E404" i="1"/>
  <c r="E410" i="1"/>
  <c r="E400" i="1"/>
  <c r="E408" i="1"/>
  <c r="E466" i="1"/>
  <c r="E550" i="1" s="1"/>
  <c r="E618" i="1"/>
  <c r="E374" i="1"/>
  <c r="E385" i="1"/>
  <c r="E392" i="1" s="1"/>
  <c r="E249" i="27"/>
  <c r="F252" i="27"/>
  <c r="F253" i="27"/>
  <c r="E164" i="26"/>
  <c r="E171" i="26"/>
  <c r="E178" i="26" s="1"/>
  <c r="E181" i="26"/>
  <c r="E182" i="20"/>
  <c r="E189" i="20" s="1"/>
  <c r="E175" i="20"/>
  <c r="E191" i="20" s="1"/>
  <c r="E245" i="20" s="1"/>
  <c r="D103" i="27"/>
  <c r="D48" i="27"/>
  <c r="D115" i="27"/>
  <c r="D121" i="27" s="1"/>
  <c r="D128" i="27" s="1"/>
  <c r="D114" i="27"/>
  <c r="D120" i="27" s="1"/>
  <c r="D127" i="27" s="1"/>
  <c r="D116" i="27"/>
  <c r="D122" i="27" s="1"/>
  <c r="D129" i="27" s="1"/>
  <c r="D113" i="27"/>
  <c r="D119" i="27" s="1"/>
  <c r="D157" i="27"/>
  <c r="D163" i="27" s="1"/>
  <c r="D151" i="27"/>
  <c r="D158" i="27" s="1"/>
  <c r="D138" i="26"/>
  <c r="D307" i="26" s="1"/>
  <c r="D61" i="26" s="1"/>
  <c r="D130" i="26"/>
  <c r="D163" i="26"/>
  <c r="D171" i="20"/>
  <c r="D179" i="20" s="1"/>
  <c r="D186" i="20" s="1"/>
  <c r="D116" i="20"/>
  <c r="D205" i="20"/>
  <c r="G602" i="1" l="1"/>
  <c r="G520" i="1" s="1"/>
  <c r="G987" i="1" s="1"/>
  <c r="G988" i="1" s="1"/>
  <c r="G600" i="1"/>
  <c r="H558" i="1"/>
  <c r="H563" i="1" s="1"/>
  <c r="H561" i="1"/>
  <c r="H573" i="1" s="1"/>
  <c r="H481" i="1"/>
  <c r="H477" i="1" s="1"/>
  <c r="H504" i="1"/>
  <c r="H507" i="1"/>
  <c r="H284" i="20"/>
  <c r="H288" i="20"/>
  <c r="F262" i="20"/>
  <c r="F268" i="20"/>
  <c r="F256" i="20"/>
  <c r="F280" i="20" s="1"/>
  <c r="F273" i="20"/>
  <c r="F261" i="20"/>
  <c r="F285" i="20" s="1"/>
  <c r="F275" i="20"/>
  <c r="F263" i="20"/>
  <c r="F287" i="20" s="1"/>
  <c r="F270" i="20"/>
  <c r="F258" i="20"/>
  <c r="F274" i="20"/>
  <c r="F286" i="20" s="1"/>
  <c r="F272" i="20"/>
  <c r="F260" i="20"/>
  <c r="F284" i="20" s="1"/>
  <c r="F269" i="20"/>
  <c r="F257" i="20"/>
  <c r="F281" i="20" s="1"/>
  <c r="F271" i="20"/>
  <c r="F259" i="20"/>
  <c r="F283" i="20" s="1"/>
  <c r="H282" i="20"/>
  <c r="F440" i="1"/>
  <c r="F548" i="1" s="1"/>
  <c r="F549" i="1" s="1"/>
  <c r="F485" i="1"/>
  <c r="F486" i="1"/>
  <c r="F441" i="1"/>
  <c r="F612" i="1" s="1"/>
  <c r="H438" i="1"/>
  <c r="H528" i="1" s="1"/>
  <c r="G438" i="1"/>
  <c r="G528" i="1" s="1"/>
  <c r="H654" i="1"/>
  <c r="H643" i="1"/>
  <c r="H645" i="1" s="1"/>
  <c r="H647" i="1" s="1"/>
  <c r="H575" i="1"/>
  <c r="H586" i="1"/>
  <c r="H588" i="1"/>
  <c r="H582" i="1"/>
  <c r="G586" i="1"/>
  <c r="G588" i="1"/>
  <c r="H292" i="20"/>
  <c r="H291" i="20"/>
  <c r="G288" i="20"/>
  <c r="G292" i="20" s="1"/>
  <c r="F405" i="1"/>
  <c r="F954" i="1"/>
  <c r="F488" i="1"/>
  <c r="F489" i="1"/>
  <c r="F491" i="1"/>
  <c r="F492" i="1"/>
  <c r="F277" i="20"/>
  <c r="F265" i="20"/>
  <c r="F264" i="20"/>
  <c r="F276" i="20"/>
  <c r="F551" i="1"/>
  <c r="F587" i="1" s="1"/>
  <c r="D308" i="26"/>
  <c r="D62" i="26" s="1"/>
  <c r="F401" i="1"/>
  <c r="F556" i="1"/>
  <c r="F942" i="1"/>
  <c r="F463" i="1"/>
  <c r="F421" i="1"/>
  <c r="F432" i="1" s="1"/>
  <c r="F424" i="1"/>
  <c r="F414" i="1"/>
  <c r="F422" i="1" s="1"/>
  <c r="F433" i="1" s="1"/>
  <c r="F420" i="1"/>
  <c r="F429" i="1" s="1"/>
  <c r="F417" i="1"/>
  <c r="F413" i="1"/>
  <c r="F594" i="1"/>
  <c r="F584" i="1"/>
  <c r="E411" i="1"/>
  <c r="E577" i="1"/>
  <c r="E578" i="1" s="1"/>
  <c r="E551" i="1"/>
  <c r="E409" i="1"/>
  <c r="E402" i="1"/>
  <c r="E418" i="1" s="1"/>
  <c r="E434" i="1" s="1"/>
  <c r="E401" i="1"/>
  <c r="E954" i="1"/>
  <c r="E441" i="1"/>
  <c r="E440" i="1"/>
  <c r="E492" i="1"/>
  <c r="E439" i="1"/>
  <c r="E491" i="1"/>
  <c r="E489" i="1"/>
  <c r="E488" i="1"/>
  <c r="E486" i="1"/>
  <c r="E485" i="1"/>
  <c r="E406" i="1"/>
  <c r="E423" i="1" s="1"/>
  <c r="E427" i="1" s="1"/>
  <c r="E405" i="1"/>
  <c r="F255" i="27"/>
  <c r="F53" i="27" s="1"/>
  <c r="E253" i="27"/>
  <c r="E252" i="27"/>
  <c r="E235" i="26"/>
  <c r="E205" i="26"/>
  <c r="E217" i="26" s="1"/>
  <c r="E234" i="26"/>
  <c r="E204" i="26"/>
  <c r="E216" i="26" s="1"/>
  <c r="E199" i="26"/>
  <c r="E211" i="26" s="1"/>
  <c r="E241" i="26"/>
  <c r="E203" i="26"/>
  <c r="E215" i="26" s="1"/>
  <c r="E237" i="26"/>
  <c r="E207" i="26"/>
  <c r="E219" i="26" s="1"/>
  <c r="E240" i="26"/>
  <c r="E202" i="26"/>
  <c r="E214" i="26" s="1"/>
  <c r="E239" i="26"/>
  <c r="E201" i="26"/>
  <c r="E213" i="26" s="1"/>
  <c r="E238" i="26"/>
  <c r="E200" i="26"/>
  <c r="E212" i="26" s="1"/>
  <c r="E49" i="26"/>
  <c r="E236" i="26"/>
  <c r="E206" i="26"/>
  <c r="E218" i="26" s="1"/>
  <c r="E198" i="26"/>
  <c r="E210" i="26" s="1"/>
  <c r="E182" i="26"/>
  <c r="E165" i="26"/>
  <c r="E172" i="26"/>
  <c r="E179" i="26" s="1"/>
  <c r="E243" i="26" s="1"/>
  <c r="E217" i="20"/>
  <c r="E229" i="20" s="1"/>
  <c r="E250" i="20"/>
  <c r="E247" i="20"/>
  <c r="E253" i="20"/>
  <c r="E277" i="20" s="1"/>
  <c r="E210" i="20"/>
  <c r="E222" i="20" s="1"/>
  <c r="E251" i="20"/>
  <c r="E208" i="20"/>
  <c r="E220" i="20" s="1"/>
  <c r="E192" i="20"/>
  <c r="E248" i="20"/>
  <c r="E214" i="20"/>
  <c r="E226" i="20" s="1"/>
  <c r="E216" i="20"/>
  <c r="E228" i="20" s="1"/>
  <c r="E211" i="20"/>
  <c r="E223" i="20" s="1"/>
  <c r="E244" i="20"/>
  <c r="E59" i="20"/>
  <c r="E246" i="20"/>
  <c r="E249" i="20"/>
  <c r="E215" i="20"/>
  <c r="E227" i="20" s="1"/>
  <c r="E213" i="20"/>
  <c r="E225" i="20" s="1"/>
  <c r="E209" i="20"/>
  <c r="E221" i="20" s="1"/>
  <c r="E212" i="20"/>
  <c r="E224" i="20" s="1"/>
  <c r="E252" i="20"/>
  <c r="E269" i="20"/>
  <c r="E257" i="20"/>
  <c r="D51" i="26"/>
  <c r="D312" i="26"/>
  <c r="D64" i="26" s="1"/>
  <c r="D126" i="27"/>
  <c r="D130" i="27" s="1"/>
  <c r="D123" i="27"/>
  <c r="D164" i="27"/>
  <c r="D152" i="27"/>
  <c r="D159" i="27" s="1"/>
  <c r="D164" i="26"/>
  <c r="D172" i="26" s="1"/>
  <c r="D179" i="26" s="1"/>
  <c r="D171" i="26"/>
  <c r="D178" i="26" s="1"/>
  <c r="D172" i="20"/>
  <c r="D180" i="20" s="1"/>
  <c r="D187" i="20" s="1"/>
  <c r="D117" i="20"/>
  <c r="D128" i="20"/>
  <c r="D135" i="20" s="1"/>
  <c r="D143" i="20" s="1"/>
  <c r="D131" i="20"/>
  <c r="D138" i="20" s="1"/>
  <c r="D146" i="20" s="1"/>
  <c r="D58" i="20"/>
  <c r="D132" i="20"/>
  <c r="D139" i="20" s="1"/>
  <c r="D147" i="20" s="1"/>
  <c r="D129" i="20"/>
  <c r="D136" i="20" s="1"/>
  <c r="D144" i="20" s="1"/>
  <c r="D130" i="20"/>
  <c r="D137" i="20" s="1"/>
  <c r="D145" i="20" s="1"/>
  <c r="B147" i="1"/>
  <c r="B32" i="1"/>
  <c r="B38" i="1"/>
  <c r="B37" i="1"/>
  <c r="B36" i="1"/>
  <c r="B35" i="1"/>
  <c r="B34" i="1"/>
  <c r="B33" i="1"/>
  <c r="B776" i="1"/>
  <c r="B784" i="1"/>
  <c r="D515" i="1"/>
  <c r="D514" i="1"/>
  <c r="B511" i="1"/>
  <c r="B499" i="1"/>
  <c r="D149" i="1"/>
  <c r="B149" i="1"/>
  <c r="B148" i="1"/>
  <c r="D201" i="1"/>
  <c r="B232" i="1"/>
  <c r="D246" i="1"/>
  <c r="D245" i="1"/>
  <c r="D202" i="1"/>
  <c r="B244" i="1"/>
  <c r="D1051" i="1"/>
  <c r="D1010" i="1"/>
  <c r="D1023" i="1"/>
  <c r="D982" i="1"/>
  <c r="G1028" i="1" l="1"/>
  <c r="G1029" i="1" s="1"/>
  <c r="G676" i="1"/>
  <c r="H602" i="1"/>
  <c r="H520" i="1" s="1"/>
  <c r="H676" i="1" s="1"/>
  <c r="H600" i="1"/>
  <c r="H294" i="20"/>
  <c r="H63" i="20" s="1"/>
  <c r="F282" i="20"/>
  <c r="F469" i="1"/>
  <c r="F507" i="1" s="1"/>
  <c r="F560" i="1"/>
  <c r="G555" i="1"/>
  <c r="H555" i="1"/>
  <c r="F963" i="1"/>
  <c r="F964" i="1" s="1"/>
  <c r="F945" i="1"/>
  <c r="F946" i="1" s="1"/>
  <c r="F553" i="1"/>
  <c r="F476" i="1" s="1"/>
  <c r="F435" i="1"/>
  <c r="F436" i="1" s="1"/>
  <c r="H1028" i="1"/>
  <c r="H1029" i="1" s="1"/>
  <c r="H987" i="1"/>
  <c r="H988" i="1" s="1"/>
  <c r="F289" i="20"/>
  <c r="G291" i="20"/>
  <c r="G294" i="20" s="1"/>
  <c r="G63" i="20" s="1"/>
  <c r="F495" i="1"/>
  <c r="F497" i="1" s="1"/>
  <c r="F494" i="1"/>
  <c r="F496" i="1" s="1"/>
  <c r="F288" i="20"/>
  <c r="F581" i="1"/>
  <c r="E255" i="27"/>
  <c r="E53" i="27" s="1"/>
  <c r="F426" i="1"/>
  <c r="E275" i="20"/>
  <c r="E494" i="1"/>
  <c r="E496" i="1" s="1"/>
  <c r="F596" i="1"/>
  <c r="F622" i="1"/>
  <c r="F614" i="1"/>
  <c r="F615" i="1" s="1"/>
  <c r="F419" i="1"/>
  <c r="F428" i="1" s="1"/>
  <c r="F467" i="1"/>
  <c r="F415" i="1"/>
  <c r="E556" i="1"/>
  <c r="E942" i="1"/>
  <c r="E469" i="1"/>
  <c r="E463" i="1"/>
  <c r="E584" i="1"/>
  <c r="E495" i="1"/>
  <c r="E497" i="1" s="1"/>
  <c r="E421" i="1"/>
  <c r="E432" i="1" s="1"/>
  <c r="E424" i="1"/>
  <c r="E435" i="1" s="1"/>
  <c r="E414" i="1"/>
  <c r="E422" i="1" s="1"/>
  <c r="E433" i="1" s="1"/>
  <c r="E548" i="1"/>
  <c r="E549" i="1" s="1"/>
  <c r="E560" i="1"/>
  <c r="E612" i="1"/>
  <c r="E587" i="1"/>
  <c r="E553" i="1"/>
  <c r="E476" i="1" s="1"/>
  <c r="E963" i="1"/>
  <c r="E581" i="1"/>
  <c r="E945" i="1"/>
  <c r="E420" i="1"/>
  <c r="E429" i="1" s="1"/>
  <c r="E417" i="1"/>
  <c r="E426" i="1" s="1"/>
  <c r="E413" i="1"/>
  <c r="E271" i="20"/>
  <c r="E262" i="20"/>
  <c r="E270" i="20"/>
  <c r="E265" i="20"/>
  <c r="E260" i="20"/>
  <c r="E261" i="20"/>
  <c r="E259" i="20"/>
  <c r="E263" i="20"/>
  <c r="E274" i="20"/>
  <c r="E255" i="26"/>
  <c r="E267" i="26"/>
  <c r="E262" i="26"/>
  <c r="E250" i="26"/>
  <c r="E253" i="26"/>
  <c r="E265" i="26"/>
  <c r="E263" i="26"/>
  <c r="E251" i="26"/>
  <c r="E258" i="26"/>
  <c r="E246" i="26"/>
  <c r="E252" i="26"/>
  <c r="E264" i="26"/>
  <c r="E242" i="26"/>
  <c r="E260" i="26"/>
  <c r="E248" i="26"/>
  <c r="E261" i="26"/>
  <c r="E249" i="26"/>
  <c r="E247" i="26"/>
  <c r="E259" i="26"/>
  <c r="E289" i="20"/>
  <c r="E268" i="20"/>
  <c r="E272" i="20"/>
  <c r="E258" i="20"/>
  <c r="E273" i="20"/>
  <c r="E256" i="20"/>
  <c r="E276" i="20"/>
  <c r="E264" i="20"/>
  <c r="E281" i="20"/>
  <c r="D278" i="27"/>
  <c r="D62" i="27" s="1"/>
  <c r="D277" i="27"/>
  <c r="D61" i="27" s="1"/>
  <c r="D51" i="27"/>
  <c r="D282" i="27"/>
  <c r="D64" i="27" s="1"/>
  <c r="D165" i="27"/>
  <c r="D153" i="27"/>
  <c r="D160" i="27" s="1"/>
  <c r="D168" i="27"/>
  <c r="D165" i="26"/>
  <c r="D173" i="20"/>
  <c r="D181" i="20" s="1"/>
  <c r="D188" i="20" s="1"/>
  <c r="D148" i="20"/>
  <c r="D318" i="20" s="1"/>
  <c r="D72" i="20" s="1"/>
  <c r="D140" i="20"/>
  <c r="D247" i="1"/>
  <c r="D955" i="1"/>
  <c r="F559" i="1" l="1"/>
  <c r="F504" i="1"/>
  <c r="E274" i="26"/>
  <c r="E272" i="26"/>
  <c r="F580" i="1"/>
  <c r="F291" i="20"/>
  <c r="F292" i="20"/>
  <c r="F430" i="1"/>
  <c r="F438" i="1" s="1"/>
  <c r="F555" i="1" s="1"/>
  <c r="E275" i="26"/>
  <c r="E287" i="20"/>
  <c r="E282" i="20"/>
  <c r="E283" i="20"/>
  <c r="E284" i="20"/>
  <c r="E946" i="1"/>
  <c r="F582" i="1"/>
  <c r="F586" i="1"/>
  <c r="F588" i="1" s="1"/>
  <c r="F589" i="1" s="1"/>
  <c r="F598" i="1" s="1"/>
  <c r="F636" i="1"/>
  <c r="F616" i="1"/>
  <c r="E964" i="1"/>
  <c r="E504" i="1"/>
  <c r="E559" i="1"/>
  <c r="E507" i="1"/>
  <c r="E580" i="1"/>
  <c r="E419" i="1"/>
  <c r="E428" i="1" s="1"/>
  <c r="E430" i="1" s="1"/>
  <c r="E467" i="1"/>
  <c r="E415" i="1"/>
  <c r="E436" i="1"/>
  <c r="E622" i="1"/>
  <c r="E614" i="1"/>
  <c r="E615" i="1" s="1"/>
  <c r="E596" i="1"/>
  <c r="E286" i="20"/>
  <c r="E285" i="20"/>
  <c r="E280" i="20"/>
  <c r="E266" i="26"/>
  <c r="E254" i="26"/>
  <c r="E277" i="26"/>
  <c r="E276" i="26"/>
  <c r="E271" i="26"/>
  <c r="E270" i="26"/>
  <c r="E273" i="26"/>
  <c r="E279" i="26"/>
  <c r="E288" i="20"/>
  <c r="D166" i="27"/>
  <c r="D219" i="27" s="1"/>
  <c r="D154" i="27"/>
  <c r="D187" i="27"/>
  <c r="D197" i="27" s="1"/>
  <c r="D169" i="27"/>
  <c r="D217" i="27"/>
  <c r="D186" i="27"/>
  <c r="D196" i="27" s="1"/>
  <c r="D188" i="27"/>
  <c r="D215" i="27"/>
  <c r="D218" i="27"/>
  <c r="D189" i="27"/>
  <c r="D199" i="27" s="1"/>
  <c r="D184" i="27"/>
  <c r="D194" i="27" s="1"/>
  <c r="D183" i="27"/>
  <c r="D193" i="27" s="1"/>
  <c r="D214" i="27"/>
  <c r="D185" i="27"/>
  <c r="D195" i="27" s="1"/>
  <c r="D190" i="27"/>
  <c r="D49" i="27"/>
  <c r="D213" i="27"/>
  <c r="D216" i="27"/>
  <c r="D174" i="20"/>
  <c r="D182" i="20" s="1"/>
  <c r="D189" i="20" s="1"/>
  <c r="D181" i="26"/>
  <c r="D243" i="26" s="1"/>
  <c r="D322" i="20"/>
  <c r="D74" i="20" s="1"/>
  <c r="D317" i="20"/>
  <c r="D71" i="20" s="1"/>
  <c r="D61" i="20"/>
  <c r="D1039" i="1"/>
  <c r="D998" i="1"/>
  <c r="D940" i="1"/>
  <c r="M10" i="15"/>
  <c r="N10" i="15"/>
  <c r="O10" i="15"/>
  <c r="P10" i="15"/>
  <c r="Q10" i="15"/>
  <c r="Q13" i="15"/>
  <c r="P13" i="15"/>
  <c r="O13" i="15"/>
  <c r="N13" i="15"/>
  <c r="I10" i="15"/>
  <c r="J10" i="15"/>
  <c r="K10" i="15"/>
  <c r="L10" i="15"/>
  <c r="I13" i="15"/>
  <c r="J13" i="15"/>
  <c r="K13" i="15"/>
  <c r="L13" i="15"/>
  <c r="M13" i="15"/>
  <c r="H13" i="15"/>
  <c r="H10" i="15"/>
  <c r="F294" i="20" l="1"/>
  <c r="F63" i="20" s="1"/>
  <c r="E291" i="20"/>
  <c r="F528" i="1"/>
  <c r="F474" i="1" s="1"/>
  <c r="F481" i="1" s="1"/>
  <c r="F477" i="1" s="1"/>
  <c r="E292" i="20"/>
  <c r="E438" i="1"/>
  <c r="E555" i="1" s="1"/>
  <c r="F643" i="1"/>
  <c r="F645" i="1" s="1"/>
  <c r="F647" i="1" s="1"/>
  <c r="F654" i="1"/>
  <c r="E582" i="1"/>
  <c r="E616" i="1"/>
  <c r="E586" i="1"/>
  <c r="E588" i="1" s="1"/>
  <c r="E589" i="1" s="1"/>
  <c r="E278" i="26"/>
  <c r="E281" i="26" s="1"/>
  <c r="D175" i="20"/>
  <c r="E282" i="26"/>
  <c r="D220" i="27"/>
  <c r="D230" i="27" s="1"/>
  <c r="D198" i="27"/>
  <c r="D239" i="27" s="1"/>
  <c r="D229" i="27"/>
  <c r="D224" i="27"/>
  <c r="D234" i="27"/>
  <c r="D237" i="27"/>
  <c r="D227" i="27"/>
  <c r="D235" i="27"/>
  <c r="D225" i="27"/>
  <c r="D200" i="27"/>
  <c r="D236" i="27"/>
  <c r="D226" i="27"/>
  <c r="D223" i="27"/>
  <c r="D233" i="27"/>
  <c r="D228" i="27"/>
  <c r="D235" i="26"/>
  <c r="D199" i="26"/>
  <c r="D211" i="26" s="1"/>
  <c r="D205" i="26"/>
  <c r="D217" i="26" s="1"/>
  <c r="D198" i="26"/>
  <c r="D210" i="26" s="1"/>
  <c r="D237" i="26"/>
  <c r="D241" i="26"/>
  <c r="D240" i="26"/>
  <c r="D236" i="26"/>
  <c r="D201" i="26"/>
  <c r="D213" i="26" s="1"/>
  <c r="D203" i="26"/>
  <c r="D215" i="26" s="1"/>
  <c r="D202" i="26"/>
  <c r="D214" i="26" s="1"/>
  <c r="D207" i="26"/>
  <c r="D219" i="26" s="1"/>
  <c r="D238" i="26"/>
  <c r="D234" i="26"/>
  <c r="D206" i="26"/>
  <c r="D218" i="26" s="1"/>
  <c r="D200" i="26"/>
  <c r="D212" i="26" s="1"/>
  <c r="D204" i="26"/>
  <c r="D216" i="26" s="1"/>
  <c r="D182" i="26"/>
  <c r="D49" i="26"/>
  <c r="D239" i="26"/>
  <c r="D242" i="26"/>
  <c r="D255" i="26"/>
  <c r="D267" i="26"/>
  <c r="D191" i="20"/>
  <c r="D59" i="20" s="1"/>
  <c r="D915" i="1"/>
  <c r="D769" i="1"/>
  <c r="D768" i="1"/>
  <c r="D766" i="1"/>
  <c r="D765" i="1"/>
  <c r="D1001" i="1"/>
  <c r="E284" i="26" l="1"/>
  <c r="E53" i="26" s="1"/>
  <c r="E294" i="20"/>
  <c r="E63" i="20" s="1"/>
  <c r="F561" i="1"/>
  <c r="F573" i="1" s="1"/>
  <c r="F558" i="1"/>
  <c r="F563" i="1" s="1"/>
  <c r="E528" i="1"/>
  <c r="E474" i="1" s="1"/>
  <c r="E481" i="1" s="1"/>
  <c r="D240" i="27"/>
  <c r="D250" i="27" s="1"/>
  <c r="D238" i="27"/>
  <c r="D248" i="27" s="1"/>
  <c r="D249" i="27"/>
  <c r="D247" i="27"/>
  <c r="D245" i="27"/>
  <c r="D244" i="27"/>
  <c r="D243" i="27"/>
  <c r="D246" i="27"/>
  <c r="D260" i="26"/>
  <c r="D248" i="26"/>
  <c r="D252" i="26"/>
  <c r="D264" i="26"/>
  <c r="D258" i="26"/>
  <c r="D246" i="26"/>
  <c r="D265" i="26"/>
  <c r="D253" i="26"/>
  <c r="D261" i="26"/>
  <c r="D249" i="26"/>
  <c r="D263" i="26"/>
  <c r="D251" i="26"/>
  <c r="D254" i="26"/>
  <c r="D266" i="26"/>
  <c r="D250" i="26"/>
  <c r="D262" i="26"/>
  <c r="D259" i="26"/>
  <c r="D247" i="26"/>
  <c r="D279" i="26"/>
  <c r="D244" i="20"/>
  <c r="D256" i="20" s="1"/>
  <c r="D245" i="20"/>
  <c r="D211" i="20"/>
  <c r="D223" i="20" s="1"/>
  <c r="D250" i="20"/>
  <c r="D213" i="20"/>
  <c r="D225" i="20" s="1"/>
  <c r="D249" i="20"/>
  <c r="D216" i="20"/>
  <c r="D228" i="20" s="1"/>
  <c r="D217" i="20"/>
  <c r="D229" i="20" s="1"/>
  <c r="D214" i="20"/>
  <c r="D226" i="20" s="1"/>
  <c r="D192" i="20"/>
  <c r="D208" i="20"/>
  <c r="D220" i="20" s="1"/>
  <c r="D209" i="20"/>
  <c r="D221" i="20" s="1"/>
  <c r="D246" i="20"/>
  <c r="D212" i="20"/>
  <c r="D224" i="20" s="1"/>
  <c r="D252" i="20"/>
  <c r="D253" i="20"/>
  <c r="D265" i="20" s="1"/>
  <c r="D248" i="20"/>
  <c r="D247" i="20"/>
  <c r="D210" i="20"/>
  <c r="D222" i="20" s="1"/>
  <c r="D215" i="20"/>
  <c r="D227" i="20" s="1"/>
  <c r="D251" i="20"/>
  <c r="D158" i="1"/>
  <c r="E561" i="1" l="1"/>
  <c r="E573" i="1" s="1"/>
  <c r="E558" i="1"/>
  <c r="E563" i="1" s="1"/>
  <c r="D271" i="26"/>
  <c r="D273" i="26"/>
  <c r="D272" i="26"/>
  <c r="D270" i="26"/>
  <c r="D277" i="26"/>
  <c r="D275" i="26"/>
  <c r="D278" i="26"/>
  <c r="D274" i="26"/>
  <c r="D276" i="26"/>
  <c r="D263" i="20"/>
  <c r="D268" i="20"/>
  <c r="D269" i="20"/>
  <c r="D257" i="20"/>
  <c r="D260" i="20"/>
  <c r="D271" i="20"/>
  <c r="D258" i="20"/>
  <c r="D276" i="20"/>
  <c r="D261" i="20"/>
  <c r="D275" i="20"/>
  <c r="D274" i="20"/>
  <c r="D270" i="20"/>
  <c r="D259" i="20"/>
  <c r="D264" i="20"/>
  <c r="D273" i="20"/>
  <c r="D262" i="20"/>
  <c r="D272" i="20"/>
  <c r="D277" i="20"/>
  <c r="D289" i="20" s="1"/>
  <c r="D169" i="1"/>
  <c r="D166" i="1"/>
  <c r="D199" i="1"/>
  <c r="D198" i="1"/>
  <c r="D196" i="1"/>
  <c r="D195" i="1"/>
  <c r="D194" i="1"/>
  <c r="D193" i="1"/>
  <c r="D192" i="1"/>
  <c r="D191" i="1"/>
  <c r="D190" i="1"/>
  <c r="D189" i="1"/>
  <c r="D188" i="1"/>
  <c r="D187" i="1"/>
  <c r="D186" i="1"/>
  <c r="D185" i="1"/>
  <c r="U571" i="2"/>
  <c r="U572" i="2"/>
  <c r="U573" i="2"/>
  <c r="U574" i="2"/>
  <c r="U575" i="2"/>
  <c r="U576" i="2"/>
  <c r="U577" i="2"/>
  <c r="U578" i="2"/>
  <c r="U579" i="2"/>
  <c r="U580" i="2"/>
  <c r="U581" i="2"/>
  <c r="U582" i="2"/>
  <c r="U583" i="2"/>
  <c r="U584" i="2"/>
  <c r="U585" i="2"/>
  <c r="U586" i="2"/>
  <c r="U587" i="2"/>
  <c r="U588" i="2"/>
  <c r="U589" i="2"/>
  <c r="U590" i="2"/>
  <c r="U591" i="2"/>
  <c r="U592" i="2"/>
  <c r="U593" i="2"/>
  <c r="U594" i="2"/>
  <c r="U595" i="2"/>
  <c r="U596" i="2"/>
  <c r="U597" i="2"/>
  <c r="U598" i="2"/>
  <c r="U599" i="2"/>
  <c r="U600" i="2"/>
  <c r="U601" i="2"/>
  <c r="U602" i="2"/>
  <c r="U603" i="2"/>
  <c r="U604" i="2"/>
  <c r="U605" i="2"/>
  <c r="U560" i="2"/>
  <c r="U561" i="2"/>
  <c r="U562" i="2"/>
  <c r="U563" i="2"/>
  <c r="U564" i="2"/>
  <c r="U565" i="2"/>
  <c r="U566" i="2"/>
  <c r="U567" i="2"/>
  <c r="U568" i="2"/>
  <c r="U569" i="2"/>
  <c r="U570" i="2"/>
  <c r="U549" i="2"/>
  <c r="U550" i="2"/>
  <c r="U551" i="2"/>
  <c r="U552" i="2"/>
  <c r="U553" i="2"/>
  <c r="U554" i="2"/>
  <c r="U555" i="2"/>
  <c r="U556" i="2"/>
  <c r="U557" i="2"/>
  <c r="U558" i="2"/>
  <c r="U559" i="2"/>
  <c r="U547" i="2"/>
  <c r="U548" i="2"/>
  <c r="J441" i="2"/>
  <c r="L441" i="2" s="1"/>
  <c r="L384" i="2"/>
  <c r="L385" i="2"/>
  <c r="L386" i="2"/>
  <c r="L387" i="2"/>
  <c r="L388" i="2"/>
  <c r="L389" i="2"/>
  <c r="L390" i="2"/>
  <c r="L391" i="2"/>
  <c r="L392" i="2"/>
  <c r="L393" i="2"/>
  <c r="L394" i="2"/>
  <c r="L395" i="2"/>
  <c r="L396" i="2"/>
  <c r="L397" i="2"/>
  <c r="L398" i="2"/>
  <c r="L399" i="2"/>
  <c r="L400" i="2"/>
  <c r="L383" i="2"/>
  <c r="J409" i="2"/>
  <c r="L409" i="2" s="1"/>
  <c r="J410" i="2"/>
  <c r="L410" i="2" s="1"/>
  <c r="J411" i="2"/>
  <c r="L411" i="2" s="1"/>
  <c r="J412" i="2"/>
  <c r="L412" i="2" s="1"/>
  <c r="J413" i="2"/>
  <c r="L413" i="2" s="1"/>
  <c r="J414" i="2"/>
  <c r="L414" i="2" s="1"/>
  <c r="J415" i="2"/>
  <c r="L415" i="2" s="1"/>
  <c r="J416" i="2"/>
  <c r="L416" i="2" s="1"/>
  <c r="J417" i="2"/>
  <c r="L417" i="2" s="1"/>
  <c r="J418" i="2"/>
  <c r="L418" i="2" s="1"/>
  <c r="J419" i="2"/>
  <c r="L419" i="2" s="1"/>
  <c r="J420" i="2"/>
  <c r="L420" i="2" s="1"/>
  <c r="J421" i="2"/>
  <c r="L421" i="2" s="1"/>
  <c r="J422" i="2"/>
  <c r="L422" i="2" s="1"/>
  <c r="J423" i="2"/>
  <c r="L423" i="2" s="1"/>
  <c r="J424" i="2"/>
  <c r="L424" i="2" s="1"/>
  <c r="J425" i="2"/>
  <c r="J426" i="2"/>
  <c r="J427" i="2"/>
  <c r="J428" i="2"/>
  <c r="J429" i="2"/>
  <c r="J430" i="2"/>
  <c r="J431" i="2"/>
  <c r="J432" i="2"/>
  <c r="J433" i="2"/>
  <c r="J434" i="2"/>
  <c r="J435" i="2"/>
  <c r="J436" i="2"/>
  <c r="J437" i="2"/>
  <c r="J438" i="2"/>
  <c r="J439" i="2"/>
  <c r="J440" i="2"/>
  <c r="J442" i="2"/>
  <c r="L442" i="2" s="1"/>
  <c r="J443" i="2"/>
  <c r="L443" i="2" s="1"/>
  <c r="J444" i="2"/>
  <c r="L444" i="2" s="1"/>
  <c r="J445" i="2"/>
  <c r="L445" i="2" s="1"/>
  <c r="J446" i="2"/>
  <c r="L446" i="2" s="1"/>
  <c r="J447" i="2"/>
  <c r="L447" i="2" s="1"/>
  <c r="J448" i="2"/>
  <c r="L448" i="2" s="1"/>
  <c r="J449" i="2"/>
  <c r="L449" i="2" s="1"/>
  <c r="J450" i="2"/>
  <c r="L450" i="2" s="1"/>
  <c r="J451" i="2"/>
  <c r="L451" i="2" s="1"/>
  <c r="J452" i="2"/>
  <c r="L452" i="2" s="1"/>
  <c r="J453" i="2"/>
  <c r="L453" i="2" s="1"/>
  <c r="J454" i="2"/>
  <c r="L454" i="2" s="1"/>
  <c r="J455" i="2"/>
  <c r="L455" i="2" s="1"/>
  <c r="J456" i="2"/>
  <c r="L456" i="2" s="1"/>
  <c r="J457" i="2"/>
  <c r="L457" i="2" s="1"/>
  <c r="J458" i="2"/>
  <c r="L458" i="2" s="1"/>
  <c r="J459" i="2"/>
  <c r="L459" i="2" s="1"/>
  <c r="J460" i="2"/>
  <c r="L460" i="2" s="1"/>
  <c r="J461" i="2"/>
  <c r="L461" i="2" s="1"/>
  <c r="J462" i="2"/>
  <c r="L462" i="2" s="1"/>
  <c r="J463" i="2"/>
  <c r="L463" i="2" s="1"/>
  <c r="J464" i="2"/>
  <c r="L464" i="2" s="1"/>
  <c r="J465" i="2"/>
  <c r="L465" i="2" s="1"/>
  <c r="J466" i="2"/>
  <c r="L466" i="2" s="1"/>
  <c r="J467" i="2"/>
  <c r="L467" i="2" s="1"/>
  <c r="J468" i="2"/>
  <c r="L468" i="2" s="1"/>
  <c r="J469" i="2"/>
  <c r="L469" i="2" s="1"/>
  <c r="J470" i="2"/>
  <c r="L470" i="2" s="1"/>
  <c r="J471" i="2"/>
  <c r="L471" i="2" s="1"/>
  <c r="J472" i="2"/>
  <c r="L472" i="2" s="1"/>
  <c r="J473" i="2"/>
  <c r="L473" i="2" s="1"/>
  <c r="J474" i="2"/>
  <c r="L474" i="2" s="1"/>
  <c r="J475" i="2"/>
  <c r="L475" i="2" s="1"/>
  <c r="J476" i="2"/>
  <c r="L476" i="2" s="1"/>
  <c r="J477" i="2"/>
  <c r="L477" i="2" s="1"/>
  <c r="J478" i="2"/>
  <c r="L478" i="2" s="1"/>
  <c r="J479" i="2"/>
  <c r="L479" i="2" s="1"/>
  <c r="J480" i="2"/>
  <c r="L480" i="2" s="1"/>
  <c r="J481" i="2"/>
  <c r="L481" i="2" s="1"/>
  <c r="J482" i="2"/>
  <c r="L482" i="2" s="1"/>
  <c r="J483" i="2"/>
  <c r="L483" i="2" s="1"/>
  <c r="J484" i="2"/>
  <c r="L484" i="2" s="1"/>
  <c r="J485" i="2"/>
  <c r="L485" i="2" s="1"/>
  <c r="J486" i="2"/>
  <c r="L486" i="2" s="1"/>
  <c r="J487" i="2"/>
  <c r="L487" i="2" s="1"/>
  <c r="J488" i="2"/>
  <c r="L488" i="2" s="1"/>
  <c r="J489" i="2"/>
  <c r="L489" i="2" s="1"/>
  <c r="J490" i="2"/>
  <c r="L490" i="2" s="1"/>
  <c r="J491" i="2"/>
  <c r="L491" i="2" s="1"/>
  <c r="J492" i="2"/>
  <c r="L492" i="2" s="1"/>
  <c r="J493" i="2"/>
  <c r="L493" i="2" s="1"/>
  <c r="J494" i="2"/>
  <c r="L494" i="2" s="1"/>
  <c r="J495" i="2"/>
  <c r="L495" i="2" s="1"/>
  <c r="J496" i="2"/>
  <c r="L496" i="2" s="1"/>
  <c r="J497" i="2"/>
  <c r="L497" i="2" s="1"/>
  <c r="J498" i="2"/>
  <c r="L498" i="2" s="1"/>
  <c r="J499" i="2"/>
  <c r="L499" i="2" s="1"/>
  <c r="J500" i="2"/>
  <c r="L500" i="2" s="1"/>
  <c r="J501" i="2"/>
  <c r="L501" i="2" s="1"/>
  <c r="J502" i="2"/>
  <c r="L502" i="2" s="1"/>
  <c r="J503" i="2"/>
  <c r="L503" i="2" s="1"/>
  <c r="J504" i="2"/>
  <c r="L504" i="2" s="1"/>
  <c r="J505" i="2"/>
  <c r="L505" i="2" s="1"/>
  <c r="J506" i="2"/>
  <c r="L506" i="2" s="1"/>
  <c r="J507" i="2"/>
  <c r="L507" i="2" s="1"/>
  <c r="J508" i="2"/>
  <c r="L508" i="2" s="1"/>
  <c r="J509" i="2"/>
  <c r="L509" i="2" s="1"/>
  <c r="J510" i="2"/>
  <c r="L510" i="2" s="1"/>
  <c r="J511" i="2"/>
  <c r="L511" i="2" s="1"/>
  <c r="J512" i="2"/>
  <c r="L512" i="2" s="1"/>
  <c r="J513" i="2"/>
  <c r="L513" i="2" s="1"/>
  <c r="J514" i="2"/>
  <c r="L514" i="2" s="1"/>
  <c r="J515" i="2"/>
  <c r="L515" i="2" s="1"/>
  <c r="J516" i="2"/>
  <c r="L516" i="2" s="1"/>
  <c r="J517" i="2"/>
  <c r="L517" i="2" s="1"/>
  <c r="J518" i="2"/>
  <c r="L518" i="2" s="1"/>
  <c r="J519" i="2"/>
  <c r="L519" i="2" s="1"/>
  <c r="J520" i="2"/>
  <c r="L520" i="2" s="1"/>
  <c r="J521" i="2"/>
  <c r="L521" i="2" s="1"/>
  <c r="J522" i="2"/>
  <c r="L522" i="2" s="1"/>
  <c r="J523" i="2"/>
  <c r="L523" i="2" s="1"/>
  <c r="J524" i="2"/>
  <c r="L524" i="2" s="1"/>
  <c r="J525" i="2"/>
  <c r="L525" i="2" s="1"/>
  <c r="J526" i="2"/>
  <c r="L526" i="2" s="1"/>
  <c r="J527" i="2"/>
  <c r="L527" i="2" s="1"/>
  <c r="J528" i="2"/>
  <c r="L528" i="2" s="1"/>
  <c r="J529" i="2"/>
  <c r="L529" i="2" s="1"/>
  <c r="J530" i="2"/>
  <c r="L530" i="2" s="1"/>
  <c r="J531" i="2"/>
  <c r="L531" i="2" s="1"/>
  <c r="J532" i="2"/>
  <c r="L532" i="2" s="1"/>
  <c r="J533" i="2"/>
  <c r="L533" i="2" s="1"/>
  <c r="J534" i="2"/>
  <c r="L534" i="2" s="1"/>
  <c r="J535" i="2"/>
  <c r="L535" i="2" s="1"/>
  <c r="J536" i="2"/>
  <c r="L536" i="2" s="1"/>
  <c r="J537" i="2"/>
  <c r="L537" i="2" s="1"/>
  <c r="J538" i="2"/>
  <c r="L538" i="2" s="1"/>
  <c r="J539" i="2"/>
  <c r="L539" i="2" s="1"/>
  <c r="J540" i="2"/>
  <c r="L540" i="2" s="1"/>
  <c r="J541" i="2"/>
  <c r="L541" i="2" s="1"/>
  <c r="J542" i="2"/>
  <c r="L542" i="2" s="1"/>
  <c r="J543" i="2"/>
  <c r="L543" i="2" s="1"/>
  <c r="J544" i="2"/>
  <c r="L544" i="2" s="1"/>
  <c r="J545" i="2"/>
  <c r="L545" i="2" s="1"/>
  <c r="J546" i="2"/>
  <c r="L546" i="2" s="1"/>
  <c r="J547" i="2"/>
  <c r="L547" i="2" s="1"/>
  <c r="J548" i="2"/>
  <c r="L548" i="2" s="1"/>
  <c r="J549" i="2"/>
  <c r="L549" i="2" s="1"/>
  <c r="J550" i="2"/>
  <c r="L550" i="2" s="1"/>
  <c r="J551" i="2"/>
  <c r="L551" i="2" s="1"/>
  <c r="J552" i="2"/>
  <c r="L552" i="2" s="1"/>
  <c r="J553" i="2"/>
  <c r="L553" i="2" s="1"/>
  <c r="J554" i="2"/>
  <c r="L554" i="2" s="1"/>
  <c r="J555" i="2"/>
  <c r="L555" i="2" s="1"/>
  <c r="J556" i="2"/>
  <c r="L556" i="2" s="1"/>
  <c r="J557" i="2"/>
  <c r="L557" i="2" s="1"/>
  <c r="J558" i="2"/>
  <c r="L558" i="2" s="1"/>
  <c r="J559" i="2"/>
  <c r="L559" i="2" s="1"/>
  <c r="J560" i="2"/>
  <c r="L560" i="2" s="1"/>
  <c r="J561" i="2"/>
  <c r="L561" i="2" s="1"/>
  <c r="J562" i="2"/>
  <c r="L562" i="2" s="1"/>
  <c r="J563" i="2"/>
  <c r="L563" i="2" s="1"/>
  <c r="J564" i="2"/>
  <c r="L564" i="2" s="1"/>
  <c r="J565" i="2"/>
  <c r="L565" i="2" s="1"/>
  <c r="J566" i="2"/>
  <c r="L566" i="2" s="1"/>
  <c r="J567" i="2"/>
  <c r="L567" i="2" s="1"/>
  <c r="J568" i="2"/>
  <c r="L568" i="2" s="1"/>
  <c r="J569" i="2"/>
  <c r="L569" i="2" s="1"/>
  <c r="J570" i="2"/>
  <c r="L570" i="2" s="1"/>
  <c r="J571" i="2"/>
  <c r="L571" i="2" s="1"/>
  <c r="J572" i="2"/>
  <c r="L572" i="2" s="1"/>
  <c r="J573" i="2"/>
  <c r="L573" i="2" s="1"/>
  <c r="J574" i="2"/>
  <c r="L574" i="2" s="1"/>
  <c r="J575" i="2"/>
  <c r="L575" i="2" s="1"/>
  <c r="J576" i="2"/>
  <c r="L576" i="2" s="1"/>
  <c r="J577" i="2"/>
  <c r="L577" i="2" s="1"/>
  <c r="J578" i="2"/>
  <c r="L578" i="2" s="1"/>
  <c r="J579" i="2"/>
  <c r="L579" i="2" s="1"/>
  <c r="J580" i="2"/>
  <c r="L580" i="2" s="1"/>
  <c r="J581" i="2"/>
  <c r="L581" i="2" s="1"/>
  <c r="J582" i="2"/>
  <c r="L582" i="2" s="1"/>
  <c r="J583" i="2"/>
  <c r="L583" i="2" s="1"/>
  <c r="J584" i="2"/>
  <c r="L584" i="2" s="1"/>
  <c r="J585" i="2"/>
  <c r="L585" i="2" s="1"/>
  <c r="J586" i="2"/>
  <c r="L586" i="2" s="1"/>
  <c r="J587" i="2"/>
  <c r="L587" i="2" s="1"/>
  <c r="J588" i="2"/>
  <c r="L588" i="2" s="1"/>
  <c r="J589" i="2"/>
  <c r="L589" i="2" s="1"/>
  <c r="J590" i="2"/>
  <c r="L590" i="2" s="1"/>
  <c r="J591" i="2"/>
  <c r="L591" i="2" s="1"/>
  <c r="J592" i="2"/>
  <c r="L592" i="2" s="1"/>
  <c r="J593" i="2"/>
  <c r="L593" i="2" s="1"/>
  <c r="J594" i="2"/>
  <c r="L594" i="2" s="1"/>
  <c r="J595" i="2"/>
  <c r="L595" i="2" s="1"/>
  <c r="J596" i="2"/>
  <c r="L596" i="2" s="1"/>
  <c r="J597" i="2"/>
  <c r="L597" i="2" s="1"/>
  <c r="J598" i="2"/>
  <c r="L598" i="2" s="1"/>
  <c r="J599" i="2"/>
  <c r="L599" i="2" s="1"/>
  <c r="J600" i="2"/>
  <c r="L600" i="2" s="1"/>
  <c r="J601" i="2"/>
  <c r="L601" i="2" s="1"/>
  <c r="J602" i="2"/>
  <c r="L602" i="2" s="1"/>
  <c r="J603" i="2"/>
  <c r="L603" i="2" s="1"/>
  <c r="J604" i="2"/>
  <c r="L604" i="2" s="1"/>
  <c r="J605" i="2"/>
  <c r="L605" i="2" s="1"/>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47" i="2"/>
  <c r="J748" i="2"/>
  <c r="J749" i="2"/>
  <c r="J750" i="2"/>
  <c r="J751" i="2"/>
  <c r="J752" i="2"/>
  <c r="J753" i="2"/>
  <c r="J754" i="2"/>
  <c r="J755" i="2"/>
  <c r="J756" i="2"/>
  <c r="J757" i="2"/>
  <c r="J758" i="2"/>
  <c r="J759" i="2"/>
  <c r="J760" i="2"/>
  <c r="J761" i="2"/>
  <c r="J762" i="2"/>
  <c r="J763" i="2"/>
  <c r="J764" i="2"/>
  <c r="J765" i="2"/>
  <c r="J766" i="2"/>
  <c r="J767" i="2"/>
  <c r="J768" i="2"/>
  <c r="J769" i="2"/>
  <c r="J770" i="2"/>
  <c r="J771" i="2"/>
  <c r="J772" i="2"/>
  <c r="J773" i="2"/>
  <c r="J774" i="2"/>
  <c r="J775" i="2"/>
  <c r="J776" i="2"/>
  <c r="J777" i="2"/>
  <c r="J778" i="2"/>
  <c r="J779" i="2"/>
  <c r="J780" i="2"/>
  <c r="J781" i="2"/>
  <c r="J782" i="2"/>
  <c r="J402" i="2"/>
  <c r="L402" i="2" s="1"/>
  <c r="J403" i="2"/>
  <c r="L403" i="2" s="1"/>
  <c r="J404" i="2"/>
  <c r="L404" i="2" s="1"/>
  <c r="J405" i="2"/>
  <c r="L405" i="2" s="1"/>
  <c r="J406" i="2"/>
  <c r="L406" i="2" s="1"/>
  <c r="J407" i="2"/>
  <c r="L407" i="2" s="1"/>
  <c r="J408" i="2"/>
  <c r="L408" i="2" s="1"/>
  <c r="J401" i="2"/>
  <c r="L401" i="2" s="1"/>
  <c r="F567" i="1" l="1"/>
  <c r="D281" i="26"/>
  <c r="D282" i="26"/>
  <c r="D287" i="20"/>
  <c r="D280" i="20"/>
  <c r="D281" i="20"/>
  <c r="D283" i="20"/>
  <c r="D284" i="20"/>
  <c r="D282" i="20"/>
  <c r="D285" i="20"/>
  <c r="D288" i="20"/>
  <c r="D286" i="20"/>
  <c r="D225" i="1"/>
  <c r="D224" i="1"/>
  <c r="D222" i="1"/>
  <c r="D221" i="1"/>
  <c r="D21" i="1"/>
  <c r="D1021" i="1"/>
  <c r="D1022" i="1" s="1"/>
  <c r="B1054" i="1"/>
  <c r="D1049" i="1"/>
  <c r="B1044" i="1"/>
  <c r="D1042" i="1"/>
  <c r="D1040" i="1"/>
  <c r="B1040" i="1"/>
  <c r="B1027" i="1"/>
  <c r="D989" i="1"/>
  <c r="D1008" i="1"/>
  <c r="B1013" i="1"/>
  <c r="B999" i="1"/>
  <c r="B1003" i="1"/>
  <c r="D999" i="1"/>
  <c r="D1003" i="1" s="1"/>
  <c r="B986" i="1"/>
  <c r="D253" i="27" l="1"/>
  <c r="D252" i="27"/>
  <c r="D284" i="26"/>
  <c r="D53" i="26" s="1"/>
  <c r="D292" i="20"/>
  <c r="D291" i="20"/>
  <c r="D1054" i="1"/>
  <c r="D1044" i="1"/>
  <c r="D1013" i="1"/>
  <c r="D93" i="1"/>
  <c r="D94" i="1"/>
  <c r="D95" i="1"/>
  <c r="D96" i="1"/>
  <c r="D92" i="1"/>
  <c r="D88" i="1"/>
  <c r="D89" i="1"/>
  <c r="D90" i="1"/>
  <c r="D91" i="1"/>
  <c r="D87" i="1"/>
  <c r="D49" i="1"/>
  <c r="D54" i="1" s="1"/>
  <c r="D50" i="1"/>
  <c r="D60" i="1" s="1"/>
  <c r="D51" i="1"/>
  <c r="D56" i="1" s="1"/>
  <c r="D48" i="1"/>
  <c r="D75" i="1"/>
  <c r="D76" i="1"/>
  <c r="D77" i="1"/>
  <c r="D78" i="1"/>
  <c r="D74" i="1"/>
  <c r="D73" i="1"/>
  <c r="D72" i="1"/>
  <c r="D70" i="1"/>
  <c r="D71" i="1"/>
  <c r="D69" i="1"/>
  <c r="D255" i="27" l="1"/>
  <c r="D53" i="27" s="1"/>
  <c r="D294" i="20"/>
  <c r="D63" i="20" s="1"/>
  <c r="D163" i="1"/>
  <c r="D218" i="1"/>
  <c r="D227" i="1" s="1"/>
  <c r="D229" i="1" s="1"/>
  <c r="D762" i="1"/>
  <c r="D771" i="1" s="1"/>
  <c r="D58" i="1"/>
  <c r="D53" i="1"/>
  <c r="D59" i="1"/>
  <c r="D107" i="1"/>
  <c r="D55" i="1"/>
  <c r="D102" i="1" s="1"/>
  <c r="D61" i="1"/>
  <c r="AK10" i="8"/>
  <c r="AK11" i="8"/>
  <c r="AK12" i="8"/>
  <c r="AK13" i="8"/>
  <c r="AK14" i="8"/>
  <c r="AK15" i="8"/>
  <c r="AK16" i="8"/>
  <c r="AK17" i="8"/>
  <c r="AK18" i="8"/>
  <c r="AK19" i="8"/>
  <c r="AK20" i="8"/>
  <c r="AK21" i="8"/>
  <c r="AK22" i="8"/>
  <c r="AK23" i="8"/>
  <c r="AK24" i="8"/>
  <c r="AK25" i="8"/>
  <c r="AK26" i="8"/>
  <c r="AK27" i="8"/>
  <c r="AK28" i="8"/>
  <c r="AK29" i="8"/>
  <c r="AK30" i="8"/>
  <c r="AK31" i="8"/>
  <c r="AK32" i="8"/>
  <c r="AK33" i="8"/>
  <c r="AK34" i="8"/>
  <c r="AK35" i="8"/>
  <c r="AK36" i="8"/>
  <c r="AK37" i="8"/>
  <c r="AK38" i="8"/>
  <c r="AK39" i="8"/>
  <c r="AK40" i="8"/>
  <c r="AK41" i="8"/>
  <c r="AK42" i="8"/>
  <c r="AK43" i="8"/>
  <c r="AK44" i="8"/>
  <c r="AK45" i="8"/>
  <c r="AK46" i="8"/>
  <c r="AK47" i="8"/>
  <c r="AK48" i="8"/>
  <c r="AK49" i="8"/>
  <c r="AK50" i="8"/>
  <c r="AK51" i="8"/>
  <c r="AK52" i="8"/>
  <c r="AK53" i="8"/>
  <c r="AK54" i="8"/>
  <c r="AK55" i="8"/>
  <c r="AK56" i="8"/>
  <c r="AK57" i="8"/>
  <c r="AK58" i="8"/>
  <c r="AK59" i="8"/>
  <c r="AK60" i="8"/>
  <c r="AK61" i="8"/>
  <c r="AK62" i="8"/>
  <c r="AK63" i="8"/>
  <c r="AK64" i="8"/>
  <c r="AK65" i="8"/>
  <c r="AK66" i="8"/>
  <c r="AK67" i="8"/>
  <c r="AK68" i="8"/>
  <c r="AK69" i="8"/>
  <c r="AK70" i="8"/>
  <c r="AK71" i="8"/>
  <c r="AK72" i="8"/>
  <c r="AK73" i="8"/>
  <c r="AK74" i="8"/>
  <c r="AK75" i="8"/>
  <c r="AK76" i="8"/>
  <c r="AK77" i="8"/>
  <c r="AK78" i="8"/>
  <c r="AK79" i="8"/>
  <c r="AK80" i="8"/>
  <c r="AK81" i="8"/>
  <c r="AK82" i="8"/>
  <c r="AK83" i="8"/>
  <c r="AK84" i="8"/>
  <c r="AK85" i="8"/>
  <c r="AK86" i="8"/>
  <c r="AK87" i="8"/>
  <c r="AK88" i="8"/>
  <c r="AK89" i="8"/>
  <c r="AK90" i="8"/>
  <c r="AK91" i="8"/>
  <c r="AK92" i="8"/>
  <c r="AK93" i="8"/>
  <c r="AK94" i="8"/>
  <c r="AK95" i="8"/>
  <c r="AK96" i="8"/>
  <c r="AK97" i="8"/>
  <c r="AK98" i="8"/>
  <c r="AK99" i="8"/>
  <c r="AK100" i="8"/>
  <c r="AK101" i="8"/>
  <c r="AK102" i="8"/>
  <c r="AK103" i="8"/>
  <c r="AK104" i="8"/>
  <c r="AK105" i="8"/>
  <c r="AK106" i="8"/>
  <c r="AK107" i="8"/>
  <c r="AK108" i="8"/>
  <c r="AK109" i="8"/>
  <c r="AK9" i="8"/>
  <c r="AL27" i="8"/>
  <c r="AL28" i="8"/>
  <c r="AL29" i="8"/>
  <c r="AL30" i="8"/>
  <c r="AL31" i="8"/>
  <c r="AL32" i="8"/>
  <c r="AL33" i="8"/>
  <c r="AL34" i="8"/>
  <c r="AL35" i="8"/>
  <c r="AL36" i="8"/>
  <c r="AL37" i="8"/>
  <c r="AL38" i="8"/>
  <c r="AL39" i="8"/>
  <c r="AL40" i="8"/>
  <c r="AL41" i="8"/>
  <c r="AL42" i="8"/>
  <c r="AL43" i="8"/>
  <c r="AL44" i="8"/>
  <c r="AL45" i="8"/>
  <c r="AL46" i="8"/>
  <c r="AL47" i="8"/>
  <c r="AL48" i="8"/>
  <c r="AL49" i="8"/>
  <c r="AL50" i="8"/>
  <c r="AL51" i="8"/>
  <c r="AL52" i="8"/>
  <c r="AL53" i="8"/>
  <c r="AL54" i="8"/>
  <c r="AL55" i="8"/>
  <c r="AL56" i="8"/>
  <c r="AL57" i="8"/>
  <c r="AL58" i="8"/>
  <c r="AL59" i="8"/>
  <c r="AL60" i="8"/>
  <c r="AL61" i="8"/>
  <c r="AL62" i="8"/>
  <c r="AL63" i="8"/>
  <c r="AL64" i="8"/>
  <c r="AL65" i="8"/>
  <c r="AL66" i="8"/>
  <c r="AL67" i="8"/>
  <c r="AL68" i="8"/>
  <c r="AL69" i="8"/>
  <c r="AL70" i="8"/>
  <c r="AL71" i="8"/>
  <c r="AL72" i="8"/>
  <c r="AL73" i="8"/>
  <c r="AL74" i="8"/>
  <c r="AL75" i="8"/>
  <c r="AL76" i="8"/>
  <c r="AL77" i="8"/>
  <c r="AL78" i="8"/>
  <c r="AL79" i="8"/>
  <c r="AL80" i="8"/>
  <c r="AL81" i="8"/>
  <c r="AL82" i="8"/>
  <c r="AL83" i="8"/>
  <c r="AL84" i="8"/>
  <c r="AL85" i="8"/>
  <c r="AL86" i="8"/>
  <c r="AL87" i="8"/>
  <c r="AL88" i="8"/>
  <c r="AL89" i="8"/>
  <c r="AL90" i="8"/>
  <c r="AL91" i="8"/>
  <c r="AL92" i="8"/>
  <c r="AL93" i="8"/>
  <c r="AL94" i="8"/>
  <c r="AL95" i="8"/>
  <c r="AL96" i="8"/>
  <c r="AL97" i="8"/>
  <c r="AL98" i="8"/>
  <c r="AL99" i="8"/>
  <c r="AL100" i="8"/>
  <c r="AL101" i="8"/>
  <c r="AL102" i="8"/>
  <c r="AL103" i="8"/>
  <c r="AL104" i="8"/>
  <c r="AL105" i="8"/>
  <c r="AL106" i="8"/>
  <c r="AL107" i="8"/>
  <c r="AL108" i="8"/>
  <c r="AL109" i="8"/>
  <c r="AL10" i="8"/>
  <c r="AL11" i="8"/>
  <c r="AL12" i="8"/>
  <c r="AL13" i="8"/>
  <c r="AL14" i="8"/>
  <c r="AL15" i="8"/>
  <c r="AL16" i="8"/>
  <c r="AL17" i="8"/>
  <c r="AL18" i="8"/>
  <c r="AL19" i="8"/>
  <c r="AL20" i="8"/>
  <c r="AL21" i="8"/>
  <c r="AL22" i="8"/>
  <c r="AL23" i="8"/>
  <c r="AL24" i="8"/>
  <c r="AL25" i="8"/>
  <c r="AL26" i="8"/>
  <c r="AL9" i="8"/>
  <c r="D720" i="1" l="1"/>
  <c r="D1030" i="1" s="1"/>
  <c r="D719" i="1"/>
  <c r="D718" i="1"/>
  <c r="D948" i="1" l="1"/>
  <c r="D959" i="1"/>
  <c r="D523" i="1"/>
  <c r="B914" i="1"/>
  <c r="B853" i="1"/>
  <c r="B847" i="1"/>
  <c r="B793" i="1"/>
  <c r="B667" i="1"/>
  <c r="B610" i="1"/>
  <c r="B604" i="1"/>
  <c r="B520" i="1"/>
  <c r="B334" i="1"/>
  <c r="B280" i="1"/>
  <c r="B274" i="1"/>
  <c r="B250" i="1"/>
  <c r="B153" i="1"/>
  <c r="B152" i="1"/>
  <c r="B151" i="1"/>
  <c r="B150" i="1"/>
  <c r="AA860" i="2"/>
  <c r="AA907" i="2" l="1"/>
  <c r="AA906" i="2"/>
  <c r="AA905" i="2"/>
  <c r="AA904" i="2"/>
  <c r="AA859" i="2"/>
  <c r="AA858" i="2"/>
  <c r="AA53" i="2"/>
  <c r="AA52" i="2"/>
  <c r="AA51" i="2"/>
  <c r="AA50" i="2"/>
  <c r="AA5" i="2" l="1"/>
  <c r="AA6" i="2"/>
  <c r="D179" i="1"/>
  <c r="D904" i="1" l="1"/>
  <c r="D896" i="1"/>
  <c r="D722" i="1" l="1"/>
  <c r="D721" i="1"/>
  <c r="D729" i="1" l="1"/>
  <c r="D739" i="1"/>
  <c r="D855" i="1" l="1"/>
  <c r="D725" i="1" l="1"/>
  <c r="D6" i="1" l="1"/>
  <c r="D46" i="1"/>
  <c r="D47" i="1" s="1"/>
  <c r="D57" i="1" s="1"/>
  <c r="D105" i="1"/>
  <c r="D159" i="1"/>
  <c r="D151" i="1"/>
  <c r="D152" i="1"/>
  <c r="D153" i="1"/>
  <c r="D180" i="1"/>
  <c r="D181" i="1"/>
  <c r="D182" i="1"/>
  <c r="D315" i="1" s="1"/>
  <c r="D183" i="1"/>
  <c r="D353" i="1" s="1"/>
  <c r="D282" i="1"/>
  <c r="D254" i="1"/>
  <c r="D197" i="1"/>
  <c r="D709" i="1" s="1"/>
  <c r="D203" i="1"/>
  <c r="D321" i="1" s="1"/>
  <c r="D204" i="1"/>
  <c r="D310" i="1" s="1"/>
  <c r="D205" i="1"/>
  <c r="D206" i="1"/>
  <c r="D207" i="1"/>
  <c r="D208" i="1"/>
  <c r="D233" i="1"/>
  <c r="D234" i="1"/>
  <c r="D253" i="1"/>
  <c r="D470" i="1"/>
  <c r="D652" i="1" s="1"/>
  <c r="D471" i="1"/>
  <c r="D641" i="1" s="1"/>
  <c r="D472" i="1"/>
  <c r="D473" i="1"/>
  <c r="D475" i="1"/>
  <c r="D500" i="1"/>
  <c r="D501" i="1"/>
  <c r="D552" i="1"/>
  <c r="D579" i="1"/>
  <c r="D723" i="1"/>
  <c r="D724" i="1"/>
  <c r="D797" i="1"/>
  <c r="D800" i="1"/>
  <c r="D824" i="1"/>
  <c r="D856" i="1"/>
  <c r="D730" i="1" l="1"/>
  <c r="D733" i="1"/>
  <c r="D732" i="1"/>
  <c r="D788" i="1"/>
  <c r="D787" i="1"/>
  <c r="D248" i="1"/>
  <c r="D164" i="1"/>
  <c r="D170" i="1"/>
  <c r="D167" i="1"/>
  <c r="D1012" i="1"/>
  <c r="D1053" i="1"/>
  <c r="D1024" i="1"/>
  <c r="D1052" i="1" s="1"/>
  <c r="D983" i="1"/>
  <c r="D866" i="1"/>
  <c r="D980" i="1"/>
  <c r="D981" i="1" s="1"/>
  <c r="D219" i="1"/>
  <c r="D228" i="1" s="1"/>
  <c r="D230" i="1" s="1"/>
  <c r="D763" i="1"/>
  <c r="D772" i="1" s="1"/>
  <c r="D354" i="1"/>
  <c r="D358" i="1" s="1"/>
  <c r="D211" i="1"/>
  <c r="D1032" i="1"/>
  <c r="D986" i="1"/>
  <c r="D1027" i="1"/>
  <c r="D991" i="1"/>
  <c r="D104" i="1"/>
  <c r="D52" i="1"/>
  <c r="D99" i="1" s="1"/>
  <c r="D101" i="1"/>
  <c r="D103" i="1"/>
  <c r="D200" i="1"/>
  <c r="D258" i="1"/>
  <c r="D209" i="1"/>
  <c r="D456" i="1"/>
  <c r="D335" i="1"/>
  <c r="D338" i="1" s="1"/>
  <c r="D748" i="1"/>
  <c r="D882" i="1" s="1"/>
  <c r="D857" i="1"/>
  <c r="D858" i="1" s="1"/>
  <c r="D859" i="1" s="1"/>
  <c r="D773" i="1"/>
  <c r="D106" i="1"/>
  <c r="D740" i="1"/>
  <c r="D960" i="1" s="1"/>
  <c r="D777" i="1"/>
  <c r="D781" i="1" s="1"/>
  <c r="D290" i="1"/>
  <c r="D294" i="1" s="1"/>
  <c r="D298" i="1" s="1"/>
  <c r="D300" i="1" s="1"/>
  <c r="D108" i="1"/>
  <c r="D324" i="1"/>
  <c r="D352" i="1"/>
  <c r="D326" i="1"/>
  <c r="D275" i="1"/>
  <c r="D283" i="1"/>
  <c r="D292" i="1" s="1"/>
  <c r="D803" i="1"/>
  <c r="D184" i="1"/>
  <c r="D359" i="1" s="1"/>
  <c r="D387" i="1" s="1"/>
  <c r="D313" i="1"/>
  <c r="D865" i="1"/>
  <c r="D337" i="1"/>
  <c r="D361" i="1"/>
  <c r="D659" i="1"/>
  <c r="D29" i="1"/>
  <c r="D752" i="1"/>
  <c r="D749" i="1"/>
  <c r="D743" i="1"/>
  <c r="D848" i="1"/>
  <c r="D778" i="1"/>
  <c r="D742" i="1"/>
  <c r="D351" i="1"/>
  <c r="D100" i="1"/>
  <c r="D291" i="1"/>
  <c r="D356" i="1" l="1"/>
  <c r="D396" i="1" s="1"/>
  <c r="D735" i="1"/>
  <c r="D786" i="1"/>
  <c r="D790" i="1" s="1"/>
  <c r="D386" i="1"/>
  <c r="D244" i="1"/>
  <c r="D341" i="1" s="1"/>
  <c r="D1011" i="1"/>
  <c r="D213" i="1"/>
  <c r="D446" i="1"/>
  <c r="D444" i="1"/>
  <c r="D366" i="1"/>
  <c r="D655" i="1"/>
  <c r="D320" i="1"/>
  <c r="D322" i="1" s="1"/>
  <c r="D277" i="1"/>
  <c r="D276" i="1"/>
  <c r="D121" i="1"/>
  <c r="D120" i="1"/>
  <c r="D114" i="1"/>
  <c r="D113" i="1"/>
  <c r="D122" i="1"/>
  <c r="D116" i="1"/>
  <c r="D134" i="1"/>
  <c r="D130" i="1"/>
  <c r="D127" i="1"/>
  <c r="D136" i="1"/>
  <c r="D135" i="1"/>
  <c r="D128" i="1"/>
  <c r="D129" i="1"/>
  <c r="D137" i="1"/>
  <c r="D125" i="1"/>
  <c r="D131" i="1"/>
  <c r="D126" i="1"/>
  <c r="D133" i="1"/>
  <c r="D123" i="1"/>
  <c r="D115" i="1"/>
  <c r="D117" i="1"/>
  <c r="D119" i="1"/>
  <c r="D112" i="1"/>
  <c r="D111" i="1"/>
  <c r="D458" i="1"/>
  <c r="D457" i="1"/>
  <c r="D268" i="1"/>
  <c r="D240" i="1"/>
  <c r="D906" i="1"/>
  <c r="D900" i="1"/>
  <c r="D27" i="1"/>
  <c r="D442" i="1"/>
  <c r="D334" i="1"/>
  <c r="D346" i="1" s="1"/>
  <c r="D744" i="1"/>
  <c r="D751" i="1" s="1"/>
  <c r="D212" i="1"/>
  <c r="D173" i="1"/>
  <c r="D657" i="1"/>
  <c r="D309" i="1"/>
  <c r="D311" i="1" s="1"/>
  <c r="D237" i="1"/>
  <c r="D214" i="1"/>
  <c r="D264" i="1"/>
  <c r="D390" i="1"/>
  <c r="D235" i="1"/>
  <c r="D236" i="1" s="1"/>
  <c r="D350" i="1"/>
  <c r="D172" i="1"/>
  <c r="D284" i="1"/>
  <c r="D285" i="1" s="1"/>
  <c r="D286" i="1" s="1"/>
  <c r="D362" i="1"/>
  <c r="D367" i="1" s="1"/>
  <c r="D389" i="1"/>
  <c r="D774" i="1"/>
  <c r="D28" i="1"/>
  <c r="D646" i="1"/>
  <c r="D464" i="1" l="1"/>
  <c r="D479" i="1" s="1"/>
  <c r="D355" i="1"/>
  <c r="D357" i="1" s="1"/>
  <c r="D360" i="1" s="1"/>
  <c r="D278" i="1"/>
  <c r="D274" i="1" s="1"/>
  <c r="D344" i="1" s="1"/>
  <c r="D931" i="1"/>
  <c r="D932" i="1" s="1"/>
  <c r="D756" i="1"/>
  <c r="D881" i="1"/>
  <c r="D397" i="1"/>
  <c r="D734" i="1"/>
  <c r="D929" i="1" s="1"/>
  <c r="D545" i="1"/>
  <c r="D461" i="1"/>
  <c r="D269" i="1"/>
  <c r="D887" i="1"/>
  <c r="D717" i="1"/>
  <c r="D898" i="1"/>
  <c r="D731" i="1"/>
  <c r="D745" i="1"/>
  <c r="D785" i="1" s="1"/>
  <c r="D789" i="1" s="1"/>
  <c r="D791" i="1" s="1"/>
  <c r="D782" i="1"/>
  <c r="D746" i="1"/>
  <c r="D758" i="1" s="1"/>
  <c r="D779" i="1"/>
  <c r="D780" i="1" s="1"/>
  <c r="D741" i="1"/>
  <c r="D798" i="1"/>
  <c r="D465" i="1"/>
  <c r="D142" i="1" a="1"/>
  <c r="D142" i="1" s="1"/>
  <c r="D140" i="1" a="1"/>
  <c r="D140" i="1" s="1"/>
  <c r="D174" i="1"/>
  <c r="D365" i="1"/>
  <c r="D370" i="1" s="1"/>
  <c r="D364" i="1"/>
  <c r="D369" i="1" s="1"/>
  <c r="D139" i="1" a="1"/>
  <c r="D139" i="1" s="1"/>
  <c r="D141" i="1" a="1"/>
  <c r="D141" i="1" s="1"/>
  <c r="D728" i="1" l="1"/>
  <c r="D738" i="1"/>
  <c r="D747" i="1"/>
  <c r="D893" i="1" s="1"/>
  <c r="D901" i="1" s="1"/>
  <c r="D902" i="1" s="1"/>
  <c r="D750" i="1"/>
  <c r="D836" i="1" s="1"/>
  <c r="D534" i="1"/>
  <c r="D502" i="1"/>
  <c r="D640" i="1"/>
  <c r="D144" i="1"/>
  <c r="D933" i="1"/>
  <c r="D934" i="1" s="1"/>
  <c r="D736" i="1"/>
  <c r="D930" i="1"/>
  <c r="D145" i="1"/>
  <c r="D150" i="1" s="1"/>
  <c r="D795" i="1"/>
  <c r="D796" i="1" s="1"/>
  <c r="D885" i="1"/>
  <c r="D644" i="1"/>
  <c r="D459" i="1"/>
  <c r="D462" i="1"/>
  <c r="D799" i="1"/>
  <c r="D965" i="1" s="1"/>
  <c r="D757" i="1"/>
  <c r="D849" i="1"/>
  <c r="D883" i="1"/>
  <c r="D850" i="1"/>
  <c r="D892" i="1"/>
  <c r="D388" i="1"/>
  <c r="D391" i="1" s="1"/>
  <c r="D443" i="1"/>
  <c r="D445" i="1" s="1"/>
  <c r="D454" i="1" s="1"/>
  <c r="D776" i="1"/>
  <c r="D822" i="1"/>
  <c r="D815" i="1"/>
  <c r="D827" i="1"/>
  <c r="D837" i="1" s="1"/>
  <c r="D363" i="1"/>
  <c r="D447" i="1"/>
  <c r="D450" i="1" s="1"/>
  <c r="D755" i="1" l="1"/>
  <c r="D838" i="1"/>
  <c r="D148" i="1"/>
  <c r="D984" i="1" s="1"/>
  <c r="D861" i="1"/>
  <c r="D862" i="1" s="1"/>
  <c r="D863" i="1" s="1"/>
  <c r="D737" i="1"/>
  <c r="D949" i="1"/>
  <c r="D951" i="1"/>
  <c r="D864" i="1"/>
  <c r="D806" i="1"/>
  <c r="D818" i="1" s="1"/>
  <c r="D805" i="1"/>
  <c r="D808" i="1" s="1"/>
  <c r="D814" i="1" s="1"/>
  <c r="D804" i="1"/>
  <c r="D851" i="1"/>
  <c r="D847" i="1" s="1"/>
  <c r="D924" i="1" s="1"/>
  <c r="D894" i="1"/>
  <c r="D823" i="1"/>
  <c r="D832" i="1"/>
  <c r="D801" i="1"/>
  <c r="D753" i="1" s="1"/>
  <c r="D826" i="1"/>
  <c r="D802" i="1"/>
  <c r="D754" i="1" s="1"/>
  <c r="D449" i="1"/>
  <c r="D451" i="1" s="1"/>
  <c r="D448" i="1"/>
  <c r="D452" i="1" s="1"/>
  <c r="D368" i="1"/>
  <c r="D371" i="1" s="1"/>
  <c r="D546" i="1"/>
  <c r="D816" i="1" l="1"/>
  <c r="D810" i="1"/>
  <c r="D812" i="1" s="1"/>
  <c r="D867" i="1"/>
  <c r="D869" i="1" s="1"/>
  <c r="D920" i="1"/>
  <c r="D1025" i="1"/>
  <c r="D1050" i="1" s="1"/>
  <c r="D1009" i="1"/>
  <c r="D1014" i="1"/>
  <c r="D952" i="1"/>
  <c r="D950" i="1"/>
  <c r="D947" i="1" s="1"/>
  <c r="D829" i="1"/>
  <c r="D841" i="1" s="1"/>
  <c r="D868" i="1"/>
  <c r="D811" i="1"/>
  <c r="D839" i="1"/>
  <c r="D668" i="1"/>
  <c r="D671" i="1" s="1"/>
  <c r="D918" i="1" s="1"/>
  <c r="D395" i="1"/>
  <c r="D670" i="1"/>
  <c r="D917" i="1" s="1"/>
  <c r="D394" i="1"/>
  <c r="D455" i="1"/>
  <c r="D453" i="1"/>
  <c r="D605" i="1" s="1"/>
  <c r="D372" i="1"/>
  <c r="D825" i="1"/>
  <c r="D914" i="1" l="1"/>
  <c r="D926" i="1" s="1"/>
  <c r="D1055" i="1"/>
  <c r="D820" i="1"/>
  <c r="D845" i="1" s="1"/>
  <c r="D793" i="1" s="1"/>
  <c r="D923" i="1" s="1"/>
  <c r="D613" i="1"/>
  <c r="D623" i="1" s="1"/>
  <c r="D524" i="1"/>
  <c r="D667" i="1"/>
  <c r="D679" i="1" s="1"/>
  <c r="D378" i="1"/>
  <c r="D383" i="1" s="1"/>
  <c r="D377" i="1"/>
  <c r="D382" i="1" s="1"/>
  <c r="D398" i="1"/>
  <c r="D410" i="1" s="1"/>
  <c r="D411" i="1" s="1"/>
  <c r="D375" i="1"/>
  <c r="D380" i="1" s="1"/>
  <c r="D379" i="1"/>
  <c r="D384" i="1" s="1"/>
  <c r="D373" i="1"/>
  <c r="D376" i="1"/>
  <c r="D381" i="1" s="1"/>
  <c r="D831" i="1"/>
  <c r="D833" i="1" s="1"/>
  <c r="D834" i="1" s="1"/>
  <c r="D843" i="1" s="1"/>
  <c r="D466" i="1" l="1"/>
  <c r="D550" i="1" s="1"/>
  <c r="D551" i="1" s="1"/>
  <c r="D618" i="1"/>
  <c r="D374" i="1"/>
  <c r="D408" i="1"/>
  <c r="D409" i="1" s="1"/>
  <c r="D385" i="1"/>
  <c r="D392" i="1" s="1"/>
  <c r="D954" i="1" s="1"/>
  <c r="D404" i="1"/>
  <c r="D405" i="1" s="1"/>
  <c r="D400" i="1"/>
  <c r="D402" i="1" s="1"/>
  <c r="D418" i="1" s="1"/>
  <c r="D434" i="1" s="1"/>
  <c r="D963" i="1" l="1"/>
  <c r="D945" i="1"/>
  <c r="D439" i="1"/>
  <c r="D492" i="1"/>
  <c r="D491" i="1"/>
  <c r="D489" i="1"/>
  <c r="D488" i="1"/>
  <c r="D485" i="1"/>
  <c r="D486" i="1"/>
  <c r="D440" i="1"/>
  <c r="D441" i="1"/>
  <c r="D406" i="1"/>
  <c r="D423" i="1" s="1"/>
  <c r="D427" i="1" s="1"/>
  <c r="D421" i="1"/>
  <c r="D432" i="1" s="1"/>
  <c r="D417" i="1"/>
  <c r="D401" i="1"/>
  <c r="D577" i="1"/>
  <c r="D578" i="1" s="1"/>
  <c r="D503" i="1"/>
  <c r="D964" i="1" l="1"/>
  <c r="D966" i="1" s="1"/>
  <c r="D556" i="1"/>
  <c r="D942" i="1"/>
  <c r="D584" i="1"/>
  <c r="D494" i="1"/>
  <c r="D495" i="1"/>
  <c r="D548" i="1"/>
  <c r="D549" i="1" s="1"/>
  <c r="D463" i="1"/>
  <c r="D469" i="1"/>
  <c r="D612" i="1"/>
  <c r="D622" i="1" s="1"/>
  <c r="D560" i="1"/>
  <c r="D413" i="1"/>
  <c r="D467" i="1" s="1"/>
  <c r="D424" i="1"/>
  <c r="D435" i="1" s="1"/>
  <c r="D420" i="1"/>
  <c r="D429" i="1" s="1"/>
  <c r="D414" i="1"/>
  <c r="D422" i="1" s="1"/>
  <c r="D433" i="1" s="1"/>
  <c r="D426" i="1"/>
  <c r="D581" i="1"/>
  <c r="D553" i="1"/>
  <c r="D476" i="1" s="1"/>
  <c r="D587" i="1"/>
  <c r="D946" i="1" l="1"/>
  <c r="D596" i="1"/>
  <c r="D507" i="1"/>
  <c r="D642" i="1"/>
  <c r="D504" i="1"/>
  <c r="D559" i="1"/>
  <c r="D582" i="1" s="1"/>
  <c r="D580" i="1"/>
  <c r="D586" i="1" s="1"/>
  <c r="D588" i="1" s="1"/>
  <c r="D589" i="1" s="1"/>
  <c r="D614" i="1"/>
  <c r="D615" i="1" s="1"/>
  <c r="D616" i="1" s="1"/>
  <c r="D436" i="1"/>
  <c r="D496" i="1"/>
  <c r="D419" i="1"/>
  <c r="D428" i="1" s="1"/>
  <c r="D430" i="1" s="1"/>
  <c r="D497" i="1"/>
  <c r="D415" i="1"/>
  <c r="AA7" i="2"/>
  <c r="AA8" i="2"/>
  <c r="AA9" i="2"/>
  <c r="AA10" i="2"/>
  <c r="AA11" i="2"/>
  <c r="AA12" i="2"/>
  <c r="AA13" i="2"/>
  <c r="AA14" i="2"/>
  <c r="AA15" i="2"/>
  <c r="AA16" i="2"/>
  <c r="AA17" i="2"/>
  <c r="AA18" i="2"/>
  <c r="AA19" i="2"/>
  <c r="AA20" i="2"/>
  <c r="AA21" i="2"/>
  <c r="AA22" i="2"/>
  <c r="AA23" i="2"/>
  <c r="AA24" i="2"/>
  <c r="AA25" i="2"/>
  <c r="AA26" i="2"/>
  <c r="AA27" i="2"/>
  <c r="AA28" i="2"/>
  <c r="AA29" i="2"/>
  <c r="AA30" i="2"/>
  <c r="AA31" i="2"/>
  <c r="AA32" i="2"/>
  <c r="AA33" i="2"/>
  <c r="AA34" i="2"/>
  <c r="AA35" i="2"/>
  <c r="AA36" i="2"/>
  <c r="AA37" i="2"/>
  <c r="AA38" i="2"/>
  <c r="AA39" i="2"/>
  <c r="AA40" i="2"/>
  <c r="AA41" i="2"/>
  <c r="AA42" i="2"/>
  <c r="AA43" i="2"/>
  <c r="AA44" i="2"/>
  <c r="AA45" i="2"/>
  <c r="AA46" i="2"/>
  <c r="AA47" i="2"/>
  <c r="AA48" i="2"/>
  <c r="AA49" i="2"/>
  <c r="AA54" i="2"/>
  <c r="AA55" i="2"/>
  <c r="AA56" i="2"/>
  <c r="AA57" i="2"/>
  <c r="AA58" i="2"/>
  <c r="AA59" i="2"/>
  <c r="AA60" i="2"/>
  <c r="AA61" i="2"/>
  <c r="AA62" i="2"/>
  <c r="AA63" i="2"/>
  <c r="AA64" i="2"/>
  <c r="AA65" i="2"/>
  <c r="AA66" i="2"/>
  <c r="AA67" i="2"/>
  <c r="AA68" i="2"/>
  <c r="AA69" i="2"/>
  <c r="AA70" i="2"/>
  <c r="AA71" i="2"/>
  <c r="AA72" i="2"/>
  <c r="AA73" i="2"/>
  <c r="AA74" i="2"/>
  <c r="AA75" i="2"/>
  <c r="AA76" i="2"/>
  <c r="AA77" i="2"/>
  <c r="AA78" i="2"/>
  <c r="AA79" i="2"/>
  <c r="AA80" i="2"/>
  <c r="AA81" i="2"/>
  <c r="AA82" i="2"/>
  <c r="AA83" i="2"/>
  <c r="AA84" i="2"/>
  <c r="AA85" i="2"/>
  <c r="AA86" i="2"/>
  <c r="AA87" i="2"/>
  <c r="AA88" i="2"/>
  <c r="AA89" i="2"/>
  <c r="AA90" i="2"/>
  <c r="AA91" i="2"/>
  <c r="AA92" i="2"/>
  <c r="AA93" i="2"/>
  <c r="AA94" i="2"/>
  <c r="AA95" i="2"/>
  <c r="AA96" i="2"/>
  <c r="AA97" i="2"/>
  <c r="AA98" i="2"/>
  <c r="AA99" i="2"/>
  <c r="AA100" i="2"/>
  <c r="AA101" i="2"/>
  <c r="AA102" i="2"/>
  <c r="AA103" i="2"/>
  <c r="AA104" i="2"/>
  <c r="AA105" i="2"/>
  <c r="AA106" i="2"/>
  <c r="AA107" i="2"/>
  <c r="AA108" i="2"/>
  <c r="AA109" i="2"/>
  <c r="AA110" i="2"/>
  <c r="AA111" i="2"/>
  <c r="AA112" i="2"/>
  <c r="AA113" i="2"/>
  <c r="AA114" i="2"/>
  <c r="AA115" i="2"/>
  <c r="AA116" i="2"/>
  <c r="AA117" i="2"/>
  <c r="AA118" i="2"/>
  <c r="AA119" i="2"/>
  <c r="AA120" i="2"/>
  <c r="AA121" i="2"/>
  <c r="AA122" i="2"/>
  <c r="AA123" i="2"/>
  <c r="AA124" i="2"/>
  <c r="AA125" i="2"/>
  <c r="AA126" i="2"/>
  <c r="AA127" i="2"/>
  <c r="AA128" i="2"/>
  <c r="AA129" i="2"/>
  <c r="AA130" i="2"/>
  <c r="AA131" i="2"/>
  <c r="AA132" i="2"/>
  <c r="AA133" i="2"/>
  <c r="AA134" i="2"/>
  <c r="AA135" i="2"/>
  <c r="AA136" i="2"/>
  <c r="AA137" i="2"/>
  <c r="AA138" i="2"/>
  <c r="AA139" i="2"/>
  <c r="AA140" i="2"/>
  <c r="AA141" i="2"/>
  <c r="AA142" i="2"/>
  <c r="AA143" i="2"/>
  <c r="AA144" i="2"/>
  <c r="AA145" i="2"/>
  <c r="AA146" i="2"/>
  <c r="AA147" i="2"/>
  <c r="AA148" i="2"/>
  <c r="AA149" i="2"/>
  <c r="AA150" i="2"/>
  <c r="AA151" i="2"/>
  <c r="AA152" i="2"/>
  <c r="AA153" i="2"/>
  <c r="AA154" i="2"/>
  <c r="AA155" i="2"/>
  <c r="AA156" i="2"/>
  <c r="AA157" i="2"/>
  <c r="AA158" i="2"/>
  <c r="AA159" i="2"/>
  <c r="AA160" i="2"/>
  <c r="AA161" i="2"/>
  <c r="AA162" i="2"/>
  <c r="AA163" i="2"/>
  <c r="AA164" i="2"/>
  <c r="AA165" i="2"/>
  <c r="AA166" i="2"/>
  <c r="AA167" i="2"/>
  <c r="AA168" i="2"/>
  <c r="AA169" i="2"/>
  <c r="AA170" i="2"/>
  <c r="AA171" i="2"/>
  <c r="AA172" i="2"/>
  <c r="AA173" i="2"/>
  <c r="AA174" i="2"/>
  <c r="AA175" i="2"/>
  <c r="AA176" i="2"/>
  <c r="AA177" i="2"/>
  <c r="AA178" i="2"/>
  <c r="AA179" i="2"/>
  <c r="AA180" i="2"/>
  <c r="AA181" i="2"/>
  <c r="AA182" i="2"/>
  <c r="AA183" i="2"/>
  <c r="AA184" i="2"/>
  <c r="AA185" i="2"/>
  <c r="AA186" i="2"/>
  <c r="AA187" i="2"/>
  <c r="AA188" i="2"/>
  <c r="AA189" i="2"/>
  <c r="AA190" i="2"/>
  <c r="AA191" i="2"/>
  <c r="AA192" i="2"/>
  <c r="AA193" i="2"/>
  <c r="AA194" i="2"/>
  <c r="AA195" i="2"/>
  <c r="AA196" i="2"/>
  <c r="AA197" i="2"/>
  <c r="AA198" i="2"/>
  <c r="AA199" i="2"/>
  <c r="AA200" i="2"/>
  <c r="AA201" i="2"/>
  <c r="AA202" i="2"/>
  <c r="AA203" i="2"/>
  <c r="AA204" i="2"/>
  <c r="AA205" i="2"/>
  <c r="AA206" i="2"/>
  <c r="AA207" i="2"/>
  <c r="AA208" i="2"/>
  <c r="AA209" i="2"/>
  <c r="AA210" i="2"/>
  <c r="AA211" i="2"/>
  <c r="AA212" i="2"/>
  <c r="AA213" i="2"/>
  <c r="AA214" i="2"/>
  <c r="AA215" i="2"/>
  <c r="AA216" i="2"/>
  <c r="AA217" i="2"/>
  <c r="AA218" i="2"/>
  <c r="AA219" i="2"/>
  <c r="AA220" i="2"/>
  <c r="AA221" i="2"/>
  <c r="AA222" i="2"/>
  <c r="AA223" i="2"/>
  <c r="AA224" i="2"/>
  <c r="AA225" i="2"/>
  <c r="AA226" i="2"/>
  <c r="AA227" i="2"/>
  <c r="AA228" i="2"/>
  <c r="AA229" i="2"/>
  <c r="AA230" i="2"/>
  <c r="AA231" i="2"/>
  <c r="AA232" i="2"/>
  <c r="AA233" i="2"/>
  <c r="AA234" i="2"/>
  <c r="AA235" i="2"/>
  <c r="AA236" i="2"/>
  <c r="AA237" i="2"/>
  <c r="AA238" i="2"/>
  <c r="AA239" i="2"/>
  <c r="AA240" i="2"/>
  <c r="AA241" i="2"/>
  <c r="AA242" i="2"/>
  <c r="AA243" i="2"/>
  <c r="AA244" i="2"/>
  <c r="AA245" i="2"/>
  <c r="AA246" i="2"/>
  <c r="AA247" i="2"/>
  <c r="AA248" i="2"/>
  <c r="AA249" i="2"/>
  <c r="AA250" i="2"/>
  <c r="AA251" i="2"/>
  <c r="AA252" i="2"/>
  <c r="AA253" i="2"/>
  <c r="AA254" i="2"/>
  <c r="AA255" i="2"/>
  <c r="AA256" i="2"/>
  <c r="AA257" i="2"/>
  <c r="AA258" i="2"/>
  <c r="AA259" i="2"/>
  <c r="AA260" i="2"/>
  <c r="AA261" i="2"/>
  <c r="AA262" i="2"/>
  <c r="AA263" i="2"/>
  <c r="AA264" i="2"/>
  <c r="AA265" i="2"/>
  <c r="AA266" i="2"/>
  <c r="AA267" i="2"/>
  <c r="AA268" i="2"/>
  <c r="AA269" i="2"/>
  <c r="AA270" i="2"/>
  <c r="AA271" i="2"/>
  <c r="AA272" i="2"/>
  <c r="AA273" i="2"/>
  <c r="AA274" i="2"/>
  <c r="AA275" i="2"/>
  <c r="AA276" i="2"/>
  <c r="AA277" i="2"/>
  <c r="AA278" i="2"/>
  <c r="AA279" i="2"/>
  <c r="AA280" i="2"/>
  <c r="AA281" i="2"/>
  <c r="AA282" i="2"/>
  <c r="AA283" i="2"/>
  <c r="AA284" i="2"/>
  <c r="AA285" i="2"/>
  <c r="AA286" i="2"/>
  <c r="AA287" i="2"/>
  <c r="AA288" i="2"/>
  <c r="AA289" i="2"/>
  <c r="AA290" i="2"/>
  <c r="AA291" i="2"/>
  <c r="AA292" i="2"/>
  <c r="AA293" i="2"/>
  <c r="AA294" i="2"/>
  <c r="AA295" i="2"/>
  <c r="AA296" i="2"/>
  <c r="AA297" i="2"/>
  <c r="AA298" i="2"/>
  <c r="AA299" i="2"/>
  <c r="AA300" i="2"/>
  <c r="AA301" i="2"/>
  <c r="AA302" i="2"/>
  <c r="AA303" i="2"/>
  <c r="AA304" i="2"/>
  <c r="AA305" i="2"/>
  <c r="AA306" i="2"/>
  <c r="AA307" i="2"/>
  <c r="AA308" i="2"/>
  <c r="AA309" i="2"/>
  <c r="AA310" i="2"/>
  <c r="AA311" i="2"/>
  <c r="AA312" i="2"/>
  <c r="AA313" i="2"/>
  <c r="AA314" i="2"/>
  <c r="AA315" i="2"/>
  <c r="AA316" i="2"/>
  <c r="AA317" i="2"/>
  <c r="AA318" i="2"/>
  <c r="AA319" i="2"/>
  <c r="AA320" i="2"/>
  <c r="AA321" i="2"/>
  <c r="AA322" i="2"/>
  <c r="AA323" i="2"/>
  <c r="AA324" i="2"/>
  <c r="AA325" i="2"/>
  <c r="AA326" i="2"/>
  <c r="AA327" i="2"/>
  <c r="AA328" i="2"/>
  <c r="AA329" i="2"/>
  <c r="AA330" i="2"/>
  <c r="AA331" i="2"/>
  <c r="AA332" i="2"/>
  <c r="AA333" i="2"/>
  <c r="AA334" i="2"/>
  <c r="AA335" i="2"/>
  <c r="AA336" i="2"/>
  <c r="AA337" i="2"/>
  <c r="AA338" i="2"/>
  <c r="AA339" i="2"/>
  <c r="AA340" i="2"/>
  <c r="AA341" i="2"/>
  <c r="AA342" i="2"/>
  <c r="AA343" i="2"/>
  <c r="AA344" i="2"/>
  <c r="AA345" i="2"/>
  <c r="AA346" i="2"/>
  <c r="AA347" i="2"/>
  <c r="AA348" i="2"/>
  <c r="AA349" i="2"/>
  <c r="AA350" i="2"/>
  <c r="AA351" i="2"/>
  <c r="AA352" i="2"/>
  <c r="AA353" i="2"/>
  <c r="AA354" i="2"/>
  <c r="AA355" i="2"/>
  <c r="AA356" i="2"/>
  <c r="AA357" i="2"/>
  <c r="AA358" i="2"/>
  <c r="AA359" i="2"/>
  <c r="AA360" i="2"/>
  <c r="AA361" i="2"/>
  <c r="AA362" i="2"/>
  <c r="AA363" i="2"/>
  <c r="AA364" i="2"/>
  <c r="AA365" i="2"/>
  <c r="AA366" i="2"/>
  <c r="AA367" i="2"/>
  <c r="AA368" i="2"/>
  <c r="AA369" i="2"/>
  <c r="AA370" i="2"/>
  <c r="AA371" i="2"/>
  <c r="AA372" i="2"/>
  <c r="AA373" i="2"/>
  <c r="AA374" i="2"/>
  <c r="AA375" i="2"/>
  <c r="AA376" i="2"/>
  <c r="AA377" i="2"/>
  <c r="AA378" i="2"/>
  <c r="AA379" i="2"/>
  <c r="AA380" i="2"/>
  <c r="AA381" i="2"/>
  <c r="AA382" i="2"/>
  <c r="AA383" i="2"/>
  <c r="AA384" i="2"/>
  <c r="AA385" i="2"/>
  <c r="AA386" i="2"/>
  <c r="AA387" i="2"/>
  <c r="AA388" i="2"/>
  <c r="AA389" i="2"/>
  <c r="AA390" i="2"/>
  <c r="AA391" i="2"/>
  <c r="AA392" i="2"/>
  <c r="AA393" i="2"/>
  <c r="AA394" i="2"/>
  <c r="AA395" i="2"/>
  <c r="AA396" i="2"/>
  <c r="AA397" i="2"/>
  <c r="AA398" i="2"/>
  <c r="AA399" i="2"/>
  <c r="AA400" i="2"/>
  <c r="AA401" i="2"/>
  <c r="AA402" i="2"/>
  <c r="AA403" i="2"/>
  <c r="AA404" i="2"/>
  <c r="AA405" i="2"/>
  <c r="AA406" i="2"/>
  <c r="AA407" i="2"/>
  <c r="AA408" i="2"/>
  <c r="AA409" i="2"/>
  <c r="AA410" i="2"/>
  <c r="AA411" i="2"/>
  <c r="AA412" i="2"/>
  <c r="AA413" i="2"/>
  <c r="AA414" i="2"/>
  <c r="AA415" i="2"/>
  <c r="AA416" i="2"/>
  <c r="AA417" i="2"/>
  <c r="AA418" i="2"/>
  <c r="AA419" i="2"/>
  <c r="AA420" i="2"/>
  <c r="AA421" i="2"/>
  <c r="AA422" i="2"/>
  <c r="AA423" i="2"/>
  <c r="AA424" i="2"/>
  <c r="AA425" i="2"/>
  <c r="AA426" i="2"/>
  <c r="AA427" i="2"/>
  <c r="AA428" i="2"/>
  <c r="AA429" i="2"/>
  <c r="AA430" i="2"/>
  <c r="AA431" i="2"/>
  <c r="AA432" i="2"/>
  <c r="AA433" i="2"/>
  <c r="AA434" i="2"/>
  <c r="AA435" i="2"/>
  <c r="AA436" i="2"/>
  <c r="AA437" i="2"/>
  <c r="AA438" i="2"/>
  <c r="AA439" i="2"/>
  <c r="AA440" i="2"/>
  <c r="AA441" i="2"/>
  <c r="AA442" i="2"/>
  <c r="AA443" i="2"/>
  <c r="AA444" i="2"/>
  <c r="AA445" i="2"/>
  <c r="AA446" i="2"/>
  <c r="AA447" i="2"/>
  <c r="AA448" i="2"/>
  <c r="AA449" i="2"/>
  <c r="AA450" i="2"/>
  <c r="AA451" i="2"/>
  <c r="AA452" i="2"/>
  <c r="AA453" i="2"/>
  <c r="AA454" i="2"/>
  <c r="AA455" i="2"/>
  <c r="AA456" i="2"/>
  <c r="AA457" i="2"/>
  <c r="AA458" i="2"/>
  <c r="AA459" i="2"/>
  <c r="AA460" i="2"/>
  <c r="AA461" i="2"/>
  <c r="AA462" i="2"/>
  <c r="AA463" i="2"/>
  <c r="AA464" i="2"/>
  <c r="AA465" i="2"/>
  <c r="AA466" i="2"/>
  <c r="AA467" i="2"/>
  <c r="AA468" i="2"/>
  <c r="AA469" i="2"/>
  <c r="AA470" i="2"/>
  <c r="AA471" i="2"/>
  <c r="AA472" i="2"/>
  <c r="AA473" i="2"/>
  <c r="AA474" i="2"/>
  <c r="AA475" i="2"/>
  <c r="AA476" i="2"/>
  <c r="AA477" i="2"/>
  <c r="AA478" i="2"/>
  <c r="AA479" i="2"/>
  <c r="AA480" i="2"/>
  <c r="AA481" i="2"/>
  <c r="AA482" i="2"/>
  <c r="AA483" i="2"/>
  <c r="AA484" i="2"/>
  <c r="AA485" i="2"/>
  <c r="AA486" i="2"/>
  <c r="AA487" i="2"/>
  <c r="AA488" i="2"/>
  <c r="AA489" i="2"/>
  <c r="AA490" i="2"/>
  <c r="AA491" i="2"/>
  <c r="AA492" i="2"/>
  <c r="AA493" i="2"/>
  <c r="AA494" i="2"/>
  <c r="AA495" i="2"/>
  <c r="AA496" i="2"/>
  <c r="AA497" i="2"/>
  <c r="AA498" i="2"/>
  <c r="AA499" i="2"/>
  <c r="AA500" i="2"/>
  <c r="AA501" i="2"/>
  <c r="AA502" i="2"/>
  <c r="AA503" i="2"/>
  <c r="AA504" i="2"/>
  <c r="AA505" i="2"/>
  <c r="AA506" i="2"/>
  <c r="AA507" i="2"/>
  <c r="AA508" i="2"/>
  <c r="AA509" i="2"/>
  <c r="AA510" i="2"/>
  <c r="AA511" i="2"/>
  <c r="AA512" i="2"/>
  <c r="AA513" i="2"/>
  <c r="AA514" i="2"/>
  <c r="AA515" i="2"/>
  <c r="AA516" i="2"/>
  <c r="AA517" i="2"/>
  <c r="AA518" i="2"/>
  <c r="AA519" i="2"/>
  <c r="AA520" i="2"/>
  <c r="AA521" i="2"/>
  <c r="AA522" i="2"/>
  <c r="AA523" i="2"/>
  <c r="AA524" i="2"/>
  <c r="AA525" i="2"/>
  <c r="AA526" i="2"/>
  <c r="AA527" i="2"/>
  <c r="AA528" i="2"/>
  <c r="AA529" i="2"/>
  <c r="AA530" i="2"/>
  <c r="AA531" i="2"/>
  <c r="AA532" i="2"/>
  <c r="AA533" i="2"/>
  <c r="AA534" i="2"/>
  <c r="AA535" i="2"/>
  <c r="AA536" i="2"/>
  <c r="AA537" i="2"/>
  <c r="AA538" i="2"/>
  <c r="AA539" i="2"/>
  <c r="AA540" i="2"/>
  <c r="AA541" i="2"/>
  <c r="AA542" i="2"/>
  <c r="AA543" i="2"/>
  <c r="AA544" i="2"/>
  <c r="AA545" i="2"/>
  <c r="AA546" i="2"/>
  <c r="AA547" i="2"/>
  <c r="AA548" i="2"/>
  <c r="AA549" i="2"/>
  <c r="AA550" i="2"/>
  <c r="AA551" i="2"/>
  <c r="AA552" i="2"/>
  <c r="AA553" i="2"/>
  <c r="AA554" i="2"/>
  <c r="AA555" i="2"/>
  <c r="AA556" i="2"/>
  <c r="AA557" i="2"/>
  <c r="AA558" i="2"/>
  <c r="AA559" i="2"/>
  <c r="AA560" i="2"/>
  <c r="AA561" i="2"/>
  <c r="AA562" i="2"/>
  <c r="AA563" i="2"/>
  <c r="AA564" i="2"/>
  <c r="AA565" i="2"/>
  <c r="AA566" i="2"/>
  <c r="AA567" i="2"/>
  <c r="AA568" i="2"/>
  <c r="AA569" i="2"/>
  <c r="AA570" i="2"/>
  <c r="AA571" i="2"/>
  <c r="AA572" i="2"/>
  <c r="AA573" i="2"/>
  <c r="AA574" i="2"/>
  <c r="AA575" i="2"/>
  <c r="AA576" i="2"/>
  <c r="AA577" i="2"/>
  <c r="AA578" i="2"/>
  <c r="AA579" i="2"/>
  <c r="AA580" i="2"/>
  <c r="AA581" i="2"/>
  <c r="AA582" i="2"/>
  <c r="AA583" i="2"/>
  <c r="AA584" i="2"/>
  <c r="AA585" i="2"/>
  <c r="AA586" i="2"/>
  <c r="AA587" i="2"/>
  <c r="AA588" i="2"/>
  <c r="AA589" i="2"/>
  <c r="AA590" i="2"/>
  <c r="AA591" i="2"/>
  <c r="AA592" i="2"/>
  <c r="AA593" i="2"/>
  <c r="AA594" i="2"/>
  <c r="AA595" i="2"/>
  <c r="AA596" i="2"/>
  <c r="AA597" i="2"/>
  <c r="AA598" i="2"/>
  <c r="AA599" i="2"/>
  <c r="AA600" i="2"/>
  <c r="AA601" i="2"/>
  <c r="AA602" i="2"/>
  <c r="AA603" i="2"/>
  <c r="AA604" i="2"/>
  <c r="AA605" i="2"/>
  <c r="AA606" i="2"/>
  <c r="AA607" i="2"/>
  <c r="AA608" i="2"/>
  <c r="AA609" i="2"/>
  <c r="AA610" i="2"/>
  <c r="AA611" i="2"/>
  <c r="AA612" i="2"/>
  <c r="AA613" i="2"/>
  <c r="AA614" i="2"/>
  <c r="AA615" i="2"/>
  <c r="AA616" i="2"/>
  <c r="AA617" i="2"/>
  <c r="AA618" i="2"/>
  <c r="AA619" i="2"/>
  <c r="AA620" i="2"/>
  <c r="AA621" i="2"/>
  <c r="AA622" i="2"/>
  <c r="AA623" i="2"/>
  <c r="AA624" i="2"/>
  <c r="AA625" i="2"/>
  <c r="AA626" i="2"/>
  <c r="AA627" i="2"/>
  <c r="AA628" i="2"/>
  <c r="AA629" i="2"/>
  <c r="AA630" i="2"/>
  <c r="AA631" i="2"/>
  <c r="AA632" i="2"/>
  <c r="AA633" i="2"/>
  <c r="AA634" i="2"/>
  <c r="AA635" i="2"/>
  <c r="AA636" i="2"/>
  <c r="AA637" i="2"/>
  <c r="AA638" i="2"/>
  <c r="AA639" i="2"/>
  <c r="AA640" i="2"/>
  <c r="AA641" i="2"/>
  <c r="AA642" i="2"/>
  <c r="AA643" i="2"/>
  <c r="AA644" i="2"/>
  <c r="AA645" i="2"/>
  <c r="AA646" i="2"/>
  <c r="AA647" i="2"/>
  <c r="AA648" i="2"/>
  <c r="AA649" i="2"/>
  <c r="AA650" i="2"/>
  <c r="AA651" i="2"/>
  <c r="AA652" i="2"/>
  <c r="AA653" i="2"/>
  <c r="AA654" i="2"/>
  <c r="AA655" i="2"/>
  <c r="AA656" i="2"/>
  <c r="AA657" i="2"/>
  <c r="AA658" i="2"/>
  <c r="AA659" i="2"/>
  <c r="AA660" i="2"/>
  <c r="AA661" i="2"/>
  <c r="AA662" i="2"/>
  <c r="AA663" i="2"/>
  <c r="AA664" i="2"/>
  <c r="AA665" i="2"/>
  <c r="AA666" i="2"/>
  <c r="AA667" i="2"/>
  <c r="AA668" i="2"/>
  <c r="AA669" i="2"/>
  <c r="AA670" i="2"/>
  <c r="AA671" i="2"/>
  <c r="AA672" i="2"/>
  <c r="AA673" i="2"/>
  <c r="AA674" i="2"/>
  <c r="AA675" i="2"/>
  <c r="AA676" i="2"/>
  <c r="AA677" i="2"/>
  <c r="AA678" i="2"/>
  <c r="AA679" i="2"/>
  <c r="AA680" i="2"/>
  <c r="AA681" i="2"/>
  <c r="AA682" i="2"/>
  <c r="AA683" i="2"/>
  <c r="AA684" i="2"/>
  <c r="AA685" i="2"/>
  <c r="AA686" i="2"/>
  <c r="AA687" i="2"/>
  <c r="AA688" i="2"/>
  <c r="AA689" i="2"/>
  <c r="AA690" i="2"/>
  <c r="AA691" i="2"/>
  <c r="AA692" i="2"/>
  <c r="AA693" i="2"/>
  <c r="AA694" i="2"/>
  <c r="AA695" i="2"/>
  <c r="AA696" i="2"/>
  <c r="AA697" i="2"/>
  <c r="AA698" i="2"/>
  <c r="AA699" i="2"/>
  <c r="AA700" i="2"/>
  <c r="AA701" i="2"/>
  <c r="AA702" i="2"/>
  <c r="AA703" i="2"/>
  <c r="AA704" i="2"/>
  <c r="AA705" i="2"/>
  <c r="AA706" i="2"/>
  <c r="AA707" i="2"/>
  <c r="AA708" i="2"/>
  <c r="AA709" i="2"/>
  <c r="AA710" i="2"/>
  <c r="AA711" i="2"/>
  <c r="AA712" i="2"/>
  <c r="AA713" i="2"/>
  <c r="AA714" i="2"/>
  <c r="AA715" i="2"/>
  <c r="AA716" i="2"/>
  <c r="AA717" i="2"/>
  <c r="AA718" i="2"/>
  <c r="AA719" i="2"/>
  <c r="AA720" i="2"/>
  <c r="AA721" i="2"/>
  <c r="AA722" i="2"/>
  <c r="AA723" i="2"/>
  <c r="AA724" i="2"/>
  <c r="AA725" i="2"/>
  <c r="AA726" i="2"/>
  <c r="AA727" i="2"/>
  <c r="AA728" i="2"/>
  <c r="AA729" i="2"/>
  <c r="AA730" i="2"/>
  <c r="AA731" i="2"/>
  <c r="AA732" i="2"/>
  <c r="AA733" i="2"/>
  <c r="AA734" i="2"/>
  <c r="AA735" i="2"/>
  <c r="AA736" i="2"/>
  <c r="AA737" i="2"/>
  <c r="AA738" i="2"/>
  <c r="AA739" i="2"/>
  <c r="AA740" i="2"/>
  <c r="AA741" i="2"/>
  <c r="AA742" i="2"/>
  <c r="AA743" i="2"/>
  <c r="AA744" i="2"/>
  <c r="AA745" i="2"/>
  <c r="AA746" i="2"/>
  <c r="AA747" i="2"/>
  <c r="AA748" i="2"/>
  <c r="AA749" i="2"/>
  <c r="AA750" i="2"/>
  <c r="AA751" i="2"/>
  <c r="AA752" i="2"/>
  <c r="AA753" i="2"/>
  <c r="AA754" i="2"/>
  <c r="AA755" i="2"/>
  <c r="AA756" i="2"/>
  <c r="AA757" i="2"/>
  <c r="AA758" i="2"/>
  <c r="AA759" i="2"/>
  <c r="AA760" i="2"/>
  <c r="AA761" i="2"/>
  <c r="AA762" i="2"/>
  <c r="AA763" i="2"/>
  <c r="AA764" i="2"/>
  <c r="AA765" i="2"/>
  <c r="AA766" i="2"/>
  <c r="AA767" i="2"/>
  <c r="AA768" i="2"/>
  <c r="AA769" i="2"/>
  <c r="AA770" i="2"/>
  <c r="AA771" i="2"/>
  <c r="AA772" i="2"/>
  <c r="AA773" i="2"/>
  <c r="AA774" i="2"/>
  <c r="AA775" i="2"/>
  <c r="AA776" i="2"/>
  <c r="AA777" i="2"/>
  <c r="AA778" i="2"/>
  <c r="AA779" i="2"/>
  <c r="AA780" i="2"/>
  <c r="AA781" i="2"/>
  <c r="AA782" i="2"/>
  <c r="AA783" i="2"/>
  <c r="AA784" i="2"/>
  <c r="AA785" i="2"/>
  <c r="AA786" i="2"/>
  <c r="AA787" i="2"/>
  <c r="AA788" i="2"/>
  <c r="AA789" i="2"/>
  <c r="AA790" i="2"/>
  <c r="AA791" i="2"/>
  <c r="AA792" i="2"/>
  <c r="AA793" i="2"/>
  <c r="AA794" i="2"/>
  <c r="AA795" i="2"/>
  <c r="AA796" i="2"/>
  <c r="AA797" i="2"/>
  <c r="AA798" i="2"/>
  <c r="AA799" i="2"/>
  <c r="AA800" i="2"/>
  <c r="AA801" i="2"/>
  <c r="AA802" i="2"/>
  <c r="AA803" i="2"/>
  <c r="AA804" i="2"/>
  <c r="AA805" i="2"/>
  <c r="AA806" i="2"/>
  <c r="AA807" i="2"/>
  <c r="AA808" i="2"/>
  <c r="AA809" i="2"/>
  <c r="AA810" i="2"/>
  <c r="AA811" i="2"/>
  <c r="AA812" i="2"/>
  <c r="AA813" i="2"/>
  <c r="AA814" i="2"/>
  <c r="AA815" i="2"/>
  <c r="AA816" i="2"/>
  <c r="AA817" i="2"/>
  <c r="AA818" i="2"/>
  <c r="AA819" i="2"/>
  <c r="AA820" i="2"/>
  <c r="AA821" i="2"/>
  <c r="AA822" i="2"/>
  <c r="AA823" i="2"/>
  <c r="AA824" i="2"/>
  <c r="AA825" i="2"/>
  <c r="AA826" i="2"/>
  <c r="AA827" i="2"/>
  <c r="AA828" i="2"/>
  <c r="AA829" i="2"/>
  <c r="AA830" i="2"/>
  <c r="AA831" i="2"/>
  <c r="AA832" i="2"/>
  <c r="AA833" i="2"/>
  <c r="AA834" i="2"/>
  <c r="AA835" i="2"/>
  <c r="AA836" i="2"/>
  <c r="AA837" i="2"/>
  <c r="AA838" i="2"/>
  <c r="AA839" i="2"/>
  <c r="AA840" i="2"/>
  <c r="AA841" i="2"/>
  <c r="AA842" i="2"/>
  <c r="AA843" i="2"/>
  <c r="AA844" i="2"/>
  <c r="AA845" i="2"/>
  <c r="AA846" i="2"/>
  <c r="AA847" i="2"/>
  <c r="AA848" i="2"/>
  <c r="AA849" i="2"/>
  <c r="AA850" i="2"/>
  <c r="AA851" i="2"/>
  <c r="AA852" i="2"/>
  <c r="AA853" i="2"/>
  <c r="AA854" i="2"/>
  <c r="AA861" i="2"/>
  <c r="AA862" i="2"/>
  <c r="AA863" i="2"/>
  <c r="AA864" i="2"/>
  <c r="AA865" i="2"/>
  <c r="AA866" i="2"/>
  <c r="AA867" i="2"/>
  <c r="AA868" i="2"/>
  <c r="AA869" i="2"/>
  <c r="AA870" i="2"/>
  <c r="AA871" i="2"/>
  <c r="AA872" i="2"/>
  <c r="AA873" i="2"/>
  <c r="AA874" i="2"/>
  <c r="AA875" i="2"/>
  <c r="AA876" i="2"/>
  <c r="AA877" i="2"/>
  <c r="AA878" i="2"/>
  <c r="AA879" i="2"/>
  <c r="AA880" i="2"/>
  <c r="AA881" i="2"/>
  <c r="AA882" i="2"/>
  <c r="AA883" i="2"/>
  <c r="AA884" i="2"/>
  <c r="AA885" i="2"/>
  <c r="AA886" i="2"/>
  <c r="AA887" i="2"/>
  <c r="AA888" i="2"/>
  <c r="AA889" i="2"/>
  <c r="AA890" i="2"/>
  <c r="AA891" i="2"/>
  <c r="AA892" i="2"/>
  <c r="AA893" i="2"/>
  <c r="AA894" i="2"/>
  <c r="AA895" i="2"/>
  <c r="AA896" i="2"/>
  <c r="AA897" i="2"/>
  <c r="AA898" i="2"/>
  <c r="AA899" i="2"/>
  <c r="AA900" i="2"/>
  <c r="AA901" i="2"/>
  <c r="AA902" i="2"/>
  <c r="AA903" i="2"/>
  <c r="AA908" i="2"/>
  <c r="AA909" i="2"/>
  <c r="AA910" i="2"/>
  <c r="AA911" i="2"/>
  <c r="AA912" i="2"/>
  <c r="AA913" i="2"/>
  <c r="AA914" i="2"/>
  <c r="AA915" i="2"/>
  <c r="AA916" i="2"/>
  <c r="AA917" i="2"/>
  <c r="AA918" i="2"/>
  <c r="AA919" i="2"/>
  <c r="AA920" i="2"/>
  <c r="AA921" i="2"/>
  <c r="AA922" i="2"/>
  <c r="AA923" i="2"/>
  <c r="AA924" i="2"/>
  <c r="AA925" i="2"/>
  <c r="AA926" i="2"/>
  <c r="AA927" i="2"/>
  <c r="AA928" i="2"/>
  <c r="AA929" i="2"/>
  <c r="AA930" i="2"/>
  <c r="AA931" i="2"/>
  <c r="AA932" i="2"/>
  <c r="AA933" i="2"/>
  <c r="AA934" i="2"/>
  <c r="AA935" i="2"/>
  <c r="AA936" i="2"/>
  <c r="AA937" i="2"/>
  <c r="AA938" i="2"/>
  <c r="AA939" i="2"/>
  <c r="AA940" i="2"/>
  <c r="AA941" i="2"/>
  <c r="AA942" i="2"/>
  <c r="AA943" i="2"/>
  <c r="AA944" i="2"/>
  <c r="AA945" i="2"/>
  <c r="AA946" i="2"/>
  <c r="AA947" i="2"/>
  <c r="AA948" i="2"/>
  <c r="AA949" i="2"/>
  <c r="AA950" i="2"/>
  <c r="AA951" i="2"/>
  <c r="AA952" i="2"/>
  <c r="AA953" i="2"/>
  <c r="AA954" i="2"/>
  <c r="AA955" i="2"/>
  <c r="AA956" i="2"/>
  <c r="AA957" i="2"/>
  <c r="AA958" i="2"/>
  <c r="AA959" i="2"/>
  <c r="AA960" i="2"/>
  <c r="AA961" i="2"/>
  <c r="AA962" i="2"/>
  <c r="AA963" i="2"/>
  <c r="AA964" i="2"/>
  <c r="AA965" i="2"/>
  <c r="AA966" i="2"/>
  <c r="AA967" i="2"/>
  <c r="AA968" i="2"/>
  <c r="AA969" i="2"/>
  <c r="AA970" i="2"/>
  <c r="AA971" i="2"/>
  <c r="AA972" i="2"/>
  <c r="AA973" i="2"/>
  <c r="AA974" i="2"/>
  <c r="AA975" i="2"/>
  <c r="AA976" i="2"/>
  <c r="AA977" i="2"/>
  <c r="AA978" i="2"/>
  <c r="AA979" i="2"/>
  <c r="AA980" i="2"/>
  <c r="AA981" i="2"/>
  <c r="AA982" i="2"/>
  <c r="AA983" i="2"/>
  <c r="AA984" i="2"/>
  <c r="AA985" i="2"/>
  <c r="AA986" i="2"/>
  <c r="AA987" i="2"/>
  <c r="AA988" i="2"/>
  <c r="AA989" i="2"/>
  <c r="AA990" i="2"/>
  <c r="AA991" i="2"/>
  <c r="AA992" i="2"/>
  <c r="AA993" i="2"/>
  <c r="AA994" i="2"/>
  <c r="AA995" i="2"/>
  <c r="AA996" i="2"/>
  <c r="AA997" i="2"/>
  <c r="AA998" i="2"/>
  <c r="AA999" i="2"/>
  <c r="AA1000" i="2"/>
  <c r="AA1001" i="2"/>
  <c r="AA1002" i="2"/>
  <c r="AA1003" i="2"/>
  <c r="AA1004" i="2"/>
  <c r="AA1005" i="2"/>
  <c r="AA1006" i="2"/>
  <c r="AA1007" i="2"/>
  <c r="AA1008" i="2"/>
  <c r="AA1009" i="2"/>
  <c r="AA1010" i="2"/>
  <c r="AA1011" i="2"/>
  <c r="AA1012" i="2"/>
  <c r="AA1013" i="2"/>
  <c r="AA1014" i="2"/>
  <c r="AA1015" i="2"/>
  <c r="AA1016" i="2"/>
  <c r="AA1017" i="2"/>
  <c r="AA1018" i="2"/>
  <c r="AA1019" i="2"/>
  <c r="AA1020" i="2"/>
  <c r="AA1021" i="2"/>
  <c r="AA1022" i="2"/>
  <c r="AA1023" i="2"/>
  <c r="AA1024" i="2"/>
  <c r="AA1025" i="2"/>
  <c r="AA1026" i="2"/>
  <c r="AA1027" i="2"/>
  <c r="AA1028" i="2"/>
  <c r="AA1029" i="2"/>
  <c r="AA1030" i="2"/>
  <c r="AA1031" i="2"/>
  <c r="AA1032" i="2"/>
  <c r="AA1033" i="2"/>
  <c r="AA1034" i="2"/>
  <c r="AA1035" i="2"/>
  <c r="AA1036" i="2"/>
  <c r="AA1037" i="2"/>
  <c r="AA1038" i="2"/>
  <c r="AA1039" i="2"/>
  <c r="AA1040" i="2"/>
  <c r="AA1041" i="2"/>
  <c r="AA1042" i="2"/>
  <c r="AA1043" i="2"/>
  <c r="AA1044" i="2"/>
  <c r="AA1045" i="2"/>
  <c r="AA1046" i="2"/>
  <c r="AA1047" i="2"/>
  <c r="AA1048" i="2"/>
  <c r="AA1049" i="2"/>
  <c r="AA1050" i="2"/>
  <c r="AA1051" i="2"/>
  <c r="AA1052" i="2"/>
  <c r="AA1053" i="2"/>
  <c r="AA1054" i="2"/>
  <c r="AA1055" i="2"/>
  <c r="AA1056" i="2"/>
  <c r="AA1057" i="2"/>
  <c r="AA1058" i="2"/>
  <c r="AA1059" i="2"/>
  <c r="AA1060" i="2"/>
  <c r="AA1061" i="2"/>
  <c r="AA1062" i="2"/>
  <c r="AA1063" i="2"/>
  <c r="AA1064" i="2"/>
  <c r="AA1065" i="2"/>
  <c r="AA1066" i="2"/>
  <c r="AA1067" i="2"/>
  <c r="AA1068" i="2"/>
  <c r="AA1069" i="2"/>
  <c r="AA1070" i="2"/>
  <c r="AA1071" i="2"/>
  <c r="AA1072" i="2"/>
  <c r="AA1073" i="2"/>
  <c r="AA1074" i="2"/>
  <c r="AA1075" i="2"/>
  <c r="AA1076" i="2"/>
  <c r="AA1077" i="2"/>
  <c r="AA1078" i="2"/>
  <c r="AA1079" i="2"/>
  <c r="AA1080" i="2"/>
  <c r="AA1081" i="2"/>
  <c r="AA1082" i="2"/>
  <c r="AA1083" i="2"/>
  <c r="AA1084" i="2"/>
  <c r="AA1085" i="2"/>
  <c r="AA1086" i="2"/>
  <c r="AA1087" i="2"/>
  <c r="AA1088" i="2"/>
  <c r="AA1089" i="2"/>
  <c r="AA1090" i="2"/>
  <c r="AA1091" i="2"/>
  <c r="AA1092" i="2"/>
  <c r="AA1093" i="2"/>
  <c r="AA1094" i="2"/>
  <c r="AA1095" i="2"/>
  <c r="AA1096" i="2"/>
  <c r="AA1097" i="2"/>
  <c r="AA1098" i="2"/>
  <c r="AA1099" i="2"/>
  <c r="AA1100" i="2"/>
  <c r="AA1101" i="2"/>
  <c r="AA1102" i="2"/>
  <c r="AA1103" i="2"/>
  <c r="AA1104" i="2"/>
  <c r="AA1105" i="2"/>
  <c r="AA1106" i="2"/>
  <c r="AA1107" i="2"/>
  <c r="AA1108" i="2"/>
  <c r="AA1109" i="2"/>
  <c r="AA1110" i="2"/>
  <c r="AA1111" i="2"/>
  <c r="AA1112" i="2"/>
  <c r="AA1113" i="2"/>
  <c r="AA1114" i="2"/>
  <c r="AA1115" i="2"/>
  <c r="AA1116" i="2"/>
  <c r="AA1117" i="2"/>
  <c r="AA1118" i="2"/>
  <c r="AA1119" i="2"/>
  <c r="AA1120" i="2"/>
  <c r="AA1121" i="2"/>
  <c r="AA1122" i="2"/>
  <c r="AA1123" i="2"/>
  <c r="AA1124" i="2"/>
  <c r="AA1125" i="2"/>
  <c r="AA1126" i="2"/>
  <c r="AA1127" i="2"/>
  <c r="AA1128" i="2"/>
  <c r="AA1129" i="2"/>
  <c r="AA1130" i="2"/>
  <c r="AA1131" i="2"/>
  <c r="AA1132" i="2"/>
  <c r="AA1133" i="2"/>
  <c r="AA1134" i="2"/>
  <c r="AA1135" i="2"/>
  <c r="AA1136" i="2"/>
  <c r="AA1137" i="2"/>
  <c r="AA1138" i="2"/>
  <c r="AA1139" i="2"/>
  <c r="AA1140" i="2"/>
  <c r="AA1141" i="2"/>
  <c r="AA1142" i="2"/>
  <c r="AA1143" i="2"/>
  <c r="AA1144" i="2"/>
  <c r="AA1145" i="2"/>
  <c r="AA1146" i="2"/>
  <c r="AA4" i="2"/>
  <c r="G178" i="1" l="1"/>
  <c r="H178" i="1"/>
  <c r="E178" i="1"/>
  <c r="F178" i="1"/>
  <c r="D438" i="1"/>
  <c r="D178" i="1"/>
  <c r="H242" i="1" l="1"/>
  <c r="H232" i="1" s="1"/>
  <c r="H340" i="1" s="1"/>
  <c r="H288" i="1"/>
  <c r="H293" i="1" s="1"/>
  <c r="H522" i="1"/>
  <c r="H252" i="1"/>
  <c r="H239" i="1"/>
  <c r="H508" i="1"/>
  <c r="H238" i="1"/>
  <c r="H505" i="1"/>
  <c r="H289" i="1"/>
  <c r="H241" i="1"/>
  <c r="H468" i="1"/>
  <c r="H513" i="1"/>
  <c r="H517" i="1" s="1"/>
  <c r="H460" i="1"/>
  <c r="H871" i="1"/>
  <c r="H619" i="1"/>
  <c r="H620" i="1" s="1"/>
  <c r="H506" i="1"/>
  <c r="H509" i="1"/>
  <c r="H499" i="1" s="1"/>
  <c r="H673" i="1" s="1"/>
  <c r="G288" i="1"/>
  <c r="G293" i="1" s="1"/>
  <c r="G289" i="1"/>
  <c r="G252" i="1"/>
  <c r="G508" i="1"/>
  <c r="G241" i="1"/>
  <c r="G238" i="1"/>
  <c r="G522" i="1"/>
  <c r="G505" i="1"/>
  <c r="G242" i="1"/>
  <c r="G232" i="1" s="1"/>
  <c r="G340" i="1" s="1"/>
  <c r="G239" i="1"/>
  <c r="G468" i="1"/>
  <c r="G513" i="1"/>
  <c r="G517" i="1" s="1"/>
  <c r="G460" i="1"/>
  <c r="G871" i="1"/>
  <c r="G619" i="1"/>
  <c r="G620" i="1" s="1"/>
  <c r="G506" i="1"/>
  <c r="G509" i="1"/>
  <c r="G499" i="1" s="1"/>
  <c r="G673" i="1" s="1"/>
  <c r="F508" i="1"/>
  <c r="F252" i="1"/>
  <c r="F289" i="1"/>
  <c r="F238" i="1"/>
  <c r="F505" i="1"/>
  <c r="F288" i="1"/>
  <c r="F293" i="1" s="1"/>
  <c r="F241" i="1"/>
  <c r="F522" i="1"/>
  <c r="F513" i="1"/>
  <c r="F517" i="1" s="1"/>
  <c r="F239" i="1"/>
  <c r="F242" i="1"/>
  <c r="F232" i="1" s="1"/>
  <c r="F340" i="1" s="1"/>
  <c r="F468" i="1"/>
  <c r="F460" i="1"/>
  <c r="F871" i="1"/>
  <c r="F872" i="1" s="1"/>
  <c r="F873" i="1" s="1"/>
  <c r="F874" i="1" s="1"/>
  <c r="F619" i="1"/>
  <c r="F620" i="1" s="1"/>
  <c r="F506" i="1"/>
  <c r="F509" i="1"/>
  <c r="F499" i="1" s="1"/>
  <c r="F673" i="1" s="1"/>
  <c r="E508" i="1"/>
  <c r="E513" i="1"/>
  <c r="E517" i="1" s="1"/>
  <c r="E252" i="1"/>
  <c r="E505" i="1"/>
  <c r="E238" i="1"/>
  <c r="E288" i="1"/>
  <c r="E293" i="1" s="1"/>
  <c r="E241" i="1"/>
  <c r="E289" i="1"/>
  <c r="E522" i="1"/>
  <c r="E239" i="1"/>
  <c r="E468" i="1"/>
  <c r="E242" i="1"/>
  <c r="E460" i="1"/>
  <c r="E619" i="1"/>
  <c r="E620" i="1" s="1"/>
  <c r="E509" i="1"/>
  <c r="E506" i="1"/>
  <c r="D460" i="1"/>
  <c r="D943" i="1" s="1"/>
  <c r="D513" i="1"/>
  <c r="D517" i="1" s="1"/>
  <c r="D522" i="1"/>
  <c r="D619" i="1"/>
  <c r="D620" i="1" s="1"/>
  <c r="D555" i="1"/>
  <c r="D528" i="1"/>
  <c r="D238" i="1"/>
  <c r="D239" i="1" s="1"/>
  <c r="D241" i="1"/>
  <c r="D242" i="1" s="1"/>
  <c r="D505" i="1"/>
  <c r="D506" i="1" s="1"/>
  <c r="D252" i="1"/>
  <c r="D288" i="1"/>
  <c r="D293" i="1" s="1"/>
  <c r="D289" i="1"/>
  <c r="D508" i="1"/>
  <c r="D509" i="1" s="1"/>
  <c r="D468" i="1"/>
  <c r="D512" i="1" s="1"/>
  <c r="D516" i="1" s="1"/>
  <c r="AB9" i="8"/>
  <c r="AH9" i="8"/>
  <c r="AG9" i="8"/>
  <c r="AF9" i="8"/>
  <c r="AE9" i="8"/>
  <c r="AD9" i="8"/>
  <c r="Y9" i="8"/>
  <c r="X9" i="8"/>
  <c r="W9" i="8"/>
  <c r="V9" i="8"/>
  <c r="U9" i="8"/>
  <c r="S9" i="8"/>
  <c r="J9" i="8"/>
  <c r="D21" i="8"/>
  <c r="K9" i="8" s="1"/>
  <c r="P9" i="8"/>
  <c r="O9" i="8"/>
  <c r="N9" i="8"/>
  <c r="M9" i="8"/>
  <c r="L9" i="8"/>
  <c r="G621" i="1" l="1"/>
  <c r="G625" i="1" s="1"/>
  <c r="G629" i="1" s="1"/>
  <c r="G631" i="1" s="1"/>
  <c r="G633" i="1" s="1"/>
  <c r="G547" i="1"/>
  <c r="G557" i="1" s="1"/>
  <c r="G566" i="1" s="1"/>
  <c r="G943" i="1"/>
  <c r="G944" i="1" s="1"/>
  <c r="G554" i="1"/>
  <c r="G565" i="1" s="1"/>
  <c r="G526" i="1"/>
  <c r="G531" i="1" s="1"/>
  <c r="G525" i="1"/>
  <c r="G530" i="1" s="1"/>
  <c r="G651" i="1"/>
  <c r="G480" i="1"/>
  <c r="G512" i="1"/>
  <c r="G516" i="1" s="1"/>
  <c r="G518" i="1" s="1"/>
  <c r="G511" i="1" s="1"/>
  <c r="G674" i="1" s="1"/>
  <c r="G478" i="1"/>
  <c r="G591" i="1"/>
  <c r="G607" i="1"/>
  <c r="G606" i="1"/>
  <c r="G539" i="1"/>
  <c r="G570" i="1"/>
  <c r="G569" i="1"/>
  <c r="G592" i="1"/>
  <c r="G538" i="1"/>
  <c r="G256" i="1"/>
  <c r="G261" i="1" s="1"/>
  <c r="G255" i="1"/>
  <c r="H621" i="1"/>
  <c r="H625" i="1" s="1"/>
  <c r="H629" i="1" s="1"/>
  <c r="H631" i="1" s="1"/>
  <c r="H633" i="1" s="1"/>
  <c r="H547" i="1"/>
  <c r="H557" i="1" s="1"/>
  <c r="H566" i="1" s="1"/>
  <c r="H525" i="1"/>
  <c r="H530" i="1" s="1"/>
  <c r="H526" i="1"/>
  <c r="H531" i="1" s="1"/>
  <c r="H554" i="1"/>
  <c r="H565" i="1" s="1"/>
  <c r="H943" i="1"/>
  <c r="H944" i="1" s="1"/>
  <c r="H256" i="1"/>
  <c r="H261" i="1" s="1"/>
  <c r="H255" i="1"/>
  <c r="G295" i="1"/>
  <c r="G297" i="1" s="1"/>
  <c r="G299" i="1" s="1"/>
  <c r="G301" i="1" s="1"/>
  <c r="G296" i="1"/>
  <c r="H651" i="1"/>
  <c r="H480" i="1"/>
  <c r="H478" i="1"/>
  <c r="H512" i="1"/>
  <c r="H516" i="1" s="1"/>
  <c r="H518" i="1" s="1"/>
  <c r="H511" i="1" s="1"/>
  <c r="H674" i="1" s="1"/>
  <c r="H591" i="1"/>
  <c r="H607" i="1"/>
  <c r="H606" i="1"/>
  <c r="H539" i="1"/>
  <c r="H569" i="1"/>
  <c r="H570" i="1"/>
  <c r="H592" i="1"/>
  <c r="H538" i="1"/>
  <c r="H295" i="1"/>
  <c r="H297" i="1" s="1"/>
  <c r="H299" i="1" s="1"/>
  <c r="H301" i="1" s="1"/>
  <c r="H296" i="1"/>
  <c r="E232" i="1"/>
  <c r="E340" i="1" s="1"/>
  <c r="G624" i="1"/>
  <c r="G626" i="1" s="1"/>
  <c r="G628" i="1" s="1"/>
  <c r="G630" i="1" s="1"/>
  <c r="G632" i="1" s="1"/>
  <c r="E499" i="1"/>
  <c r="E673" i="1" s="1"/>
  <c r="E621" i="1"/>
  <c r="E625" i="1" s="1"/>
  <c r="E629" i="1" s="1"/>
  <c r="E547" i="1"/>
  <c r="E557" i="1" s="1"/>
  <c r="E566" i="1" s="1"/>
  <c r="E525" i="1"/>
  <c r="E554" i="1"/>
  <c r="E565" i="1" s="1"/>
  <c r="E567" i="1" s="1"/>
  <c r="E943" i="1"/>
  <c r="E944" i="1" s="1"/>
  <c r="E526" i="1"/>
  <c r="E531" i="1" s="1"/>
  <c r="F296" i="1"/>
  <c r="F295" i="1"/>
  <c r="F297" i="1" s="1"/>
  <c r="F299" i="1" s="1"/>
  <c r="F301" i="1" s="1"/>
  <c r="F302" i="1" s="1"/>
  <c r="F621" i="1"/>
  <c r="F625" i="1" s="1"/>
  <c r="F629" i="1" s="1"/>
  <c r="F631" i="1" s="1"/>
  <c r="F547" i="1"/>
  <c r="F557" i="1" s="1"/>
  <c r="F566" i="1" s="1"/>
  <c r="F943" i="1"/>
  <c r="F944" i="1" s="1"/>
  <c r="F941" i="1" s="1"/>
  <c r="F939" i="1" s="1"/>
  <c r="F525" i="1"/>
  <c r="F530" i="1" s="1"/>
  <c r="F532" i="1" s="1"/>
  <c r="F526" i="1"/>
  <c r="F531" i="1" s="1"/>
  <c r="F554" i="1"/>
  <c r="F565" i="1" s="1"/>
  <c r="E512" i="1"/>
  <c r="E516" i="1" s="1"/>
  <c r="E518" i="1" s="1"/>
  <c r="E511" i="1" s="1"/>
  <c r="E674" i="1" s="1"/>
  <c r="E478" i="1"/>
  <c r="E651" i="1"/>
  <c r="E480" i="1"/>
  <c r="E591" i="1"/>
  <c r="E607" i="1"/>
  <c r="E606" i="1"/>
  <c r="E539" i="1"/>
  <c r="E570" i="1"/>
  <c r="E592" i="1"/>
  <c r="E538" i="1"/>
  <c r="E569" i="1"/>
  <c r="E255" i="1"/>
  <c r="E256" i="1"/>
  <c r="E261" i="1" s="1"/>
  <c r="F478" i="1"/>
  <c r="F591" i="1"/>
  <c r="F512" i="1"/>
  <c r="F516" i="1" s="1"/>
  <c r="F518" i="1" s="1"/>
  <c r="F511" i="1" s="1"/>
  <c r="F674" i="1" s="1"/>
  <c r="F480" i="1"/>
  <c r="F651" i="1"/>
  <c r="F607" i="1"/>
  <c r="F606" i="1"/>
  <c r="F539" i="1"/>
  <c r="F570" i="1"/>
  <c r="F592" i="1"/>
  <c r="F538" i="1"/>
  <c r="F569" i="1"/>
  <c r="E296" i="1"/>
  <c r="E295" i="1"/>
  <c r="E297" i="1" s="1"/>
  <c r="E299" i="1" s="1"/>
  <c r="F256" i="1"/>
  <c r="F261" i="1" s="1"/>
  <c r="F255" i="1"/>
  <c r="D526" i="1"/>
  <c r="D531" i="1" s="1"/>
  <c r="D621" i="1"/>
  <c r="D625" i="1" s="1"/>
  <c r="D629" i="1" s="1"/>
  <c r="D631" i="1" s="1"/>
  <c r="D554" i="1"/>
  <c r="D547" i="1"/>
  <c r="D557" i="1" s="1"/>
  <c r="D518" i="1"/>
  <c r="D511" i="1" s="1"/>
  <c r="D674" i="1" s="1"/>
  <c r="D499" i="1"/>
  <c r="D673" i="1" s="1"/>
  <c r="D232" i="1"/>
  <c r="D340" i="1" s="1"/>
  <c r="D525" i="1"/>
  <c r="D530" i="1" s="1"/>
  <c r="D532" i="1" s="1"/>
  <c r="D539" i="1"/>
  <c r="D474" i="1"/>
  <c r="D481" i="1" s="1"/>
  <c r="D538" i="1"/>
  <c r="D255" i="1"/>
  <c r="D256" i="1"/>
  <c r="D480" i="1"/>
  <c r="D591" i="1"/>
  <c r="D478" i="1"/>
  <c r="D651" i="1"/>
  <c r="D653" i="1" s="1"/>
  <c r="D607" i="1"/>
  <c r="D592" i="1"/>
  <c r="D606" i="1"/>
  <c r="D570" i="1"/>
  <c r="D870" i="1"/>
  <c r="D871" i="1" s="1"/>
  <c r="D872" i="1" s="1"/>
  <c r="D873" i="1" s="1"/>
  <c r="D874" i="1" s="1"/>
  <c r="D295" i="1"/>
  <c r="D296" i="1"/>
  <c r="AC9" i="8"/>
  <c r="AI9" i="8" s="1"/>
  <c r="T9" i="8"/>
  <c r="Z9" i="8" s="1"/>
  <c r="G627" i="1" l="1"/>
  <c r="E301" i="1"/>
  <c r="E302" i="1" s="1"/>
  <c r="E305" i="1"/>
  <c r="E631" i="1"/>
  <c r="E530" i="1"/>
  <c r="E532" i="1" s="1"/>
  <c r="E540" i="1" s="1"/>
  <c r="E477" i="1"/>
  <c r="H624" i="1"/>
  <c r="H210" i="1"/>
  <c r="H260" i="1"/>
  <c r="G210" i="1"/>
  <c r="G260" i="1"/>
  <c r="H571" i="1"/>
  <c r="H593" i="1"/>
  <c r="H540" i="1"/>
  <c r="H608" i="1"/>
  <c r="H604" i="1" s="1"/>
  <c r="H677" i="1" s="1"/>
  <c r="G608" i="1"/>
  <c r="G604" i="1" s="1"/>
  <c r="G677" i="1" s="1"/>
  <c r="G593" i="1"/>
  <c r="G571" i="1"/>
  <c r="G540" i="1"/>
  <c r="H653" i="1"/>
  <c r="H656" i="1"/>
  <c r="G653" i="1"/>
  <c r="G656" i="1"/>
  <c r="F624" i="1"/>
  <c r="F627" i="1" s="1"/>
  <c r="E210" i="1"/>
  <c r="E260" i="1"/>
  <c r="E262" i="1" s="1"/>
  <c r="F593" i="1"/>
  <c r="F540" i="1"/>
  <c r="F542" i="1" s="1"/>
  <c r="F571" i="1"/>
  <c r="F575" i="1" s="1"/>
  <c r="F600" i="1" s="1"/>
  <c r="F602" i="1" s="1"/>
  <c r="F520" i="1" s="1"/>
  <c r="E653" i="1"/>
  <c r="E593" i="1"/>
  <c r="E594" i="1" s="1"/>
  <c r="E598" i="1" s="1"/>
  <c r="E571" i="1"/>
  <c r="E575" i="1" s="1"/>
  <c r="E600" i="1" s="1"/>
  <c r="F210" i="1"/>
  <c r="F260" i="1"/>
  <c r="F262" i="1" s="1"/>
  <c r="F270" i="1" s="1"/>
  <c r="F272" i="1" s="1"/>
  <c r="F250" i="1" s="1"/>
  <c r="F343" i="1" s="1"/>
  <c r="E624" i="1"/>
  <c r="F608" i="1"/>
  <c r="F604" i="1" s="1"/>
  <c r="F677" i="1" s="1"/>
  <c r="E608" i="1"/>
  <c r="E604" i="1" s="1"/>
  <c r="E677" i="1" s="1"/>
  <c r="F653" i="1"/>
  <c r="F656" i="1"/>
  <c r="D877" i="1"/>
  <c r="D477" i="1"/>
  <c r="D624" i="1"/>
  <c r="D558" i="1"/>
  <c r="D561" i="1"/>
  <c r="D573" i="1" s="1"/>
  <c r="D540" i="1"/>
  <c r="D542" i="1" s="1"/>
  <c r="D210" i="1"/>
  <c r="D260" i="1"/>
  <c r="D262" i="1" s="1"/>
  <c r="D270" i="1" s="1"/>
  <c r="D261" i="1"/>
  <c r="D297" i="1"/>
  <c r="D299" i="1" s="1"/>
  <c r="D305" i="1" s="1"/>
  <c r="D593" i="1"/>
  <c r="D594" i="1" s="1"/>
  <c r="D598" i="1" s="1"/>
  <c r="D608" i="1"/>
  <c r="H10" i="8"/>
  <c r="Q9" i="8"/>
  <c r="F626" i="1" l="1"/>
  <c r="F628" i="1" s="1"/>
  <c r="F630" i="1" s="1"/>
  <c r="F632" i="1" s="1"/>
  <c r="F633" i="1" s="1"/>
  <c r="E312" i="1"/>
  <c r="E314" i="1" s="1"/>
  <c r="E316" i="1" s="1"/>
  <c r="E323" i="1"/>
  <c r="E325" i="1" s="1"/>
  <c r="E327" i="1" s="1"/>
  <c r="E270" i="1"/>
  <c r="E272" i="1" s="1"/>
  <c r="E250" i="1" s="1"/>
  <c r="E343" i="1" s="1"/>
  <c r="E542" i="1"/>
  <c r="E602" i="1" s="1"/>
  <c r="E520" i="1" s="1"/>
  <c r="H658" i="1"/>
  <c r="H660" i="1"/>
  <c r="G660" i="1"/>
  <c r="G658" i="1"/>
  <c r="H627" i="1"/>
  <c r="H626" i="1"/>
  <c r="H628" i="1" s="1"/>
  <c r="H630" i="1" s="1"/>
  <c r="H632" i="1" s="1"/>
  <c r="F676" i="1"/>
  <c r="F987" i="1"/>
  <c r="F988" i="1" s="1"/>
  <c r="F990" i="1" s="1"/>
  <c r="F992" i="1" s="1"/>
  <c r="F1028" i="1"/>
  <c r="F1029" i="1" s="1"/>
  <c r="F1031" i="1" s="1"/>
  <c r="F1033" i="1" s="1"/>
  <c r="E627" i="1"/>
  <c r="E626" i="1"/>
  <c r="E628" i="1" s="1"/>
  <c r="E630" i="1" s="1"/>
  <c r="F658" i="1"/>
  <c r="F660" i="1"/>
  <c r="D563" i="1"/>
  <c r="D566" i="1" s="1"/>
  <c r="D944" i="1"/>
  <c r="D941" i="1" s="1"/>
  <c r="D939" i="1" s="1"/>
  <c r="D903" i="1"/>
  <c r="D905" i="1" s="1"/>
  <c r="D907" i="1" s="1"/>
  <c r="D884" i="1"/>
  <c r="D886" i="1" s="1"/>
  <c r="D888" i="1" s="1"/>
  <c r="D895" i="1"/>
  <c r="D897" i="1" s="1"/>
  <c r="D899" i="1" s="1"/>
  <c r="D626" i="1"/>
  <c r="D627" i="1"/>
  <c r="D301" i="1"/>
  <c r="D302" i="1" s="1"/>
  <c r="D604" i="1"/>
  <c r="D677" i="1" s="1"/>
  <c r="D312" i="1"/>
  <c r="D314" i="1" s="1"/>
  <c r="D316" i="1" s="1"/>
  <c r="D323" i="1"/>
  <c r="D325" i="1" s="1"/>
  <c r="D327" i="1" s="1"/>
  <c r="AB10" i="8"/>
  <c r="AH10" i="8"/>
  <c r="AG10" i="8"/>
  <c r="AE10" i="8"/>
  <c r="AF10" i="8"/>
  <c r="AC10" i="8"/>
  <c r="J10" i="8"/>
  <c r="X10" i="8"/>
  <c r="V10" i="8"/>
  <c r="U10" i="8"/>
  <c r="Y10" i="8"/>
  <c r="W10" i="8"/>
  <c r="S10" i="8"/>
  <c r="T10" i="8"/>
  <c r="N10" i="8"/>
  <c r="P10" i="8"/>
  <c r="O10" i="8"/>
  <c r="M10" i="8"/>
  <c r="L10" i="8"/>
  <c r="K10" i="8"/>
  <c r="AD10" i="8"/>
  <c r="H11" i="8"/>
  <c r="E632" i="1" l="1"/>
  <c r="E633" i="1" s="1"/>
  <c r="E636" i="1"/>
  <c r="E329" i="1"/>
  <c r="E330" i="1" s="1"/>
  <c r="E332" i="1" s="1"/>
  <c r="E280" i="1" s="1"/>
  <c r="E345" i="1" s="1"/>
  <c r="E342" i="1" s="1"/>
  <c r="E1028" i="1"/>
  <c r="E1029" i="1" s="1"/>
  <c r="E987" i="1"/>
  <c r="E676" i="1"/>
  <c r="G662" i="1"/>
  <c r="G663" i="1" s="1"/>
  <c r="H662" i="1"/>
  <c r="H663" i="1" s="1"/>
  <c r="F1041" i="1"/>
  <c r="F1043" i="1" s="1"/>
  <c r="F972" i="1" s="1"/>
  <c r="F973" i="1" s="1"/>
  <c r="F1045" i="1"/>
  <c r="F1004" i="1"/>
  <c r="F1000" i="1"/>
  <c r="F1002" i="1" s="1"/>
  <c r="F970" i="1" s="1"/>
  <c r="F971" i="1" s="1"/>
  <c r="F662" i="1"/>
  <c r="F663" i="1" s="1"/>
  <c r="F665" i="1" s="1"/>
  <c r="F610" i="1" s="1"/>
  <c r="F678" i="1" s="1"/>
  <c r="F675" i="1" s="1"/>
  <c r="D569" i="1"/>
  <c r="D565" i="1"/>
  <c r="D567" i="1" s="1"/>
  <c r="D571" i="1" s="1"/>
  <c r="D575" i="1" s="1"/>
  <c r="D600" i="1" s="1"/>
  <c r="D602" i="1" s="1"/>
  <c r="D520" i="1" s="1"/>
  <c r="D987" i="1" s="1"/>
  <c r="D988" i="1" s="1"/>
  <c r="D990" i="1" s="1"/>
  <c r="D992" i="1" s="1"/>
  <c r="D329" i="1"/>
  <c r="D330" i="1" s="1"/>
  <c r="D332" i="1" s="1"/>
  <c r="D280" i="1" s="1"/>
  <c r="D345" i="1" s="1"/>
  <c r="D909" i="1"/>
  <c r="D910" i="1" s="1"/>
  <c r="D912" i="1" s="1"/>
  <c r="D853" i="1" s="1"/>
  <c r="D925" i="1" s="1"/>
  <c r="D922" i="1" s="1"/>
  <c r="D628" i="1"/>
  <c r="D630" i="1" s="1"/>
  <c r="D636" i="1" s="1"/>
  <c r="D643" i="1" s="1"/>
  <c r="D645" i="1" s="1"/>
  <c r="D647" i="1" s="1"/>
  <c r="D272" i="1"/>
  <c r="D250" i="1" s="1"/>
  <c r="D343" i="1" s="1"/>
  <c r="AB11" i="8"/>
  <c r="AG11" i="8"/>
  <c r="AH11" i="8"/>
  <c r="AC11" i="8"/>
  <c r="AE11" i="8"/>
  <c r="AF11" i="8"/>
  <c r="AI10" i="8"/>
  <c r="Z10" i="8"/>
  <c r="J11" i="8"/>
  <c r="S11" i="8"/>
  <c r="X11" i="8"/>
  <c r="V11" i="8"/>
  <c r="U11" i="8"/>
  <c r="Y11" i="8"/>
  <c r="W11" i="8"/>
  <c r="T11" i="8"/>
  <c r="Q10" i="8"/>
  <c r="N11" i="8"/>
  <c r="P11" i="8"/>
  <c r="O11" i="8"/>
  <c r="M11" i="8"/>
  <c r="L11" i="8"/>
  <c r="K11" i="8"/>
  <c r="AD11" i="8"/>
  <c r="H12" i="8"/>
  <c r="E654" i="1" l="1"/>
  <c r="E656" i="1" s="1"/>
  <c r="E643" i="1"/>
  <c r="E645" i="1" s="1"/>
  <c r="E647" i="1" s="1"/>
  <c r="D784" i="1"/>
  <c r="D921" i="1" s="1"/>
  <c r="D676" i="1"/>
  <c r="D1028" i="1"/>
  <c r="D1029" i="1" s="1"/>
  <c r="D1031" i="1" s="1"/>
  <c r="D1033" i="1" s="1"/>
  <c r="D1041" i="1" s="1"/>
  <c r="D1000" i="1"/>
  <c r="D1002" i="1" s="1"/>
  <c r="D970" i="1" s="1"/>
  <c r="D971" i="1" s="1"/>
  <c r="D1004" i="1"/>
  <c r="D654" i="1"/>
  <c r="D656" i="1" s="1"/>
  <c r="D658" i="1" s="1"/>
  <c r="D632" i="1"/>
  <c r="D633" i="1" s="1"/>
  <c r="D342" i="1"/>
  <c r="AF12" i="8"/>
  <c r="AB12" i="8"/>
  <c r="AG12" i="8"/>
  <c r="AE12" i="8"/>
  <c r="AH12" i="8"/>
  <c r="AC12" i="8"/>
  <c r="AI11" i="8"/>
  <c r="J12" i="8"/>
  <c r="S12" i="8"/>
  <c r="X12" i="8"/>
  <c r="V12" i="8"/>
  <c r="U12" i="8"/>
  <c r="W12" i="8"/>
  <c r="Y12" i="8"/>
  <c r="T12" i="8"/>
  <c r="Z11" i="8"/>
  <c r="Q11" i="8"/>
  <c r="N12" i="8"/>
  <c r="O12" i="8"/>
  <c r="P12" i="8"/>
  <c r="L12" i="8"/>
  <c r="M12" i="8"/>
  <c r="K12" i="8"/>
  <c r="AD12" i="8"/>
  <c r="H13" i="8"/>
  <c r="E660" i="1" l="1"/>
  <c r="E658" i="1"/>
  <c r="E662" i="1" s="1"/>
  <c r="E663" i="1" s="1"/>
  <c r="E665" i="1" s="1"/>
  <c r="E610" i="1" s="1"/>
  <c r="E678" i="1" s="1"/>
  <c r="E675" i="1" s="1"/>
  <c r="D1045" i="1"/>
  <c r="D1043" i="1"/>
  <c r="D972" i="1" s="1"/>
  <c r="D973" i="1" s="1"/>
  <c r="D660" i="1"/>
  <c r="AI12" i="8"/>
  <c r="AF13" i="8"/>
  <c r="AG13" i="8"/>
  <c r="AB13" i="8"/>
  <c r="AE13" i="8"/>
  <c r="AH13" i="8"/>
  <c r="AC13" i="8"/>
  <c r="J13" i="8"/>
  <c r="Y13" i="8"/>
  <c r="W13" i="8"/>
  <c r="S13" i="8"/>
  <c r="X13" i="8"/>
  <c r="V13" i="8"/>
  <c r="U13" i="8"/>
  <c r="T13" i="8"/>
  <c r="Z12" i="8"/>
  <c r="Q12" i="8"/>
  <c r="N13" i="8"/>
  <c r="O13" i="8"/>
  <c r="P13" i="8"/>
  <c r="L13" i="8"/>
  <c r="M13" i="8"/>
  <c r="K13" i="8"/>
  <c r="AD13" i="8"/>
  <c r="H14" i="8"/>
  <c r="D662" i="1" l="1"/>
  <c r="D663" i="1" s="1"/>
  <c r="D665" i="1" s="1"/>
  <c r="D610" i="1" s="1"/>
  <c r="D678" i="1" s="1"/>
  <c r="D675" i="1" s="1"/>
  <c r="AI13" i="8"/>
  <c r="AH14" i="8"/>
  <c r="AF14" i="8"/>
  <c r="AB14" i="8"/>
  <c r="AG14" i="8"/>
  <c r="AC14" i="8"/>
  <c r="AE14" i="8"/>
  <c r="Z13" i="8"/>
  <c r="J14" i="8"/>
  <c r="Y14" i="8"/>
  <c r="W14" i="8"/>
  <c r="S14" i="8"/>
  <c r="X14" i="8"/>
  <c r="V14" i="8"/>
  <c r="U14" i="8"/>
  <c r="T14" i="8"/>
  <c r="Q13" i="8"/>
  <c r="N14" i="8"/>
  <c r="O14" i="8"/>
  <c r="P14" i="8"/>
  <c r="L14" i="8"/>
  <c r="M14" i="8"/>
  <c r="K14" i="8"/>
  <c r="AD14" i="8"/>
  <c r="H15" i="8"/>
  <c r="AI14" i="8" l="1"/>
  <c r="AE15" i="8"/>
  <c r="AH15" i="8"/>
  <c r="AF15" i="8"/>
  <c r="AB15" i="8"/>
  <c r="AG15" i="8"/>
  <c r="AC15" i="8"/>
  <c r="Z14" i="8"/>
  <c r="J15" i="8"/>
  <c r="Y15" i="8"/>
  <c r="W15" i="8"/>
  <c r="U15" i="8"/>
  <c r="X15" i="8"/>
  <c r="V15" i="8"/>
  <c r="S15" i="8"/>
  <c r="T15" i="8"/>
  <c r="Q14" i="8"/>
  <c r="N15" i="8"/>
  <c r="O15" i="8"/>
  <c r="P15" i="8"/>
  <c r="L15" i="8"/>
  <c r="M15" i="8"/>
  <c r="K15" i="8"/>
  <c r="AD15" i="8"/>
  <c r="H16" i="8"/>
  <c r="AI15" i="8" l="1"/>
  <c r="AE16" i="8"/>
  <c r="AF16" i="8"/>
  <c r="AH16" i="8"/>
  <c r="AB16" i="8"/>
  <c r="AG16" i="8"/>
  <c r="AC16" i="8"/>
  <c r="J16" i="8"/>
  <c r="Y16" i="8"/>
  <c r="W16" i="8"/>
  <c r="S16" i="8"/>
  <c r="U16" i="8"/>
  <c r="X16" i="8"/>
  <c r="V16" i="8"/>
  <c r="T16" i="8"/>
  <c r="Z15" i="8"/>
  <c r="Q15" i="8"/>
  <c r="N16" i="8"/>
  <c r="O16" i="8"/>
  <c r="P16" i="8"/>
  <c r="L16" i="8"/>
  <c r="M16" i="8"/>
  <c r="K16" i="8"/>
  <c r="AD16" i="8"/>
  <c r="H17" i="8"/>
  <c r="AI16" i="8" l="1"/>
  <c r="AG17" i="8"/>
  <c r="AE17" i="8"/>
  <c r="AH17" i="8"/>
  <c r="AF17" i="8"/>
  <c r="AB17" i="8"/>
  <c r="AC17" i="8"/>
  <c r="Z16" i="8"/>
  <c r="J17" i="8"/>
  <c r="X17" i="8"/>
  <c r="V17" i="8"/>
  <c r="U17" i="8"/>
  <c r="Y17" i="8"/>
  <c r="W17" i="8"/>
  <c r="S17" i="8"/>
  <c r="T17" i="8"/>
  <c r="Q16" i="8"/>
  <c r="N17" i="8"/>
  <c r="O17" i="8"/>
  <c r="P17" i="8"/>
  <c r="L17" i="8"/>
  <c r="M17" i="8"/>
  <c r="K17" i="8"/>
  <c r="AD17" i="8"/>
  <c r="H18" i="8"/>
  <c r="AI17" i="8" l="1"/>
  <c r="AB18" i="8"/>
  <c r="AG18" i="8"/>
  <c r="AE18" i="8"/>
  <c r="AH18" i="8"/>
  <c r="AF18" i="8"/>
  <c r="AC18" i="8"/>
  <c r="Z17" i="8"/>
  <c r="J18" i="8"/>
  <c r="X18" i="8"/>
  <c r="V18" i="8"/>
  <c r="U18" i="8"/>
  <c r="Y18" i="8"/>
  <c r="W18" i="8"/>
  <c r="S18" i="8"/>
  <c r="T18" i="8"/>
  <c r="Q17" i="8"/>
  <c r="N18" i="8"/>
  <c r="P18" i="8"/>
  <c r="O18" i="8"/>
  <c r="M18" i="8"/>
  <c r="L18" i="8"/>
  <c r="K18" i="8"/>
  <c r="AD18" i="8"/>
  <c r="H19" i="8"/>
  <c r="AI18" i="8" l="1"/>
  <c r="AB19" i="8"/>
  <c r="AG19" i="8"/>
  <c r="AH19" i="8"/>
  <c r="AF19" i="8"/>
  <c r="AE19" i="8"/>
  <c r="AC19" i="8"/>
  <c r="Z18" i="8"/>
  <c r="J19" i="8"/>
  <c r="S19" i="8"/>
  <c r="X19" i="8"/>
  <c r="V19" i="8"/>
  <c r="U19" i="8"/>
  <c r="Y19" i="8"/>
  <c r="W19" i="8"/>
  <c r="T19" i="8"/>
  <c r="Q18" i="8"/>
  <c r="N19" i="8"/>
  <c r="P19" i="8"/>
  <c r="O19" i="8"/>
  <c r="M19" i="8"/>
  <c r="L19" i="8"/>
  <c r="K19" i="8"/>
  <c r="AD19" i="8"/>
  <c r="H20" i="8"/>
  <c r="AI19" i="8" l="1"/>
  <c r="AF20" i="8"/>
  <c r="AB20" i="8"/>
  <c r="AG20" i="8"/>
  <c r="AE20" i="8"/>
  <c r="AH20" i="8"/>
  <c r="AC20" i="8"/>
  <c r="J20" i="8"/>
  <c r="S20" i="8"/>
  <c r="X20" i="8"/>
  <c r="V20" i="8"/>
  <c r="U20" i="8"/>
  <c r="Y20" i="8"/>
  <c r="W20" i="8"/>
  <c r="T20" i="8"/>
  <c r="Z19" i="8"/>
  <c r="Q19" i="8"/>
  <c r="N20" i="8"/>
  <c r="O20" i="8"/>
  <c r="P20" i="8"/>
  <c r="L20" i="8"/>
  <c r="M20" i="8"/>
  <c r="K20" i="8"/>
  <c r="AD20" i="8"/>
  <c r="H21" i="8"/>
  <c r="AI20" i="8" l="1"/>
  <c r="AF21" i="8"/>
  <c r="AB21" i="8"/>
  <c r="AG21" i="8"/>
  <c r="AE21" i="8"/>
  <c r="AH21" i="8"/>
  <c r="AC21" i="8"/>
  <c r="J21" i="8"/>
  <c r="Y21" i="8"/>
  <c r="W21" i="8"/>
  <c r="S21" i="8"/>
  <c r="X21" i="8"/>
  <c r="V21" i="8"/>
  <c r="U21" i="8"/>
  <c r="T21" i="8"/>
  <c r="Z20" i="8"/>
  <c r="Q20" i="8"/>
  <c r="N21" i="8"/>
  <c r="O21" i="8"/>
  <c r="P21" i="8"/>
  <c r="L21" i="8"/>
  <c r="M21" i="8"/>
  <c r="K21" i="8"/>
  <c r="AD21" i="8"/>
  <c r="H22" i="8"/>
  <c r="AI21" i="8" l="1"/>
  <c r="AH22" i="8"/>
  <c r="AF22" i="8"/>
  <c r="AB22" i="8"/>
  <c r="AG22" i="8"/>
  <c r="AE22" i="8"/>
  <c r="AC22" i="8"/>
  <c r="Z21" i="8"/>
  <c r="J22" i="8"/>
  <c r="Y22" i="8"/>
  <c r="W22" i="8"/>
  <c r="S22" i="8"/>
  <c r="X22" i="8"/>
  <c r="V22" i="8"/>
  <c r="U22" i="8"/>
  <c r="T22" i="8"/>
  <c r="Q21" i="8"/>
  <c r="N22" i="8"/>
  <c r="O22" i="8"/>
  <c r="P22" i="8"/>
  <c r="L22" i="8"/>
  <c r="M22" i="8"/>
  <c r="K22" i="8"/>
  <c r="AD22" i="8"/>
  <c r="H23" i="8"/>
  <c r="AI22" i="8" l="1"/>
  <c r="AE23" i="8"/>
  <c r="AH23" i="8"/>
  <c r="AF23" i="8"/>
  <c r="AB23" i="8"/>
  <c r="AG23" i="8"/>
  <c r="AC23" i="8"/>
  <c r="J23" i="8"/>
  <c r="Y23" i="8"/>
  <c r="W23" i="8"/>
  <c r="S23" i="8"/>
  <c r="U23" i="8"/>
  <c r="V23" i="8"/>
  <c r="X23" i="8"/>
  <c r="T23" i="8"/>
  <c r="Z22" i="8"/>
  <c r="Q22" i="8"/>
  <c r="N23" i="8"/>
  <c r="O23" i="8"/>
  <c r="P23" i="8"/>
  <c r="L23" i="8"/>
  <c r="M23" i="8"/>
  <c r="K23" i="8"/>
  <c r="AD23" i="8"/>
  <c r="H24" i="8"/>
  <c r="AI23" i="8" l="1"/>
  <c r="AE24" i="8"/>
  <c r="AH24" i="8"/>
  <c r="AF24" i="8"/>
  <c r="AB24" i="8"/>
  <c r="AG24" i="8"/>
  <c r="AC24" i="8"/>
  <c r="J24" i="8"/>
  <c r="Y24" i="8"/>
  <c r="W24" i="8"/>
  <c r="S24" i="8"/>
  <c r="V24" i="8"/>
  <c r="U24" i="8"/>
  <c r="X24" i="8"/>
  <c r="T24" i="8"/>
  <c r="Z23" i="8"/>
  <c r="Q23" i="8"/>
  <c r="N24" i="8"/>
  <c r="O24" i="8"/>
  <c r="P24" i="8"/>
  <c r="L24" i="8"/>
  <c r="M24" i="8"/>
  <c r="K24" i="8"/>
  <c r="AD24" i="8"/>
  <c r="H25" i="8"/>
  <c r="AI24" i="8" l="1"/>
  <c r="AG25" i="8"/>
  <c r="AE25" i="8"/>
  <c r="AH25" i="8"/>
  <c r="AF25" i="8"/>
  <c r="AB25" i="8"/>
  <c r="AC25" i="8"/>
  <c r="Z24" i="8"/>
  <c r="J25" i="8"/>
  <c r="X25" i="8"/>
  <c r="V25" i="8"/>
  <c r="U25" i="8"/>
  <c r="Y25" i="8"/>
  <c r="W25" i="8"/>
  <c r="S25" i="8"/>
  <c r="T25" i="8"/>
  <c r="Q24" i="8"/>
  <c r="N25" i="8"/>
  <c r="O25" i="8"/>
  <c r="P25" i="8"/>
  <c r="L25" i="8"/>
  <c r="M25" i="8"/>
  <c r="K25" i="8"/>
  <c r="AD25" i="8"/>
  <c r="H26" i="8"/>
  <c r="AB26" i="8" l="1"/>
  <c r="AG26" i="8"/>
  <c r="AH26" i="8"/>
  <c r="AE26" i="8"/>
  <c r="AF26" i="8"/>
  <c r="AC26" i="8"/>
  <c r="AI25" i="8"/>
  <c r="J26" i="8"/>
  <c r="X26" i="8"/>
  <c r="V26" i="8"/>
  <c r="U26" i="8"/>
  <c r="Y26" i="8"/>
  <c r="W26" i="8"/>
  <c r="S26" i="8"/>
  <c r="T26" i="8"/>
  <c r="Z25" i="8"/>
  <c r="Q25" i="8"/>
  <c r="N26" i="8"/>
  <c r="P26" i="8"/>
  <c r="O26" i="8"/>
  <c r="M26" i="8"/>
  <c r="L26" i="8"/>
  <c r="K26" i="8"/>
  <c r="AD26" i="8"/>
  <c r="H27" i="8"/>
  <c r="AC27" i="8" l="1"/>
  <c r="AB27" i="8"/>
  <c r="AG27" i="8"/>
  <c r="AH27" i="8"/>
  <c r="AE27" i="8"/>
  <c r="AF27" i="8"/>
  <c r="AI26" i="8"/>
  <c r="Z26" i="8"/>
  <c r="J27" i="8"/>
  <c r="S27" i="8"/>
  <c r="X27" i="8"/>
  <c r="V27" i="8"/>
  <c r="U27" i="8"/>
  <c r="W27" i="8"/>
  <c r="Y27" i="8"/>
  <c r="T27" i="8"/>
  <c r="Q26" i="8"/>
  <c r="N27" i="8"/>
  <c r="P27" i="8"/>
  <c r="O27" i="8"/>
  <c r="M27" i="8"/>
  <c r="L27" i="8"/>
  <c r="K27" i="8"/>
  <c r="AD27" i="8"/>
  <c r="H28" i="8"/>
  <c r="AI27" i="8" l="1"/>
  <c r="AF28" i="8"/>
  <c r="AB28" i="8"/>
  <c r="AG28" i="8"/>
  <c r="AE28" i="8"/>
  <c r="AH28" i="8"/>
  <c r="AC28" i="8"/>
  <c r="J28" i="8"/>
  <c r="S28" i="8"/>
  <c r="X28" i="8"/>
  <c r="V28" i="8"/>
  <c r="U28" i="8"/>
  <c r="W28" i="8"/>
  <c r="Y28" i="8"/>
  <c r="T28" i="8"/>
  <c r="Z27" i="8"/>
  <c r="Q27" i="8"/>
  <c r="N28" i="8"/>
  <c r="P28" i="8"/>
  <c r="O28" i="8"/>
  <c r="L28" i="8"/>
  <c r="M28" i="8"/>
  <c r="K28" i="8"/>
  <c r="AD28" i="8"/>
  <c r="H29" i="8"/>
  <c r="AI28" i="8" l="1"/>
  <c r="AG29" i="8"/>
  <c r="AF29" i="8"/>
  <c r="AB29" i="8"/>
  <c r="AE29" i="8"/>
  <c r="AH29" i="8"/>
  <c r="AC29" i="8"/>
  <c r="Z28" i="8"/>
  <c r="J29" i="8"/>
  <c r="Y29" i="8"/>
  <c r="W29" i="8"/>
  <c r="S29" i="8"/>
  <c r="X29" i="8"/>
  <c r="V29" i="8"/>
  <c r="U29" i="8"/>
  <c r="T29" i="8"/>
  <c r="Q28" i="8"/>
  <c r="N29" i="8"/>
  <c r="O29" i="8"/>
  <c r="P29" i="8"/>
  <c r="L29" i="8"/>
  <c r="M29" i="8"/>
  <c r="K29" i="8"/>
  <c r="AD29" i="8"/>
  <c r="H30" i="8"/>
  <c r="AI29" i="8" l="1"/>
  <c r="AH30" i="8"/>
  <c r="AB30" i="8"/>
  <c r="AF30" i="8"/>
  <c r="AG30" i="8"/>
  <c r="AE30" i="8"/>
  <c r="AC30" i="8"/>
  <c r="Z29" i="8"/>
  <c r="J30" i="8"/>
  <c r="Y30" i="8"/>
  <c r="W30" i="8"/>
  <c r="S30" i="8"/>
  <c r="X30" i="8"/>
  <c r="V30" i="8"/>
  <c r="U30" i="8"/>
  <c r="T30" i="8"/>
  <c r="Q29" i="8"/>
  <c r="N30" i="8"/>
  <c r="O30" i="8"/>
  <c r="P30" i="8"/>
  <c r="L30" i="8"/>
  <c r="M30" i="8"/>
  <c r="K30" i="8"/>
  <c r="AD30" i="8"/>
  <c r="H31" i="8"/>
  <c r="AE31" i="8" l="1"/>
  <c r="AH31" i="8"/>
  <c r="AF31" i="8"/>
  <c r="AB31" i="8"/>
  <c r="AG31" i="8"/>
  <c r="AC31" i="8"/>
  <c r="AI30" i="8"/>
  <c r="Z30" i="8"/>
  <c r="J31" i="8"/>
  <c r="Y31" i="8"/>
  <c r="W31" i="8"/>
  <c r="V31" i="8"/>
  <c r="S31" i="8"/>
  <c r="U31" i="8"/>
  <c r="X31" i="8"/>
  <c r="T31" i="8"/>
  <c r="Q30" i="8"/>
  <c r="N31" i="8"/>
  <c r="O31" i="8"/>
  <c r="P31" i="8"/>
  <c r="L31" i="8"/>
  <c r="M31" i="8"/>
  <c r="K31" i="8"/>
  <c r="AD31" i="8"/>
  <c r="H32" i="8"/>
  <c r="AI31" i="8" l="1"/>
  <c r="AE32" i="8"/>
  <c r="AH32" i="8"/>
  <c r="AB32" i="8"/>
  <c r="AF32" i="8"/>
  <c r="AG32" i="8"/>
  <c r="AC32" i="8"/>
  <c r="J32" i="8"/>
  <c r="Y32" i="8"/>
  <c r="W32" i="8"/>
  <c r="S32" i="8"/>
  <c r="X32" i="8"/>
  <c r="V32" i="8"/>
  <c r="U32" i="8"/>
  <c r="T32" i="8"/>
  <c r="Z31" i="8"/>
  <c r="Q31" i="8"/>
  <c r="N32" i="8"/>
  <c r="O32" i="8"/>
  <c r="P32" i="8"/>
  <c r="L32" i="8"/>
  <c r="M32" i="8"/>
  <c r="K32" i="8"/>
  <c r="AD32" i="8"/>
  <c r="H33" i="8"/>
  <c r="AI32" i="8" l="1"/>
  <c r="AG33" i="8"/>
  <c r="AE33" i="8"/>
  <c r="AH33" i="8"/>
  <c r="AF33" i="8"/>
  <c r="AB33" i="8"/>
  <c r="AC33" i="8"/>
  <c r="J33" i="8"/>
  <c r="X33" i="8"/>
  <c r="V33" i="8"/>
  <c r="U33" i="8"/>
  <c r="Y33" i="8"/>
  <c r="W33" i="8"/>
  <c r="S33" i="8"/>
  <c r="T33" i="8"/>
  <c r="Z32" i="8"/>
  <c r="Q32" i="8"/>
  <c r="N33" i="8"/>
  <c r="O33" i="8"/>
  <c r="P33" i="8"/>
  <c r="L33" i="8"/>
  <c r="M33" i="8"/>
  <c r="K33" i="8"/>
  <c r="AD33" i="8"/>
  <c r="H34" i="8"/>
  <c r="AI33" i="8" l="1"/>
  <c r="AB34" i="8"/>
  <c r="AH34" i="8"/>
  <c r="AG34" i="8"/>
  <c r="AE34" i="8"/>
  <c r="AF34" i="8"/>
  <c r="AC34" i="8"/>
  <c r="Z33" i="8"/>
  <c r="J34" i="8"/>
  <c r="X34" i="8"/>
  <c r="V34" i="8"/>
  <c r="U34" i="8"/>
  <c r="Y34" i="8"/>
  <c r="W34" i="8"/>
  <c r="S34" i="8"/>
  <c r="T34" i="8"/>
  <c r="Q33" i="8"/>
  <c r="N34" i="8"/>
  <c r="P34" i="8"/>
  <c r="O34" i="8"/>
  <c r="M34" i="8"/>
  <c r="L34" i="8"/>
  <c r="K34" i="8"/>
  <c r="AD34" i="8"/>
  <c r="H35" i="8"/>
  <c r="AI34" i="8" l="1"/>
  <c r="AB35" i="8"/>
  <c r="AG35" i="8"/>
  <c r="AH35" i="8"/>
  <c r="AF35" i="8"/>
  <c r="AE35" i="8"/>
  <c r="AC35" i="8"/>
  <c r="Z34" i="8"/>
  <c r="J35" i="8"/>
  <c r="S35" i="8"/>
  <c r="X35" i="8"/>
  <c r="V35" i="8"/>
  <c r="U35" i="8"/>
  <c r="W35" i="8"/>
  <c r="Y35" i="8"/>
  <c r="T35" i="8"/>
  <c r="Q34" i="8"/>
  <c r="N35" i="8"/>
  <c r="P35" i="8"/>
  <c r="O35" i="8"/>
  <c r="M35" i="8"/>
  <c r="L35" i="8"/>
  <c r="K35" i="8"/>
  <c r="AD35" i="8"/>
  <c r="H36" i="8"/>
  <c r="AI35" i="8" l="1"/>
  <c r="AF36" i="8"/>
  <c r="AB36" i="8"/>
  <c r="AG36" i="8"/>
  <c r="AE36" i="8"/>
  <c r="AH36" i="8"/>
  <c r="AC36" i="8"/>
  <c r="Z35" i="8"/>
  <c r="J36" i="8"/>
  <c r="S36" i="8"/>
  <c r="X36" i="8"/>
  <c r="V36" i="8"/>
  <c r="U36" i="8"/>
  <c r="Y36" i="8"/>
  <c r="W36" i="8"/>
  <c r="T36" i="8"/>
  <c r="Q35" i="8"/>
  <c r="N36" i="8"/>
  <c r="P36" i="8"/>
  <c r="O36" i="8"/>
  <c r="L36" i="8"/>
  <c r="M36" i="8"/>
  <c r="K36" i="8"/>
  <c r="AD36" i="8"/>
  <c r="H37" i="8"/>
  <c r="AI36" i="8" l="1"/>
  <c r="AF37" i="8"/>
  <c r="AG37" i="8"/>
  <c r="AB37" i="8"/>
  <c r="AE37" i="8"/>
  <c r="AH37" i="8"/>
  <c r="AC37" i="8"/>
  <c r="Z36" i="8"/>
  <c r="J37" i="8"/>
  <c r="Y37" i="8"/>
  <c r="W37" i="8"/>
  <c r="S37" i="8"/>
  <c r="X37" i="8"/>
  <c r="V37" i="8"/>
  <c r="U37" i="8"/>
  <c r="T37" i="8"/>
  <c r="Q36" i="8"/>
  <c r="N37" i="8"/>
  <c r="O37" i="8"/>
  <c r="P37" i="8"/>
  <c r="L37" i="8"/>
  <c r="M37" i="8"/>
  <c r="K37" i="8"/>
  <c r="AD37" i="8"/>
  <c r="H38" i="8"/>
  <c r="AI37" i="8" l="1"/>
  <c r="AH38" i="8"/>
  <c r="AB38" i="8"/>
  <c r="AF38" i="8"/>
  <c r="AG38" i="8"/>
  <c r="AE38" i="8"/>
  <c r="AC38" i="8"/>
  <c r="Z37" i="8"/>
  <c r="J38" i="8"/>
  <c r="Y38" i="8"/>
  <c r="W38" i="8"/>
  <c r="S38" i="8"/>
  <c r="X38" i="8"/>
  <c r="V38" i="8"/>
  <c r="U38" i="8"/>
  <c r="T38" i="8"/>
  <c r="Q37" i="8"/>
  <c r="N38" i="8"/>
  <c r="O38" i="8"/>
  <c r="P38" i="8"/>
  <c r="L38" i="8"/>
  <c r="M38" i="8"/>
  <c r="K38" i="8"/>
  <c r="AD38" i="8"/>
  <c r="H39" i="8"/>
  <c r="AI38" i="8" l="1"/>
  <c r="AE39" i="8"/>
  <c r="AH39" i="8"/>
  <c r="AF39" i="8"/>
  <c r="AB39" i="8"/>
  <c r="AG39" i="8"/>
  <c r="AC39" i="8"/>
  <c r="Z38" i="8"/>
  <c r="J39" i="8"/>
  <c r="Y39" i="8"/>
  <c r="W39" i="8"/>
  <c r="U39" i="8"/>
  <c r="S39" i="8"/>
  <c r="X39" i="8"/>
  <c r="V39" i="8"/>
  <c r="T39" i="8"/>
  <c r="Q38" i="8"/>
  <c r="N39" i="8"/>
  <c r="O39" i="8"/>
  <c r="P39" i="8"/>
  <c r="L39" i="8"/>
  <c r="M39" i="8"/>
  <c r="K39" i="8"/>
  <c r="AD39" i="8"/>
  <c r="H40" i="8"/>
  <c r="AI39" i="8" l="1"/>
  <c r="AF40" i="8"/>
  <c r="AE40" i="8"/>
  <c r="AH40" i="8"/>
  <c r="AB40" i="8"/>
  <c r="AG40" i="8"/>
  <c r="AC40" i="8"/>
  <c r="J40" i="8"/>
  <c r="Y40" i="8"/>
  <c r="W40" i="8"/>
  <c r="S40" i="8"/>
  <c r="U40" i="8"/>
  <c r="X40" i="8"/>
  <c r="V40" i="8"/>
  <c r="T40" i="8"/>
  <c r="Z39" i="8"/>
  <c r="Q39" i="8"/>
  <c r="N40" i="8"/>
  <c r="O40" i="8"/>
  <c r="P40" i="8"/>
  <c r="L40" i="8"/>
  <c r="M40" i="8"/>
  <c r="K40" i="8"/>
  <c r="AD40" i="8"/>
  <c r="H41" i="8"/>
  <c r="AI40" i="8" l="1"/>
  <c r="AG41" i="8"/>
  <c r="AE41" i="8"/>
  <c r="AH41" i="8"/>
  <c r="AF41" i="8"/>
  <c r="AB41" i="8"/>
  <c r="AC41" i="8"/>
  <c r="Z40" i="8"/>
  <c r="J41" i="8"/>
  <c r="X41" i="8"/>
  <c r="V41" i="8"/>
  <c r="U41" i="8"/>
  <c r="Y41" i="8"/>
  <c r="W41" i="8"/>
  <c r="S41" i="8"/>
  <c r="T41" i="8"/>
  <c r="Q40" i="8"/>
  <c r="N41" i="8"/>
  <c r="P41" i="8"/>
  <c r="O41" i="8"/>
  <c r="L41" i="8"/>
  <c r="M41" i="8"/>
  <c r="K41" i="8"/>
  <c r="AD41" i="8"/>
  <c r="H42" i="8"/>
  <c r="AB42" i="8" l="1"/>
  <c r="AG42" i="8"/>
  <c r="AE42" i="8"/>
  <c r="AH42" i="8"/>
  <c r="AF42" i="8"/>
  <c r="AC42" i="8"/>
  <c r="AI41" i="8"/>
  <c r="J42" i="8"/>
  <c r="X42" i="8"/>
  <c r="V42" i="8"/>
  <c r="U42" i="8"/>
  <c r="Y42" i="8"/>
  <c r="W42" i="8"/>
  <c r="S42" i="8"/>
  <c r="T42" i="8"/>
  <c r="Z41" i="8"/>
  <c r="Q41" i="8"/>
  <c r="N42" i="8"/>
  <c r="P42" i="8"/>
  <c r="O42" i="8"/>
  <c r="M42" i="8"/>
  <c r="L42" i="8"/>
  <c r="K42" i="8"/>
  <c r="AD42" i="8"/>
  <c r="H43" i="8"/>
  <c r="AB43" i="8" l="1"/>
  <c r="AG43" i="8"/>
  <c r="AH43" i="8"/>
  <c r="AF43" i="8"/>
  <c r="AE43" i="8"/>
  <c r="AC43" i="8"/>
  <c r="AI42" i="8"/>
  <c r="J43" i="8"/>
  <c r="S43" i="8"/>
  <c r="X43" i="8"/>
  <c r="V43" i="8"/>
  <c r="U43" i="8"/>
  <c r="Y43" i="8"/>
  <c r="W43" i="8"/>
  <c r="T43" i="8"/>
  <c r="Z42" i="8"/>
  <c r="Q42" i="8"/>
  <c r="N43" i="8"/>
  <c r="P43" i="8"/>
  <c r="O43" i="8"/>
  <c r="M43" i="8"/>
  <c r="L43" i="8"/>
  <c r="K43" i="8"/>
  <c r="AD43" i="8"/>
  <c r="H44" i="8"/>
  <c r="AF44" i="8" l="1"/>
  <c r="AB44" i="8"/>
  <c r="AG44" i="8"/>
  <c r="AE44" i="8"/>
  <c r="AH44" i="8"/>
  <c r="AC44" i="8"/>
  <c r="AI43" i="8"/>
  <c r="J44" i="8"/>
  <c r="S44" i="8"/>
  <c r="X44" i="8"/>
  <c r="V44" i="8"/>
  <c r="U44" i="8"/>
  <c r="W44" i="8"/>
  <c r="Y44" i="8"/>
  <c r="T44" i="8"/>
  <c r="Z43" i="8"/>
  <c r="Q43" i="8"/>
  <c r="N44" i="8"/>
  <c r="P44" i="8"/>
  <c r="O44" i="8"/>
  <c r="L44" i="8"/>
  <c r="M44" i="8"/>
  <c r="K44" i="8"/>
  <c r="AD44" i="8"/>
  <c r="H45" i="8"/>
  <c r="AI44" i="8" l="1"/>
  <c r="AF45" i="8"/>
  <c r="AG45" i="8"/>
  <c r="AB45" i="8"/>
  <c r="AE45" i="8"/>
  <c r="AH45" i="8"/>
  <c r="AC45" i="8"/>
  <c r="J45" i="8"/>
  <c r="Y45" i="8"/>
  <c r="W45" i="8"/>
  <c r="S45" i="8"/>
  <c r="X45" i="8"/>
  <c r="V45" i="8"/>
  <c r="U45" i="8"/>
  <c r="T45" i="8"/>
  <c r="Z44" i="8"/>
  <c r="Q44" i="8"/>
  <c r="N45" i="8"/>
  <c r="O45" i="8"/>
  <c r="P45" i="8"/>
  <c r="L45" i="8"/>
  <c r="M45" i="8"/>
  <c r="K45" i="8"/>
  <c r="AD45" i="8"/>
  <c r="H46" i="8"/>
  <c r="AI45" i="8" l="1"/>
  <c r="AH46" i="8"/>
  <c r="AB46" i="8"/>
  <c r="AF46" i="8"/>
  <c r="AG46" i="8"/>
  <c r="AE46" i="8"/>
  <c r="AC46" i="8"/>
  <c r="J46" i="8"/>
  <c r="Y46" i="8"/>
  <c r="W46" i="8"/>
  <c r="S46" i="8"/>
  <c r="X46" i="8"/>
  <c r="V46" i="8"/>
  <c r="U46" i="8"/>
  <c r="T46" i="8"/>
  <c r="Z45" i="8"/>
  <c r="Q45" i="8"/>
  <c r="N46" i="8"/>
  <c r="O46" i="8"/>
  <c r="P46" i="8"/>
  <c r="L46" i="8"/>
  <c r="M46" i="8"/>
  <c r="K46" i="8"/>
  <c r="AD46" i="8"/>
  <c r="H47" i="8"/>
  <c r="AI46" i="8" l="1"/>
  <c r="AE47" i="8"/>
  <c r="AH47" i="8"/>
  <c r="AF47" i="8"/>
  <c r="AB47" i="8"/>
  <c r="AG47" i="8"/>
  <c r="AC47" i="8"/>
  <c r="J47" i="8"/>
  <c r="Y47" i="8"/>
  <c r="W47" i="8"/>
  <c r="S47" i="8"/>
  <c r="X47" i="8"/>
  <c r="U47" i="8"/>
  <c r="V47" i="8"/>
  <c r="T47" i="8"/>
  <c r="Z46" i="8"/>
  <c r="Q46" i="8"/>
  <c r="N47" i="8"/>
  <c r="O47" i="8"/>
  <c r="P47" i="8"/>
  <c r="L47" i="8"/>
  <c r="M47" i="8"/>
  <c r="K47" i="8"/>
  <c r="AD47" i="8"/>
  <c r="H48" i="8"/>
  <c r="AI47" i="8" l="1"/>
  <c r="AE48" i="8"/>
  <c r="AH48" i="8"/>
  <c r="AB48" i="8"/>
  <c r="AF48" i="8"/>
  <c r="AG48" i="8"/>
  <c r="AC48" i="8"/>
  <c r="J48" i="8"/>
  <c r="Y48" i="8"/>
  <c r="W48" i="8"/>
  <c r="S48" i="8"/>
  <c r="X48" i="8"/>
  <c r="U48" i="8"/>
  <c r="V48" i="8"/>
  <c r="T48" i="8"/>
  <c r="Z47" i="8"/>
  <c r="Q47" i="8"/>
  <c r="N48" i="8"/>
  <c r="O48" i="8"/>
  <c r="P48" i="8"/>
  <c r="L48" i="8"/>
  <c r="M48" i="8"/>
  <c r="K48" i="8"/>
  <c r="AD48" i="8"/>
  <c r="H49" i="8"/>
  <c r="AI48" i="8" l="1"/>
  <c r="AG49" i="8"/>
  <c r="AE49" i="8"/>
  <c r="AH49" i="8"/>
  <c r="AF49" i="8"/>
  <c r="AB49" i="8"/>
  <c r="AC49" i="8"/>
  <c r="J49" i="8"/>
  <c r="X49" i="8"/>
  <c r="V49" i="8"/>
  <c r="U49" i="8"/>
  <c r="Y49" i="8"/>
  <c r="W49" i="8"/>
  <c r="S49" i="8"/>
  <c r="T49" i="8"/>
  <c r="Z48" i="8"/>
  <c r="Q48" i="8"/>
  <c r="N49" i="8"/>
  <c r="P49" i="8"/>
  <c r="O49" i="8"/>
  <c r="L49" i="8"/>
  <c r="M49" i="8"/>
  <c r="K49" i="8"/>
  <c r="AD49" i="8"/>
  <c r="H50" i="8"/>
  <c r="AI49" i="8" l="1"/>
  <c r="AB50" i="8"/>
  <c r="AG50" i="8"/>
  <c r="AC50" i="8"/>
  <c r="AH50" i="8"/>
  <c r="AE50" i="8"/>
  <c r="AF50" i="8"/>
  <c r="Z49" i="8"/>
  <c r="J50" i="8"/>
  <c r="X50" i="8"/>
  <c r="V50" i="8"/>
  <c r="U50" i="8"/>
  <c r="Y50" i="8"/>
  <c r="W50" i="8"/>
  <c r="S50" i="8"/>
  <c r="T50" i="8"/>
  <c r="Q49" i="8"/>
  <c r="N50" i="8"/>
  <c r="P50" i="8"/>
  <c r="O50" i="8"/>
  <c r="M50" i="8"/>
  <c r="L50" i="8"/>
  <c r="K50" i="8"/>
  <c r="AD50" i="8"/>
  <c r="H51" i="8"/>
  <c r="AI50" i="8" l="1"/>
  <c r="AB51" i="8"/>
  <c r="AG51" i="8"/>
  <c r="AH51" i="8"/>
  <c r="AE51" i="8"/>
  <c r="AF51" i="8"/>
  <c r="AC51" i="8"/>
  <c r="J51" i="8"/>
  <c r="S51" i="8"/>
  <c r="X51" i="8"/>
  <c r="V51" i="8"/>
  <c r="U51" i="8"/>
  <c r="Y51" i="8"/>
  <c r="W51" i="8"/>
  <c r="T51" i="8"/>
  <c r="Z50" i="8"/>
  <c r="Q50" i="8"/>
  <c r="N51" i="8"/>
  <c r="P51" i="8"/>
  <c r="O51" i="8"/>
  <c r="M51" i="8"/>
  <c r="L51" i="8"/>
  <c r="K51" i="8"/>
  <c r="AD51" i="8"/>
  <c r="H52" i="8"/>
  <c r="AI51" i="8" l="1"/>
  <c r="AF52" i="8"/>
  <c r="AB52" i="8"/>
  <c r="AG52" i="8"/>
  <c r="AE52" i="8"/>
  <c r="AH52" i="8"/>
  <c r="AC52" i="8"/>
  <c r="J52" i="8"/>
  <c r="S52" i="8"/>
  <c r="X52" i="8"/>
  <c r="V52" i="8"/>
  <c r="U52" i="8"/>
  <c r="Y52" i="8"/>
  <c r="W52" i="8"/>
  <c r="T52" i="8"/>
  <c r="Z51" i="8"/>
  <c r="Q51" i="8"/>
  <c r="N52" i="8"/>
  <c r="O52" i="8"/>
  <c r="P52" i="8"/>
  <c r="L52" i="8"/>
  <c r="M52" i="8"/>
  <c r="K52" i="8"/>
  <c r="AD52" i="8"/>
  <c r="H53" i="8"/>
  <c r="AI52" i="8" l="1"/>
  <c r="AF53" i="8"/>
  <c r="AB53" i="8"/>
  <c r="AG53" i="8"/>
  <c r="AE53" i="8"/>
  <c r="AH53" i="8"/>
  <c r="AC53" i="8"/>
  <c r="J53" i="8"/>
  <c r="Y53" i="8"/>
  <c r="W53" i="8"/>
  <c r="S53" i="8"/>
  <c r="X53" i="8"/>
  <c r="V53" i="8"/>
  <c r="U53" i="8"/>
  <c r="T53" i="8"/>
  <c r="Z52" i="8"/>
  <c r="Q52" i="8"/>
  <c r="N53" i="8"/>
  <c r="O53" i="8"/>
  <c r="P53" i="8"/>
  <c r="L53" i="8"/>
  <c r="M53" i="8"/>
  <c r="K53" i="8"/>
  <c r="AD53" i="8"/>
  <c r="H54" i="8"/>
  <c r="AI53" i="8" l="1"/>
  <c r="AH54" i="8"/>
  <c r="AB54" i="8"/>
  <c r="AF54" i="8"/>
  <c r="AG54" i="8"/>
  <c r="AC54" i="8"/>
  <c r="AE54" i="8"/>
  <c r="J54" i="8"/>
  <c r="Y54" i="8"/>
  <c r="W54" i="8"/>
  <c r="S54" i="8"/>
  <c r="X54" i="8"/>
  <c r="V54" i="8"/>
  <c r="U54" i="8"/>
  <c r="T54" i="8"/>
  <c r="Z53" i="8"/>
  <c r="Q53" i="8"/>
  <c r="N54" i="8"/>
  <c r="O54" i="8"/>
  <c r="P54" i="8"/>
  <c r="L54" i="8"/>
  <c r="M54" i="8"/>
  <c r="K54" i="8"/>
  <c r="AD54" i="8"/>
  <c r="H55" i="8"/>
  <c r="AI54" i="8" l="1"/>
  <c r="AE55" i="8"/>
  <c r="AH55" i="8"/>
  <c r="AF55" i="8"/>
  <c r="AB55" i="8"/>
  <c r="AG55" i="8"/>
  <c r="AC55" i="8"/>
  <c r="Z54" i="8"/>
  <c r="J55" i="8"/>
  <c r="Y55" i="8"/>
  <c r="W55" i="8"/>
  <c r="V55" i="8"/>
  <c r="X55" i="8"/>
  <c r="S55" i="8"/>
  <c r="U55" i="8"/>
  <c r="T55" i="8"/>
  <c r="Q54" i="8"/>
  <c r="N55" i="8"/>
  <c r="O55" i="8"/>
  <c r="P55" i="8"/>
  <c r="L55" i="8"/>
  <c r="M55" i="8"/>
  <c r="K55" i="8"/>
  <c r="AD55" i="8"/>
  <c r="H56" i="8"/>
  <c r="AI55" i="8" l="1"/>
  <c r="AE56" i="8"/>
  <c r="AH56" i="8"/>
  <c r="AB56" i="8"/>
  <c r="AG56" i="8"/>
  <c r="AF56" i="8"/>
  <c r="AC56" i="8"/>
  <c r="J56" i="8"/>
  <c r="Y56" i="8"/>
  <c r="W56" i="8"/>
  <c r="S56" i="8"/>
  <c r="V56" i="8"/>
  <c r="U56" i="8"/>
  <c r="X56" i="8"/>
  <c r="T56" i="8"/>
  <c r="Z55" i="8"/>
  <c r="Q55" i="8"/>
  <c r="N56" i="8"/>
  <c r="O56" i="8"/>
  <c r="P56" i="8"/>
  <c r="L56" i="8"/>
  <c r="M56" i="8"/>
  <c r="K56" i="8"/>
  <c r="AD56" i="8"/>
  <c r="H57" i="8"/>
  <c r="AI56" i="8" l="1"/>
  <c r="AG57" i="8"/>
  <c r="AE57" i="8"/>
  <c r="AH57" i="8"/>
  <c r="AF57" i="8"/>
  <c r="AB57" i="8"/>
  <c r="AC57" i="8"/>
  <c r="Z56" i="8"/>
  <c r="J57" i="8"/>
  <c r="X57" i="8"/>
  <c r="V57" i="8"/>
  <c r="U57" i="8"/>
  <c r="Y57" i="8"/>
  <c r="W57" i="8"/>
  <c r="H58" i="8"/>
  <c r="S57" i="8"/>
  <c r="T57" i="8"/>
  <c r="Q56" i="8"/>
  <c r="N57" i="8"/>
  <c r="P57" i="8"/>
  <c r="O57" i="8"/>
  <c r="L57" i="8"/>
  <c r="M57" i="8"/>
  <c r="K57" i="8"/>
  <c r="AD57" i="8"/>
  <c r="AI57" i="8" l="1"/>
  <c r="AB58" i="8"/>
  <c r="AH58" i="8"/>
  <c r="AG58" i="8"/>
  <c r="AE58" i="8"/>
  <c r="AF58" i="8"/>
  <c r="AC58" i="8"/>
  <c r="Z57" i="8"/>
  <c r="X58" i="8"/>
  <c r="V58" i="8"/>
  <c r="U58" i="8"/>
  <c r="Y58" i="8"/>
  <c r="W58" i="8"/>
  <c r="P58" i="8"/>
  <c r="N58" i="8"/>
  <c r="O58" i="8"/>
  <c r="S58" i="8"/>
  <c r="K58" i="8"/>
  <c r="M58" i="8"/>
  <c r="L58" i="8"/>
  <c r="J58" i="8"/>
  <c r="T58" i="8"/>
  <c r="H59" i="8"/>
  <c r="Q57" i="8"/>
  <c r="AD58" i="8"/>
  <c r="AI58" i="8" l="1"/>
  <c r="AB59" i="8"/>
  <c r="AG59" i="8"/>
  <c r="AH59" i="8"/>
  <c r="AE59" i="8"/>
  <c r="AF59" i="8"/>
  <c r="AC59" i="8"/>
  <c r="Q58" i="8"/>
  <c r="Z58" i="8"/>
  <c r="X59" i="8"/>
  <c r="V59" i="8"/>
  <c r="U59" i="8"/>
  <c r="S59" i="8"/>
  <c r="W59" i="8"/>
  <c r="Y59" i="8"/>
  <c r="T59" i="8"/>
  <c r="M59" i="8"/>
  <c r="K59" i="8"/>
  <c r="N59" i="8"/>
  <c r="P59" i="8"/>
  <c r="J59" i="8"/>
  <c r="O59" i="8"/>
  <c r="L59" i="8"/>
  <c r="AD59" i="8"/>
  <c r="H60" i="8"/>
  <c r="AF60" i="8" l="1"/>
  <c r="AB60" i="8"/>
  <c r="AG60" i="8"/>
  <c r="AE60" i="8"/>
  <c r="AH60" i="8"/>
  <c r="AC60" i="8"/>
  <c r="AI59" i="8"/>
  <c r="S60" i="8"/>
  <c r="X60" i="8"/>
  <c r="V60" i="8"/>
  <c r="U60" i="8"/>
  <c r="W60" i="8"/>
  <c r="Y60" i="8"/>
  <c r="T60" i="8"/>
  <c r="Q59" i="8"/>
  <c r="Z59" i="8"/>
  <c r="J60" i="8"/>
  <c r="N60" i="8"/>
  <c r="P60" i="8"/>
  <c r="O60" i="8"/>
  <c r="L60" i="8"/>
  <c r="M60" i="8"/>
  <c r="K60" i="8"/>
  <c r="AD60" i="8"/>
  <c r="H61" i="8"/>
  <c r="AI60" i="8" l="1"/>
  <c r="AG61" i="8"/>
  <c r="AF61" i="8"/>
  <c r="AB61" i="8"/>
  <c r="AE61" i="8"/>
  <c r="AH61" i="8"/>
  <c r="AC61" i="8"/>
  <c r="Y61" i="8"/>
  <c r="W61" i="8"/>
  <c r="S61" i="8"/>
  <c r="X61" i="8"/>
  <c r="V61" i="8"/>
  <c r="U61" i="8"/>
  <c r="T61" i="8"/>
  <c r="Z60" i="8"/>
  <c r="J61" i="8"/>
  <c r="Q60" i="8"/>
  <c r="N61" i="8"/>
  <c r="O61" i="8"/>
  <c r="P61" i="8"/>
  <c r="L61" i="8"/>
  <c r="M61" i="8"/>
  <c r="K61" i="8"/>
  <c r="AD61" i="8"/>
  <c r="H62" i="8"/>
  <c r="AI61" i="8" l="1"/>
  <c r="AH62" i="8"/>
  <c r="AB62" i="8"/>
  <c r="AF62" i="8"/>
  <c r="AG62" i="8"/>
  <c r="AE62" i="8"/>
  <c r="AC62" i="8"/>
  <c r="Z61" i="8"/>
  <c r="Y62" i="8"/>
  <c r="W62" i="8"/>
  <c r="S62" i="8"/>
  <c r="X62" i="8"/>
  <c r="V62" i="8"/>
  <c r="U62" i="8"/>
  <c r="T62" i="8"/>
  <c r="J62" i="8"/>
  <c r="Q61" i="8"/>
  <c r="N62" i="8"/>
  <c r="O62" i="8"/>
  <c r="P62" i="8"/>
  <c r="L62" i="8"/>
  <c r="M62" i="8"/>
  <c r="K62" i="8"/>
  <c r="AD62" i="8"/>
  <c r="H63" i="8"/>
  <c r="AI62" i="8" l="1"/>
  <c r="AE63" i="8"/>
  <c r="AH63" i="8"/>
  <c r="AF63" i="8"/>
  <c r="AB63" i="8"/>
  <c r="AG63" i="8"/>
  <c r="AC63" i="8"/>
  <c r="Z62" i="8"/>
  <c r="Y63" i="8"/>
  <c r="W63" i="8"/>
  <c r="V63" i="8"/>
  <c r="U63" i="8"/>
  <c r="S63" i="8"/>
  <c r="X63" i="8"/>
  <c r="T63" i="8"/>
  <c r="J63" i="8"/>
  <c r="Q62" i="8"/>
  <c r="N63" i="8"/>
  <c r="O63" i="8"/>
  <c r="P63" i="8"/>
  <c r="L63" i="8"/>
  <c r="M63" i="8"/>
  <c r="K63" i="8"/>
  <c r="AD63" i="8"/>
  <c r="H64" i="8"/>
  <c r="AI63" i="8" l="1"/>
  <c r="AE64" i="8"/>
  <c r="AH64" i="8"/>
  <c r="AB64" i="8"/>
  <c r="AG64" i="8"/>
  <c r="AF64" i="8"/>
  <c r="AC64" i="8"/>
  <c r="Z63" i="8"/>
  <c r="Y64" i="8"/>
  <c r="W64" i="8"/>
  <c r="S64" i="8"/>
  <c r="X64" i="8"/>
  <c r="V64" i="8"/>
  <c r="U64" i="8"/>
  <c r="T64" i="8"/>
  <c r="J64" i="8"/>
  <c r="Q63" i="8"/>
  <c r="N64" i="8"/>
  <c r="O64" i="8"/>
  <c r="P64" i="8"/>
  <c r="L64" i="8"/>
  <c r="M64" i="8"/>
  <c r="K64" i="8"/>
  <c r="AD64" i="8"/>
  <c r="H65" i="8"/>
  <c r="AI64" i="8" l="1"/>
  <c r="AG65" i="8"/>
  <c r="AE65" i="8"/>
  <c r="AH65" i="8"/>
  <c r="AF65" i="8"/>
  <c r="AB65" i="8"/>
  <c r="AC65" i="8"/>
  <c r="X65" i="8"/>
  <c r="V65" i="8"/>
  <c r="U65" i="8"/>
  <c r="Y65" i="8"/>
  <c r="W65" i="8"/>
  <c r="S65" i="8"/>
  <c r="T65" i="8"/>
  <c r="Z64" i="8"/>
  <c r="J65" i="8"/>
  <c r="Q64" i="8"/>
  <c r="N65" i="8"/>
  <c r="P65" i="8"/>
  <c r="O65" i="8"/>
  <c r="L65" i="8"/>
  <c r="M65" i="8"/>
  <c r="K65" i="8"/>
  <c r="AD65" i="8"/>
  <c r="H66" i="8"/>
  <c r="AI65" i="8" l="1"/>
  <c r="AB66" i="8"/>
  <c r="AG66" i="8"/>
  <c r="AE66" i="8"/>
  <c r="AH66" i="8"/>
  <c r="AF66" i="8"/>
  <c r="AC66" i="8"/>
  <c r="Z65" i="8"/>
  <c r="X66" i="8"/>
  <c r="V66" i="8"/>
  <c r="U66" i="8"/>
  <c r="Y66" i="8"/>
  <c r="W66" i="8"/>
  <c r="S66" i="8"/>
  <c r="T66" i="8"/>
  <c r="J66" i="8"/>
  <c r="Q65" i="8"/>
  <c r="N66" i="8"/>
  <c r="P66" i="8"/>
  <c r="O66" i="8"/>
  <c r="M66" i="8"/>
  <c r="L66" i="8"/>
  <c r="K66" i="8"/>
  <c r="AD66" i="8"/>
  <c r="H67" i="8"/>
  <c r="AI66" i="8" l="1"/>
  <c r="AB67" i="8"/>
  <c r="AG67" i="8"/>
  <c r="AH67" i="8"/>
  <c r="AF67" i="8"/>
  <c r="AE67" i="8"/>
  <c r="AC67" i="8"/>
  <c r="Z66" i="8"/>
  <c r="X67" i="8"/>
  <c r="V67" i="8"/>
  <c r="U67" i="8"/>
  <c r="S67" i="8"/>
  <c r="Y67" i="8"/>
  <c r="W67" i="8"/>
  <c r="T67" i="8"/>
  <c r="J67" i="8"/>
  <c r="Q66" i="8"/>
  <c r="N67" i="8"/>
  <c r="P67" i="8"/>
  <c r="O67" i="8"/>
  <c r="M67" i="8"/>
  <c r="L67" i="8"/>
  <c r="K67" i="8"/>
  <c r="AD67" i="8"/>
  <c r="H68" i="8"/>
  <c r="AI67" i="8" l="1"/>
  <c r="AF68" i="8"/>
  <c r="AB68" i="8"/>
  <c r="AG68" i="8"/>
  <c r="AE68" i="8"/>
  <c r="AH68" i="8"/>
  <c r="AC68" i="8"/>
  <c r="Z67" i="8"/>
  <c r="S68" i="8"/>
  <c r="X68" i="8"/>
  <c r="V68" i="8"/>
  <c r="U68" i="8"/>
  <c r="Y68" i="8"/>
  <c r="W68" i="8"/>
  <c r="T68" i="8"/>
  <c r="J68" i="8"/>
  <c r="Q67" i="8"/>
  <c r="N68" i="8"/>
  <c r="O68" i="8"/>
  <c r="P68" i="8"/>
  <c r="L68" i="8"/>
  <c r="M68" i="8"/>
  <c r="K68" i="8"/>
  <c r="AD68" i="8"/>
  <c r="H69" i="8"/>
  <c r="AI68" i="8" l="1"/>
  <c r="AF69" i="8"/>
  <c r="AG69" i="8"/>
  <c r="AB69" i="8"/>
  <c r="AE69" i="8"/>
  <c r="AH69" i="8"/>
  <c r="AC69" i="8"/>
  <c r="Z68" i="8"/>
  <c r="Y69" i="8"/>
  <c r="W69" i="8"/>
  <c r="S69" i="8"/>
  <c r="X69" i="8"/>
  <c r="V69" i="8"/>
  <c r="U69" i="8"/>
  <c r="T69" i="8"/>
  <c r="J69" i="8"/>
  <c r="Q68" i="8"/>
  <c r="N69" i="8"/>
  <c r="O69" i="8"/>
  <c r="P69" i="8"/>
  <c r="L69" i="8"/>
  <c r="M69" i="8"/>
  <c r="K69" i="8"/>
  <c r="AD69" i="8"/>
  <c r="H70" i="8"/>
  <c r="AI69" i="8" l="1"/>
  <c r="AH70" i="8"/>
  <c r="AF70" i="8"/>
  <c r="AB70" i="8"/>
  <c r="AC70" i="8"/>
  <c r="AG70" i="8"/>
  <c r="AE70" i="8"/>
  <c r="Z69" i="8"/>
  <c r="Y70" i="8"/>
  <c r="W70" i="8"/>
  <c r="S70" i="8"/>
  <c r="X70" i="8"/>
  <c r="V70" i="8"/>
  <c r="U70" i="8"/>
  <c r="T70" i="8"/>
  <c r="J70" i="8"/>
  <c r="Q69" i="8"/>
  <c r="N70" i="8"/>
  <c r="O70" i="8"/>
  <c r="P70" i="8"/>
  <c r="L70" i="8"/>
  <c r="M70" i="8"/>
  <c r="K70" i="8"/>
  <c r="AD70" i="8"/>
  <c r="H71" i="8"/>
  <c r="AI70" i="8" l="1"/>
  <c r="AE71" i="8"/>
  <c r="AH71" i="8"/>
  <c r="AF71" i="8"/>
  <c r="AB71" i="8"/>
  <c r="AG71" i="8"/>
  <c r="AC71" i="8"/>
  <c r="Z70" i="8"/>
  <c r="Y71" i="8"/>
  <c r="W71" i="8"/>
  <c r="X71" i="8"/>
  <c r="U71" i="8"/>
  <c r="V71" i="8"/>
  <c r="S71" i="8"/>
  <c r="T71" i="8"/>
  <c r="J71" i="8"/>
  <c r="Q70" i="8"/>
  <c r="N71" i="8"/>
  <c r="O71" i="8"/>
  <c r="P71" i="8"/>
  <c r="L71" i="8"/>
  <c r="M71" i="8"/>
  <c r="K71" i="8"/>
  <c r="AD71" i="8"/>
  <c r="H72" i="8"/>
  <c r="AI71" i="8" l="1"/>
  <c r="AE72" i="8"/>
  <c r="AH72" i="8"/>
  <c r="AB72" i="8"/>
  <c r="AF72" i="8"/>
  <c r="AG72" i="8"/>
  <c r="AC72" i="8"/>
  <c r="Z71" i="8"/>
  <c r="Y72" i="8"/>
  <c r="W72" i="8"/>
  <c r="S72" i="8"/>
  <c r="V72" i="8"/>
  <c r="X72" i="8"/>
  <c r="U72" i="8"/>
  <c r="T72" i="8"/>
  <c r="J72" i="8"/>
  <c r="Q71" i="8"/>
  <c r="N72" i="8"/>
  <c r="O72" i="8"/>
  <c r="P72" i="8"/>
  <c r="L72" i="8"/>
  <c r="M72" i="8"/>
  <c r="K72" i="8"/>
  <c r="AD72" i="8"/>
  <c r="H73" i="8"/>
  <c r="AI72" i="8" l="1"/>
  <c r="AG73" i="8"/>
  <c r="AE73" i="8"/>
  <c r="AH73" i="8"/>
  <c r="AF73" i="8"/>
  <c r="AB73" i="8"/>
  <c r="AC73" i="8"/>
  <c r="X73" i="8"/>
  <c r="V73" i="8"/>
  <c r="U73" i="8"/>
  <c r="Y73" i="8"/>
  <c r="W73" i="8"/>
  <c r="S73" i="8"/>
  <c r="T73" i="8"/>
  <c r="Z72" i="8"/>
  <c r="J73" i="8"/>
  <c r="Q72" i="8"/>
  <c r="N73" i="8"/>
  <c r="P73" i="8"/>
  <c r="O73" i="8"/>
  <c r="L73" i="8"/>
  <c r="M73" i="8"/>
  <c r="K73" i="8"/>
  <c r="AD73" i="8"/>
  <c r="H74" i="8"/>
  <c r="AI73" i="8" l="1"/>
  <c r="AB74" i="8"/>
  <c r="AG74" i="8"/>
  <c r="AH74" i="8"/>
  <c r="AE74" i="8"/>
  <c r="AF74" i="8"/>
  <c r="AC74" i="8"/>
  <c r="X74" i="8"/>
  <c r="V74" i="8"/>
  <c r="U74" i="8"/>
  <c r="Y74" i="8"/>
  <c r="W74" i="8"/>
  <c r="S74" i="8"/>
  <c r="T74" i="8"/>
  <c r="Z73" i="8"/>
  <c r="J74" i="8"/>
  <c r="Q73" i="8"/>
  <c r="N74" i="8"/>
  <c r="P74" i="8"/>
  <c r="O74" i="8"/>
  <c r="M74" i="8"/>
  <c r="L74" i="8"/>
  <c r="K74" i="8"/>
  <c r="AD74" i="8"/>
  <c r="H75" i="8"/>
  <c r="AI74" i="8" l="1"/>
  <c r="AB75" i="8"/>
  <c r="AG75" i="8"/>
  <c r="AH75" i="8"/>
  <c r="AC75" i="8"/>
  <c r="AF75" i="8"/>
  <c r="AE75" i="8"/>
  <c r="X75" i="8"/>
  <c r="V75" i="8"/>
  <c r="U75" i="8"/>
  <c r="S75" i="8"/>
  <c r="Y75" i="8"/>
  <c r="W75" i="8"/>
  <c r="T75" i="8"/>
  <c r="Z74" i="8"/>
  <c r="J75" i="8"/>
  <c r="Q74" i="8"/>
  <c r="N75" i="8"/>
  <c r="P75" i="8"/>
  <c r="O75" i="8"/>
  <c r="M75" i="8"/>
  <c r="L75" i="8"/>
  <c r="K75" i="8"/>
  <c r="AD75" i="8"/>
  <c r="H76" i="8"/>
  <c r="AI75" i="8" l="1"/>
  <c r="AF76" i="8"/>
  <c r="AB76" i="8"/>
  <c r="AG76" i="8"/>
  <c r="AE76" i="8"/>
  <c r="AH76" i="8"/>
  <c r="AC76" i="8"/>
  <c r="Z75" i="8"/>
  <c r="S76" i="8"/>
  <c r="X76" i="8"/>
  <c r="V76" i="8"/>
  <c r="U76" i="8"/>
  <c r="W76" i="8"/>
  <c r="Y76" i="8"/>
  <c r="T76" i="8"/>
  <c r="J76" i="8"/>
  <c r="Q75" i="8"/>
  <c r="N76" i="8"/>
  <c r="P76" i="8"/>
  <c r="O76" i="8"/>
  <c r="L76" i="8"/>
  <c r="M76" i="8"/>
  <c r="K76" i="8"/>
  <c r="AD76" i="8"/>
  <c r="H77" i="8"/>
  <c r="AI76" i="8" l="1"/>
  <c r="AF77" i="8"/>
  <c r="AB77" i="8"/>
  <c r="AG77" i="8"/>
  <c r="AE77" i="8"/>
  <c r="AH77" i="8"/>
  <c r="AC77" i="8"/>
  <c r="Z76" i="8"/>
  <c r="Y77" i="8"/>
  <c r="W77" i="8"/>
  <c r="S77" i="8"/>
  <c r="X77" i="8"/>
  <c r="V77" i="8"/>
  <c r="U77" i="8"/>
  <c r="T77" i="8"/>
  <c r="J77" i="8"/>
  <c r="Q76" i="8"/>
  <c r="N77" i="8"/>
  <c r="O77" i="8"/>
  <c r="P77" i="8"/>
  <c r="L77" i="8"/>
  <c r="M77" i="8"/>
  <c r="K77" i="8"/>
  <c r="AD77" i="8"/>
  <c r="H78" i="8"/>
  <c r="AI77" i="8" l="1"/>
  <c r="AH78" i="8"/>
  <c r="AB78" i="8"/>
  <c r="AF78" i="8"/>
  <c r="AG78" i="8"/>
  <c r="AC78" i="8"/>
  <c r="AE78" i="8"/>
  <c r="Y78" i="8"/>
  <c r="W78" i="8"/>
  <c r="S78" i="8"/>
  <c r="X78" i="8"/>
  <c r="V78" i="8"/>
  <c r="U78" i="8"/>
  <c r="T78" i="8"/>
  <c r="Z77" i="8"/>
  <c r="J78" i="8"/>
  <c r="Q77" i="8"/>
  <c r="N78" i="8"/>
  <c r="O78" i="8"/>
  <c r="P78" i="8"/>
  <c r="L78" i="8"/>
  <c r="M78" i="8"/>
  <c r="K78" i="8"/>
  <c r="AD78" i="8"/>
  <c r="H79" i="8"/>
  <c r="AE79" i="8" l="1"/>
  <c r="AH79" i="8"/>
  <c r="AF79" i="8"/>
  <c r="AB79" i="8"/>
  <c r="AG79" i="8"/>
  <c r="AC79" i="8"/>
  <c r="AI78" i="8"/>
  <c r="Z78" i="8"/>
  <c r="Y79" i="8"/>
  <c r="W79" i="8"/>
  <c r="S79" i="8"/>
  <c r="U79" i="8"/>
  <c r="X79" i="8"/>
  <c r="V79" i="8"/>
  <c r="T79" i="8"/>
  <c r="J79" i="8"/>
  <c r="Q78" i="8"/>
  <c r="N79" i="8"/>
  <c r="O79" i="8"/>
  <c r="P79" i="8"/>
  <c r="L79" i="8"/>
  <c r="M79" i="8"/>
  <c r="K79" i="8"/>
  <c r="AD79" i="8"/>
  <c r="H80" i="8"/>
  <c r="AI79" i="8" l="1"/>
  <c r="AE80" i="8"/>
  <c r="AH80" i="8"/>
  <c r="AB80" i="8"/>
  <c r="AG80" i="8"/>
  <c r="AF80" i="8"/>
  <c r="AC80" i="8"/>
  <c r="Z79" i="8"/>
  <c r="Y80" i="8"/>
  <c r="W80" i="8"/>
  <c r="U80" i="8"/>
  <c r="V80" i="8"/>
  <c r="S80" i="8"/>
  <c r="X80" i="8"/>
  <c r="T80" i="8"/>
  <c r="J80" i="8"/>
  <c r="Q79" i="8"/>
  <c r="N80" i="8"/>
  <c r="O80" i="8"/>
  <c r="P80" i="8"/>
  <c r="L80" i="8"/>
  <c r="M80" i="8"/>
  <c r="K80" i="8"/>
  <c r="AD80" i="8"/>
  <c r="H81" i="8"/>
  <c r="AI80" i="8" l="1"/>
  <c r="AG81" i="8"/>
  <c r="AE81" i="8"/>
  <c r="AH81" i="8"/>
  <c r="AF81" i="8"/>
  <c r="AB81" i="8"/>
  <c r="AC81" i="8"/>
  <c r="Z80" i="8"/>
  <c r="X81" i="8"/>
  <c r="V81" i="8"/>
  <c r="U81" i="8"/>
  <c r="Y81" i="8"/>
  <c r="W81" i="8"/>
  <c r="S81" i="8"/>
  <c r="T81" i="8"/>
  <c r="J81" i="8"/>
  <c r="Q80" i="8"/>
  <c r="N81" i="8"/>
  <c r="O81" i="8"/>
  <c r="P81" i="8"/>
  <c r="L81" i="8"/>
  <c r="M81" i="8"/>
  <c r="K81" i="8"/>
  <c r="AD81" i="8"/>
  <c r="H82" i="8"/>
  <c r="AB82" i="8" l="1"/>
  <c r="AH82" i="8"/>
  <c r="AG82" i="8"/>
  <c r="AE82" i="8"/>
  <c r="AF82" i="8"/>
  <c r="AC82" i="8"/>
  <c r="AI81" i="8"/>
  <c r="Z81" i="8"/>
  <c r="X82" i="8"/>
  <c r="V82" i="8"/>
  <c r="U82" i="8"/>
  <c r="Y82" i="8"/>
  <c r="W82" i="8"/>
  <c r="S82" i="8"/>
  <c r="T82" i="8"/>
  <c r="J82" i="8"/>
  <c r="Q81" i="8"/>
  <c r="N82" i="8"/>
  <c r="P82" i="8"/>
  <c r="O82" i="8"/>
  <c r="M82" i="8"/>
  <c r="L82" i="8"/>
  <c r="K82" i="8"/>
  <c r="AD82" i="8"/>
  <c r="H83" i="8"/>
  <c r="AB83" i="8" l="1"/>
  <c r="AG83" i="8"/>
  <c r="AH83" i="8"/>
  <c r="AF83" i="8"/>
  <c r="AE83" i="8"/>
  <c r="AC83" i="8"/>
  <c r="AI82" i="8"/>
  <c r="Z82" i="8"/>
  <c r="X83" i="8"/>
  <c r="V83" i="8"/>
  <c r="U83" i="8"/>
  <c r="Y83" i="8"/>
  <c r="W83" i="8"/>
  <c r="S83" i="8"/>
  <c r="T83" i="8"/>
  <c r="J83" i="8"/>
  <c r="Q82" i="8"/>
  <c r="N83" i="8"/>
  <c r="P83" i="8"/>
  <c r="O83" i="8"/>
  <c r="M83" i="8"/>
  <c r="L83" i="8"/>
  <c r="K83" i="8"/>
  <c r="AD83" i="8"/>
  <c r="H84" i="8"/>
  <c r="AF84" i="8" l="1"/>
  <c r="AB84" i="8"/>
  <c r="AG84" i="8"/>
  <c r="AE84" i="8"/>
  <c r="AH84" i="8"/>
  <c r="AC84" i="8"/>
  <c r="AI83" i="8"/>
  <c r="Z83" i="8"/>
  <c r="X84" i="8"/>
  <c r="V84" i="8"/>
  <c r="U84" i="8"/>
  <c r="Y84" i="8"/>
  <c r="W84" i="8"/>
  <c r="S84" i="8"/>
  <c r="T84" i="8"/>
  <c r="J84" i="8"/>
  <c r="Q83" i="8"/>
  <c r="N84" i="8"/>
  <c r="P84" i="8"/>
  <c r="O84" i="8"/>
  <c r="L84" i="8"/>
  <c r="M84" i="8"/>
  <c r="K84" i="8"/>
  <c r="AD84" i="8"/>
  <c r="H85" i="8"/>
  <c r="AG85" i="8" l="1"/>
  <c r="AF85" i="8"/>
  <c r="AB85" i="8"/>
  <c r="AE85" i="8"/>
  <c r="AH85" i="8"/>
  <c r="AC85" i="8"/>
  <c r="AI84" i="8"/>
  <c r="Z84" i="8"/>
  <c r="Y85" i="8"/>
  <c r="W85" i="8"/>
  <c r="X85" i="8"/>
  <c r="V85" i="8"/>
  <c r="U85" i="8"/>
  <c r="S85" i="8"/>
  <c r="T85" i="8"/>
  <c r="J85" i="8"/>
  <c r="Q84" i="8"/>
  <c r="N85" i="8"/>
  <c r="O85" i="8"/>
  <c r="P85" i="8"/>
  <c r="L85" i="8"/>
  <c r="M85" i="8"/>
  <c r="K85" i="8"/>
  <c r="AD85" i="8"/>
  <c r="H86" i="8"/>
  <c r="AI85" i="8" l="1"/>
  <c r="AH86" i="8"/>
  <c r="AF86" i="8"/>
  <c r="AB86" i="8"/>
  <c r="AG86" i="8"/>
  <c r="AE86" i="8"/>
  <c r="AC86" i="8"/>
  <c r="Y86" i="8"/>
  <c r="W86" i="8"/>
  <c r="X86" i="8"/>
  <c r="V86" i="8"/>
  <c r="U86" i="8"/>
  <c r="S86" i="8"/>
  <c r="T86" i="8"/>
  <c r="Z85" i="8"/>
  <c r="J86" i="8"/>
  <c r="Q85" i="8"/>
  <c r="N86" i="8"/>
  <c r="O86" i="8"/>
  <c r="P86" i="8"/>
  <c r="L86" i="8"/>
  <c r="M86" i="8"/>
  <c r="K86" i="8"/>
  <c r="AD86" i="8"/>
  <c r="H87" i="8"/>
  <c r="AE87" i="8" l="1"/>
  <c r="AH87" i="8"/>
  <c r="AF87" i="8"/>
  <c r="AB87" i="8"/>
  <c r="AG87" i="8"/>
  <c r="AC87" i="8"/>
  <c r="AI86" i="8"/>
  <c r="Z86" i="8"/>
  <c r="Y87" i="8"/>
  <c r="W87" i="8"/>
  <c r="V87" i="8"/>
  <c r="S87" i="8"/>
  <c r="U87" i="8"/>
  <c r="X87" i="8"/>
  <c r="T87" i="8"/>
  <c r="J87" i="8"/>
  <c r="Q86" i="8"/>
  <c r="N87" i="8"/>
  <c r="O87" i="8"/>
  <c r="P87" i="8"/>
  <c r="L87" i="8"/>
  <c r="M87" i="8"/>
  <c r="K87" i="8"/>
  <c r="AD87" i="8"/>
  <c r="H88" i="8"/>
  <c r="AI87" i="8" l="1"/>
  <c r="AE88" i="8"/>
  <c r="AH88" i="8"/>
  <c r="AB88" i="8"/>
  <c r="AG88" i="8"/>
  <c r="AF88" i="8"/>
  <c r="AC88" i="8"/>
  <c r="Z87" i="8"/>
  <c r="Y88" i="8"/>
  <c r="W88" i="8"/>
  <c r="V88" i="8"/>
  <c r="S88" i="8"/>
  <c r="U88" i="8"/>
  <c r="X88" i="8"/>
  <c r="T88" i="8"/>
  <c r="J88" i="8"/>
  <c r="Q87" i="8"/>
  <c r="N88" i="8"/>
  <c r="O88" i="8"/>
  <c r="P88" i="8"/>
  <c r="L88" i="8"/>
  <c r="M88" i="8"/>
  <c r="K88" i="8"/>
  <c r="AD88" i="8"/>
  <c r="H89" i="8"/>
  <c r="AI88" i="8" l="1"/>
  <c r="AG89" i="8"/>
  <c r="AE89" i="8"/>
  <c r="AH89" i="8"/>
  <c r="AF89" i="8"/>
  <c r="AB89" i="8"/>
  <c r="AC89" i="8"/>
  <c r="X89" i="8"/>
  <c r="V89" i="8"/>
  <c r="U89" i="8"/>
  <c r="Y89" i="8"/>
  <c r="W89" i="8"/>
  <c r="S89" i="8"/>
  <c r="T89" i="8"/>
  <c r="Z88" i="8"/>
  <c r="J89" i="8"/>
  <c r="Q88" i="8"/>
  <c r="N89" i="8"/>
  <c r="P89" i="8"/>
  <c r="O89" i="8"/>
  <c r="L89" i="8"/>
  <c r="M89" i="8"/>
  <c r="K89" i="8"/>
  <c r="AD89" i="8"/>
  <c r="H90" i="8"/>
  <c r="AI89" i="8" l="1"/>
  <c r="AB90" i="8"/>
  <c r="AG90" i="8"/>
  <c r="AE90" i="8"/>
  <c r="AH90" i="8"/>
  <c r="AF90" i="8"/>
  <c r="AC90" i="8"/>
  <c r="Z89" i="8"/>
  <c r="X90" i="8"/>
  <c r="V90" i="8"/>
  <c r="U90" i="8"/>
  <c r="Y90" i="8"/>
  <c r="W90" i="8"/>
  <c r="S90" i="8"/>
  <c r="T90" i="8"/>
  <c r="J90" i="8"/>
  <c r="Q89" i="8"/>
  <c r="N90" i="8"/>
  <c r="P90" i="8"/>
  <c r="O90" i="8"/>
  <c r="M90" i="8"/>
  <c r="L90" i="8"/>
  <c r="K90" i="8"/>
  <c r="AD90" i="8"/>
  <c r="H91" i="8"/>
  <c r="AI90" i="8" l="1"/>
  <c r="AB91" i="8"/>
  <c r="AC91" i="8"/>
  <c r="AG91" i="8"/>
  <c r="AH91" i="8"/>
  <c r="AE91" i="8"/>
  <c r="AF91" i="8"/>
  <c r="X91" i="8"/>
  <c r="V91" i="8"/>
  <c r="U91" i="8"/>
  <c r="Y91" i="8"/>
  <c r="S91" i="8"/>
  <c r="W91" i="8"/>
  <c r="T91" i="8"/>
  <c r="Z90" i="8"/>
  <c r="J91" i="8"/>
  <c r="Q90" i="8"/>
  <c r="N91" i="8"/>
  <c r="P91" i="8"/>
  <c r="O91" i="8"/>
  <c r="M91" i="8"/>
  <c r="L91" i="8"/>
  <c r="K91" i="8"/>
  <c r="AD91" i="8"/>
  <c r="H92" i="8"/>
  <c r="AI91" i="8" l="1"/>
  <c r="AF92" i="8"/>
  <c r="AB92" i="8"/>
  <c r="AG92" i="8"/>
  <c r="AE92" i="8"/>
  <c r="AH92" i="8"/>
  <c r="AC92" i="8"/>
  <c r="Z91" i="8"/>
  <c r="X92" i="8"/>
  <c r="V92" i="8"/>
  <c r="U92" i="8"/>
  <c r="W92" i="8"/>
  <c r="S92" i="8"/>
  <c r="Y92" i="8"/>
  <c r="T92" i="8"/>
  <c r="J92" i="8"/>
  <c r="Q91" i="8"/>
  <c r="N92" i="8"/>
  <c r="P92" i="8"/>
  <c r="O92" i="8"/>
  <c r="L92" i="8"/>
  <c r="M92" i="8"/>
  <c r="K92" i="8"/>
  <c r="AD92" i="8"/>
  <c r="H93" i="8"/>
  <c r="AI92" i="8" l="1"/>
  <c r="AF93" i="8"/>
  <c r="AG93" i="8"/>
  <c r="AB93" i="8"/>
  <c r="AE93" i="8"/>
  <c r="AH93" i="8"/>
  <c r="AC93" i="8"/>
  <c r="Y93" i="8"/>
  <c r="W93" i="8"/>
  <c r="X93" i="8"/>
  <c r="S93" i="8"/>
  <c r="U93" i="8"/>
  <c r="V93" i="8"/>
  <c r="T93" i="8"/>
  <c r="Z92" i="8"/>
  <c r="J93" i="8"/>
  <c r="Q92" i="8"/>
  <c r="N93" i="8"/>
  <c r="O93" i="8"/>
  <c r="P93" i="8"/>
  <c r="L93" i="8"/>
  <c r="M93" i="8"/>
  <c r="K93" i="8"/>
  <c r="AD93" i="8"/>
  <c r="H94" i="8"/>
  <c r="AI93" i="8" l="1"/>
  <c r="AH94" i="8"/>
  <c r="AF94" i="8"/>
  <c r="AB94" i="8"/>
  <c r="AG94" i="8"/>
  <c r="AE94" i="8"/>
  <c r="AC94" i="8"/>
  <c r="Y94" i="8"/>
  <c r="W94" i="8"/>
  <c r="X94" i="8"/>
  <c r="V94" i="8"/>
  <c r="U94" i="8"/>
  <c r="S94" i="8"/>
  <c r="T94" i="8"/>
  <c r="Z93" i="8"/>
  <c r="J94" i="8"/>
  <c r="Q93" i="8"/>
  <c r="N94" i="8"/>
  <c r="O94" i="8"/>
  <c r="P94" i="8"/>
  <c r="L94" i="8"/>
  <c r="M94" i="8"/>
  <c r="K94" i="8"/>
  <c r="AD94" i="8"/>
  <c r="H95" i="8"/>
  <c r="AE95" i="8" l="1"/>
  <c r="AH95" i="8"/>
  <c r="AF95" i="8"/>
  <c r="AB95" i="8"/>
  <c r="AG95" i="8"/>
  <c r="AC95" i="8"/>
  <c r="AI94" i="8"/>
  <c r="Z94" i="8"/>
  <c r="Y95" i="8"/>
  <c r="W95" i="8"/>
  <c r="V95" i="8"/>
  <c r="X95" i="8"/>
  <c r="S95" i="8"/>
  <c r="U95" i="8"/>
  <c r="T95" i="8"/>
  <c r="J95" i="8"/>
  <c r="Q94" i="8"/>
  <c r="N95" i="8"/>
  <c r="O95" i="8"/>
  <c r="P95" i="8"/>
  <c r="L95" i="8"/>
  <c r="M95" i="8"/>
  <c r="K95" i="8"/>
  <c r="AD95" i="8"/>
  <c r="H96" i="8"/>
  <c r="AI95" i="8" l="1"/>
  <c r="AE96" i="8"/>
  <c r="AH96" i="8"/>
  <c r="AB96" i="8"/>
  <c r="AG96" i="8"/>
  <c r="AF96" i="8"/>
  <c r="AC96" i="8"/>
  <c r="Y96" i="8"/>
  <c r="W96" i="8"/>
  <c r="X96" i="8"/>
  <c r="S96" i="8"/>
  <c r="V96" i="8"/>
  <c r="U96" i="8"/>
  <c r="T96" i="8"/>
  <c r="Z95" i="8"/>
  <c r="J96" i="8"/>
  <c r="Q95" i="8"/>
  <c r="N96" i="8"/>
  <c r="O96" i="8"/>
  <c r="P96" i="8"/>
  <c r="L96" i="8"/>
  <c r="M96" i="8"/>
  <c r="K96" i="8"/>
  <c r="AD96" i="8"/>
  <c r="H97" i="8"/>
  <c r="AI96" i="8" l="1"/>
  <c r="AG97" i="8"/>
  <c r="AE97" i="8"/>
  <c r="AH97" i="8"/>
  <c r="AF97" i="8"/>
  <c r="AB97" i="8"/>
  <c r="AC97" i="8"/>
  <c r="Z96" i="8"/>
  <c r="X97" i="8"/>
  <c r="V97" i="8"/>
  <c r="U97" i="8"/>
  <c r="Y97" i="8"/>
  <c r="W97" i="8"/>
  <c r="S97" i="8"/>
  <c r="T97" i="8"/>
  <c r="J97" i="8"/>
  <c r="Q96" i="8"/>
  <c r="N97" i="8"/>
  <c r="P97" i="8"/>
  <c r="O97" i="8"/>
  <c r="L97" i="8"/>
  <c r="M97" i="8"/>
  <c r="K97" i="8"/>
  <c r="AD97" i="8"/>
  <c r="H98" i="8"/>
  <c r="AI97" i="8" l="1"/>
  <c r="AB98" i="8"/>
  <c r="AG98" i="8"/>
  <c r="AH98" i="8"/>
  <c r="AE98" i="8"/>
  <c r="AF98" i="8"/>
  <c r="AC98" i="8"/>
  <c r="Z97" i="8"/>
  <c r="X98" i="8"/>
  <c r="V98" i="8"/>
  <c r="U98" i="8"/>
  <c r="Y98" i="8"/>
  <c r="W98" i="8"/>
  <c r="S98" i="8"/>
  <c r="T98" i="8"/>
  <c r="J98" i="8"/>
  <c r="Q97" i="8"/>
  <c r="N98" i="8"/>
  <c r="P98" i="8"/>
  <c r="O98" i="8"/>
  <c r="M98" i="8"/>
  <c r="L98" i="8"/>
  <c r="K98" i="8"/>
  <c r="AD98" i="8"/>
  <c r="H99" i="8"/>
  <c r="AI98" i="8" l="1"/>
  <c r="AB99" i="8"/>
  <c r="AG99" i="8"/>
  <c r="AH99" i="8"/>
  <c r="AF99" i="8"/>
  <c r="AC99" i="8"/>
  <c r="AE99" i="8"/>
  <c r="X99" i="8"/>
  <c r="V99" i="8"/>
  <c r="U99" i="8"/>
  <c r="W99" i="8"/>
  <c r="Y99" i="8"/>
  <c r="S99" i="8"/>
  <c r="T99" i="8"/>
  <c r="Z98" i="8"/>
  <c r="J99" i="8"/>
  <c r="Q98" i="8"/>
  <c r="N99" i="8"/>
  <c r="P99" i="8"/>
  <c r="O99" i="8"/>
  <c r="M99" i="8"/>
  <c r="L99" i="8"/>
  <c r="K99" i="8"/>
  <c r="AD99" i="8"/>
  <c r="H100" i="8"/>
  <c r="AI99" i="8" l="1"/>
  <c r="AF100" i="8"/>
  <c r="AB100" i="8"/>
  <c r="AG100" i="8"/>
  <c r="AE100" i="8"/>
  <c r="AH100" i="8"/>
  <c r="AC100" i="8"/>
  <c r="X100" i="8"/>
  <c r="V100" i="8"/>
  <c r="U100" i="8"/>
  <c r="Y100" i="8"/>
  <c r="W100" i="8"/>
  <c r="S100" i="8"/>
  <c r="T100" i="8"/>
  <c r="Z99" i="8"/>
  <c r="J100" i="8"/>
  <c r="Q99" i="8"/>
  <c r="N100" i="8"/>
  <c r="O100" i="8"/>
  <c r="P100" i="8"/>
  <c r="L100" i="8"/>
  <c r="M100" i="8"/>
  <c r="K100" i="8"/>
  <c r="AD100" i="8"/>
  <c r="H101" i="8"/>
  <c r="AF101" i="8" l="1"/>
  <c r="AB101" i="8"/>
  <c r="AG101" i="8"/>
  <c r="AE101" i="8"/>
  <c r="AH101" i="8"/>
  <c r="AC101" i="8"/>
  <c r="AI100" i="8"/>
  <c r="Z100" i="8"/>
  <c r="Y101" i="8"/>
  <c r="W101" i="8"/>
  <c r="X101" i="8"/>
  <c r="U101" i="8"/>
  <c r="S101" i="8"/>
  <c r="V101" i="8"/>
  <c r="T101" i="8"/>
  <c r="J101" i="8"/>
  <c r="Q100" i="8"/>
  <c r="N101" i="8"/>
  <c r="O101" i="8"/>
  <c r="P101" i="8"/>
  <c r="L101" i="8"/>
  <c r="M101" i="8"/>
  <c r="K101" i="8"/>
  <c r="AD101" i="8"/>
  <c r="H102" i="8"/>
  <c r="AI101" i="8" l="1"/>
  <c r="AH102" i="8"/>
  <c r="AB102" i="8"/>
  <c r="AF102" i="8"/>
  <c r="AG102" i="8"/>
  <c r="AE102" i="8"/>
  <c r="AC102" i="8"/>
  <c r="Z101" i="8"/>
  <c r="Y102" i="8"/>
  <c r="W102" i="8"/>
  <c r="X102" i="8"/>
  <c r="V102" i="8"/>
  <c r="U102" i="8"/>
  <c r="S102" i="8"/>
  <c r="T102" i="8"/>
  <c r="J102" i="8"/>
  <c r="Q101" i="8"/>
  <c r="N102" i="8"/>
  <c r="O102" i="8"/>
  <c r="P102" i="8"/>
  <c r="L102" i="8"/>
  <c r="M102" i="8"/>
  <c r="K102" i="8"/>
  <c r="AD102" i="8"/>
  <c r="H103" i="8"/>
  <c r="AI102" i="8" l="1"/>
  <c r="AE103" i="8"/>
  <c r="AH103" i="8"/>
  <c r="AF103" i="8"/>
  <c r="AB103" i="8"/>
  <c r="AG103" i="8"/>
  <c r="AC103" i="8"/>
  <c r="Z102" i="8"/>
  <c r="Y103" i="8"/>
  <c r="W103" i="8"/>
  <c r="U103" i="8"/>
  <c r="X103" i="8"/>
  <c r="S103" i="8"/>
  <c r="V103" i="8"/>
  <c r="T103" i="8"/>
  <c r="J103" i="8"/>
  <c r="Q102" i="8"/>
  <c r="N103" i="8"/>
  <c r="O103" i="8"/>
  <c r="P103" i="8"/>
  <c r="L103" i="8"/>
  <c r="M103" i="8"/>
  <c r="K103" i="8"/>
  <c r="AD103" i="8"/>
  <c r="H104" i="8"/>
  <c r="AI103" i="8" l="1"/>
  <c r="AE104" i="8"/>
  <c r="AH104" i="8"/>
  <c r="AB104" i="8"/>
  <c r="AF104" i="8"/>
  <c r="AG104" i="8"/>
  <c r="AC104" i="8"/>
  <c r="Y104" i="8"/>
  <c r="W104" i="8"/>
  <c r="V104" i="8"/>
  <c r="U104" i="8"/>
  <c r="X104" i="8"/>
  <c r="S104" i="8"/>
  <c r="T104" i="8"/>
  <c r="Z103" i="8"/>
  <c r="J104" i="8"/>
  <c r="Q103" i="8"/>
  <c r="N104" i="8"/>
  <c r="O104" i="8"/>
  <c r="P104" i="8"/>
  <c r="L104" i="8"/>
  <c r="M104" i="8"/>
  <c r="K104" i="8"/>
  <c r="AD104" i="8"/>
  <c r="H105" i="8"/>
  <c r="AG105" i="8" l="1"/>
  <c r="AE105" i="8"/>
  <c r="AH105" i="8"/>
  <c r="AF105" i="8"/>
  <c r="AB105" i="8"/>
  <c r="AC105" i="8"/>
  <c r="AI104" i="8"/>
  <c r="X105" i="8"/>
  <c r="V105" i="8"/>
  <c r="U105" i="8"/>
  <c r="Y105" i="8"/>
  <c r="W105" i="8"/>
  <c r="S105" i="8"/>
  <c r="T105" i="8"/>
  <c r="Z104" i="8"/>
  <c r="J105" i="8"/>
  <c r="Q104" i="8"/>
  <c r="N105" i="8"/>
  <c r="O105" i="8"/>
  <c r="P105" i="8"/>
  <c r="L105" i="8"/>
  <c r="M105" i="8"/>
  <c r="K105" i="8"/>
  <c r="AD105" i="8"/>
  <c r="H106" i="8"/>
  <c r="AI105" i="8" l="1"/>
  <c r="AB106" i="8"/>
  <c r="AH106" i="8"/>
  <c r="AG106" i="8"/>
  <c r="AE106" i="8"/>
  <c r="AF106" i="8"/>
  <c r="AC106" i="8"/>
  <c r="Z105" i="8"/>
  <c r="X106" i="8"/>
  <c r="V106" i="8"/>
  <c r="U106" i="8"/>
  <c r="Y106" i="8"/>
  <c r="W106" i="8"/>
  <c r="S106" i="8"/>
  <c r="T106" i="8"/>
  <c r="J106" i="8"/>
  <c r="Q105" i="8"/>
  <c r="N106" i="8"/>
  <c r="P106" i="8"/>
  <c r="O106" i="8"/>
  <c r="M106" i="8"/>
  <c r="L106" i="8"/>
  <c r="K106" i="8"/>
  <c r="AD106" i="8"/>
  <c r="H107" i="8"/>
  <c r="AI106" i="8" l="1"/>
  <c r="AB107" i="8"/>
  <c r="AG107" i="8"/>
  <c r="AH107" i="8"/>
  <c r="AF107" i="8"/>
  <c r="AE107" i="8"/>
  <c r="AC107" i="8"/>
  <c r="X107" i="8"/>
  <c r="V107" i="8"/>
  <c r="U107" i="8"/>
  <c r="Y107" i="8"/>
  <c r="W107" i="8"/>
  <c r="S107" i="8"/>
  <c r="T107" i="8"/>
  <c r="Z106" i="8"/>
  <c r="J107" i="8"/>
  <c r="Q106" i="8"/>
  <c r="N107" i="8"/>
  <c r="P107" i="8"/>
  <c r="O107" i="8"/>
  <c r="M107" i="8"/>
  <c r="L107" i="8"/>
  <c r="K107" i="8"/>
  <c r="AD107" i="8"/>
  <c r="H108" i="8"/>
  <c r="AF108" i="8" l="1"/>
  <c r="AB108" i="8"/>
  <c r="AG108" i="8"/>
  <c r="AE108" i="8"/>
  <c r="AH108" i="8"/>
  <c r="AC108" i="8"/>
  <c r="AI107" i="8"/>
  <c r="Z107" i="8"/>
  <c r="X108" i="8"/>
  <c r="V108" i="8"/>
  <c r="U108" i="8"/>
  <c r="W108" i="8"/>
  <c r="S108" i="8"/>
  <c r="Y108" i="8"/>
  <c r="T108" i="8"/>
  <c r="J108" i="8"/>
  <c r="Q107" i="8"/>
  <c r="N108" i="8"/>
  <c r="P108" i="8"/>
  <c r="O108" i="8"/>
  <c r="L108" i="8"/>
  <c r="M108" i="8"/>
  <c r="K108" i="8"/>
  <c r="AD108" i="8"/>
  <c r="H109" i="8"/>
  <c r="AI108" i="8" l="1"/>
  <c r="AG109" i="8"/>
  <c r="AF109" i="8"/>
  <c r="AB109" i="8"/>
  <c r="AE109" i="8"/>
  <c r="AH109" i="8"/>
  <c r="AC109" i="8"/>
  <c r="Z108" i="8"/>
  <c r="Y109" i="8"/>
  <c r="W109" i="8"/>
  <c r="X109" i="8"/>
  <c r="V109" i="8"/>
  <c r="U109" i="8"/>
  <c r="S109" i="8"/>
  <c r="T109" i="8"/>
  <c r="J109" i="8"/>
  <c r="Q108" i="8"/>
  <c r="N109" i="8"/>
  <c r="O109" i="8"/>
  <c r="P109" i="8"/>
  <c r="L109" i="8"/>
  <c r="M109" i="8"/>
  <c r="K109" i="8"/>
  <c r="AD109" i="8"/>
  <c r="AI109" i="8" l="1"/>
  <c r="Z109" i="8"/>
  <c r="Q109" i="8"/>
  <c r="D40" i="8" l="1"/>
  <c r="D41" i="8"/>
  <c r="D42" i="8"/>
  <c r="D43" i="8"/>
  <c r="D44" i="8"/>
  <c r="D45" i="8"/>
  <c r="K441" i="2" l="1"/>
  <c r="K442" i="2"/>
  <c r="K443" i="2"/>
  <c r="K444" i="2"/>
  <c r="K445" i="2"/>
  <c r="K446" i="2"/>
  <c r="K447" i="2"/>
  <c r="K448" i="2"/>
  <c r="K584" i="2"/>
  <c r="K585" i="2"/>
  <c r="K586" i="2"/>
  <c r="K587" i="2"/>
  <c r="K588" i="2"/>
  <c r="K589" i="2"/>
  <c r="K590" i="2"/>
  <c r="K591" i="2"/>
  <c r="K592" i="2"/>
  <c r="K593" i="2"/>
  <c r="K594" i="2"/>
  <c r="K595" i="2"/>
  <c r="K596" i="2"/>
  <c r="K597" i="2"/>
  <c r="K598" i="2"/>
  <c r="K599" i="2"/>
  <c r="K600" i="2"/>
  <c r="K601" i="2"/>
  <c r="K602" i="2"/>
  <c r="K603" i="2"/>
  <c r="K604" i="2"/>
  <c r="K605" i="2"/>
  <c r="K568" i="2"/>
  <c r="K569" i="2"/>
  <c r="K570" i="2"/>
  <c r="K571" i="2"/>
  <c r="K572" i="2"/>
  <c r="K573" i="2"/>
  <c r="K574" i="2"/>
  <c r="K575" i="2"/>
  <c r="K576" i="2"/>
  <c r="K577" i="2"/>
  <c r="K578" i="2"/>
  <c r="K579" i="2"/>
  <c r="K580" i="2"/>
  <c r="K581" i="2"/>
  <c r="K582" i="2"/>
  <c r="K583" i="2"/>
  <c r="K547" i="2"/>
  <c r="K548" i="2"/>
  <c r="K549" i="2"/>
  <c r="K550" i="2"/>
  <c r="K551" i="2"/>
  <c r="K552" i="2"/>
  <c r="K553" i="2"/>
  <c r="K554" i="2"/>
  <c r="K555" i="2"/>
  <c r="K556" i="2"/>
  <c r="K557" i="2"/>
  <c r="K558" i="2"/>
  <c r="K559" i="2"/>
  <c r="K560" i="2"/>
  <c r="K561" i="2"/>
  <c r="K562" i="2"/>
  <c r="K563" i="2"/>
  <c r="K564" i="2"/>
  <c r="K565" i="2"/>
  <c r="K566" i="2"/>
  <c r="K567" i="2"/>
  <c r="X782" i="2"/>
  <c r="W782" i="2" s="1"/>
  <c r="X781" i="2"/>
  <c r="W781" i="2" s="1"/>
  <c r="X780" i="2"/>
  <c r="W780" i="2" s="1"/>
  <c r="X779" i="2"/>
  <c r="W779" i="2" s="1"/>
  <c r="X778" i="2"/>
  <c r="W778" i="2" s="1"/>
  <c r="X777" i="2"/>
  <c r="W777" i="2" s="1"/>
  <c r="X776" i="2"/>
  <c r="W776" i="2" s="1"/>
  <c r="X775" i="2"/>
  <c r="W775" i="2" s="1"/>
  <c r="X774" i="2"/>
  <c r="W774" i="2" s="1"/>
  <c r="X773" i="2"/>
  <c r="W773" i="2" s="1"/>
  <c r="X772" i="2"/>
  <c r="W772" i="2" s="1"/>
  <c r="X771" i="2"/>
  <c r="W771" i="2" s="1"/>
  <c r="X770" i="2"/>
  <c r="W770" i="2" s="1"/>
  <c r="X769" i="2"/>
  <c r="W769" i="2" s="1"/>
  <c r="X768" i="2"/>
  <c r="W768" i="2" s="1"/>
  <c r="X767" i="2"/>
  <c r="W767" i="2" s="1"/>
  <c r="X766" i="2"/>
  <c r="W766" i="2" s="1"/>
  <c r="X765" i="2"/>
  <c r="W765" i="2" s="1"/>
  <c r="X764" i="2"/>
  <c r="W764" i="2" s="1"/>
  <c r="X763" i="2"/>
  <c r="W763" i="2" s="1"/>
  <c r="X762" i="2"/>
  <c r="W762" i="2" s="1"/>
  <c r="X761" i="2"/>
  <c r="W761" i="2" s="1"/>
  <c r="X760" i="2"/>
  <c r="W760" i="2" s="1"/>
  <c r="X759" i="2"/>
  <c r="W759" i="2" s="1"/>
  <c r="X758" i="2"/>
  <c r="W758" i="2" s="1"/>
  <c r="X757" i="2"/>
  <c r="W757" i="2" s="1"/>
  <c r="X756" i="2"/>
  <c r="W756" i="2" s="1"/>
  <c r="X755" i="2"/>
  <c r="W755" i="2" s="1"/>
  <c r="X754" i="2"/>
  <c r="W754" i="2" s="1"/>
  <c r="X753" i="2"/>
  <c r="W753" i="2" s="1"/>
  <c r="X752" i="2"/>
  <c r="W752" i="2" s="1"/>
  <c r="X751" i="2"/>
  <c r="W751" i="2" s="1"/>
  <c r="X750" i="2"/>
  <c r="W750" i="2" s="1"/>
  <c r="X749" i="2"/>
  <c r="W749" i="2" s="1"/>
  <c r="X748" i="2"/>
  <c r="W748" i="2" s="1"/>
  <c r="X747" i="2"/>
  <c r="W747" i="2" s="1"/>
  <c r="X746" i="2"/>
  <c r="W746" i="2" s="1"/>
  <c r="X745" i="2"/>
  <c r="W745" i="2" s="1"/>
  <c r="X744" i="2"/>
  <c r="W744" i="2" s="1"/>
  <c r="X743" i="2"/>
  <c r="W743" i="2" s="1"/>
  <c r="X742" i="2"/>
  <c r="W742" i="2" s="1"/>
  <c r="X741" i="2"/>
  <c r="W741" i="2" s="1"/>
  <c r="X740" i="2"/>
  <c r="W740" i="2" s="1"/>
  <c r="X739" i="2"/>
  <c r="W739" i="2" s="1"/>
  <c r="X738" i="2"/>
  <c r="W738" i="2" s="1"/>
  <c r="X737" i="2"/>
  <c r="W737" i="2" s="1"/>
  <c r="X736" i="2"/>
  <c r="W736" i="2" s="1"/>
  <c r="X735" i="2"/>
  <c r="W735" i="2" s="1"/>
  <c r="X734" i="2"/>
  <c r="W734" i="2" s="1"/>
  <c r="X733" i="2"/>
  <c r="W733" i="2" s="1"/>
  <c r="X732" i="2"/>
  <c r="W732" i="2" s="1"/>
  <c r="X731" i="2"/>
  <c r="W731" i="2" s="1"/>
  <c r="X730" i="2"/>
  <c r="W730" i="2" s="1"/>
  <c r="X729" i="2"/>
  <c r="W729" i="2" s="1"/>
  <c r="X728" i="2"/>
  <c r="W728" i="2" s="1"/>
  <c r="X727" i="2"/>
  <c r="W727" i="2" s="1"/>
  <c r="X726" i="2"/>
  <c r="W726" i="2" s="1"/>
  <c r="X725" i="2"/>
  <c r="W725" i="2" s="1"/>
  <c r="X724" i="2"/>
  <c r="W724" i="2" s="1"/>
  <c r="X723" i="2"/>
  <c r="W723" i="2" s="1"/>
  <c r="X722" i="2"/>
  <c r="W722" i="2" s="1"/>
  <c r="X721" i="2"/>
  <c r="W721" i="2" s="1"/>
  <c r="X720" i="2"/>
  <c r="W720" i="2" s="1"/>
  <c r="X719" i="2"/>
  <c r="W719" i="2" s="1"/>
  <c r="X718" i="2"/>
  <c r="W718" i="2" s="1"/>
  <c r="X717" i="2"/>
  <c r="W717" i="2" s="1"/>
  <c r="X716" i="2"/>
  <c r="W716" i="2" s="1"/>
  <c r="X715" i="2"/>
  <c r="W715" i="2" s="1"/>
  <c r="X714" i="2"/>
  <c r="W714" i="2" s="1"/>
  <c r="X713" i="2"/>
  <c r="W713" i="2" s="1"/>
  <c r="X712" i="2"/>
  <c r="W712" i="2" s="1"/>
  <c r="X711" i="2"/>
  <c r="W711" i="2" s="1"/>
  <c r="X710" i="2"/>
  <c r="W710" i="2" s="1"/>
  <c r="X709" i="2"/>
  <c r="W709" i="2" s="1"/>
  <c r="X708" i="2"/>
  <c r="W708" i="2" s="1"/>
  <c r="X707" i="2"/>
  <c r="W707" i="2" s="1"/>
  <c r="X706" i="2"/>
  <c r="W706" i="2" s="1"/>
  <c r="X705" i="2"/>
  <c r="W705" i="2" s="1"/>
  <c r="X704" i="2"/>
  <c r="W704" i="2" s="1"/>
  <c r="X703" i="2"/>
  <c r="W703" i="2" s="1"/>
  <c r="X702" i="2"/>
  <c r="W702" i="2" s="1"/>
  <c r="X701" i="2"/>
  <c r="W701" i="2" s="1"/>
  <c r="X700" i="2"/>
  <c r="W700" i="2" s="1"/>
  <c r="X699" i="2"/>
  <c r="W699" i="2" s="1"/>
  <c r="X698" i="2"/>
  <c r="W698" i="2" s="1"/>
  <c r="X697" i="2"/>
  <c r="W697" i="2" s="1"/>
  <c r="X696" i="2"/>
  <c r="W696" i="2" s="1"/>
  <c r="X695" i="2"/>
  <c r="W695" i="2" s="1"/>
  <c r="X694" i="2"/>
  <c r="W694" i="2" s="1"/>
  <c r="X693" i="2"/>
  <c r="W693" i="2" s="1"/>
  <c r="X692" i="2"/>
  <c r="W692" i="2" s="1"/>
  <c r="X691" i="2"/>
  <c r="W691" i="2" s="1"/>
  <c r="X690" i="2"/>
  <c r="W690" i="2" s="1"/>
  <c r="X689" i="2"/>
  <c r="W689" i="2" s="1"/>
  <c r="X688" i="2"/>
  <c r="W688" i="2" s="1"/>
  <c r="X687" i="2"/>
  <c r="W687" i="2" s="1"/>
  <c r="X686" i="2"/>
  <c r="W686" i="2" s="1"/>
  <c r="X685" i="2"/>
  <c r="W685" i="2" s="1"/>
  <c r="X684" i="2"/>
  <c r="W684" i="2" s="1"/>
  <c r="X683" i="2"/>
  <c r="W683" i="2" s="1"/>
  <c r="X682" i="2"/>
  <c r="W682" i="2" s="1"/>
  <c r="X681" i="2"/>
  <c r="W681" i="2" s="1"/>
  <c r="X680" i="2"/>
  <c r="W680" i="2" s="1"/>
  <c r="X679" i="2"/>
  <c r="W679" i="2" s="1"/>
  <c r="X678" i="2"/>
  <c r="W678" i="2" s="1"/>
  <c r="X677" i="2"/>
  <c r="W677" i="2" s="1"/>
  <c r="X676" i="2"/>
  <c r="W676" i="2" s="1"/>
  <c r="X675" i="2"/>
  <c r="W675" i="2" s="1"/>
  <c r="X674" i="2"/>
  <c r="W674" i="2" s="1"/>
  <c r="X673" i="2"/>
  <c r="W673" i="2" s="1"/>
  <c r="X672" i="2"/>
  <c r="W672" i="2" s="1"/>
  <c r="X671" i="2"/>
  <c r="W671" i="2" s="1"/>
  <c r="X670" i="2"/>
  <c r="W670" i="2" s="1"/>
  <c r="X669" i="2"/>
  <c r="W669" i="2" s="1"/>
  <c r="X668" i="2"/>
  <c r="W668" i="2" s="1"/>
  <c r="X667" i="2"/>
  <c r="W667" i="2" s="1"/>
  <c r="X666" i="2"/>
  <c r="W666" i="2" s="1"/>
  <c r="X665" i="2"/>
  <c r="W665" i="2" s="1"/>
  <c r="X664" i="2"/>
  <c r="W664" i="2" s="1"/>
  <c r="X663" i="2"/>
  <c r="W663" i="2" s="1"/>
  <c r="X662" i="2"/>
  <c r="W662" i="2" s="1"/>
  <c r="X661" i="2"/>
  <c r="W661" i="2" s="1"/>
  <c r="X660" i="2"/>
  <c r="W660" i="2" s="1"/>
  <c r="X659" i="2"/>
  <c r="W659" i="2" s="1"/>
  <c r="X658" i="2"/>
  <c r="W658" i="2" s="1"/>
  <c r="X657" i="2"/>
  <c r="W657" i="2" s="1"/>
  <c r="X656" i="2"/>
  <c r="W656" i="2" s="1"/>
  <c r="X655" i="2"/>
  <c r="W655" i="2" s="1"/>
  <c r="X654" i="2"/>
  <c r="W654" i="2" s="1"/>
  <c r="X653" i="2"/>
  <c r="W653" i="2" s="1"/>
  <c r="X652" i="2"/>
  <c r="W652" i="2" s="1"/>
  <c r="X651" i="2"/>
  <c r="W651" i="2" s="1"/>
  <c r="X650" i="2"/>
  <c r="W650" i="2" s="1"/>
  <c r="X649" i="2"/>
  <c r="W649" i="2" s="1"/>
  <c r="X648" i="2"/>
  <c r="W648" i="2" s="1"/>
  <c r="X647" i="2"/>
  <c r="W647" i="2" s="1"/>
  <c r="X646" i="2"/>
  <c r="W646" i="2" s="1"/>
  <c r="X645" i="2"/>
  <c r="W645" i="2" s="1"/>
  <c r="X644" i="2"/>
  <c r="W644" i="2" s="1"/>
  <c r="X643" i="2"/>
  <c r="W643" i="2" s="1"/>
  <c r="X642" i="2"/>
  <c r="W642" i="2" s="1"/>
  <c r="X641" i="2"/>
  <c r="W641" i="2" s="1"/>
  <c r="X640" i="2"/>
  <c r="W640" i="2" s="1"/>
  <c r="X639" i="2"/>
  <c r="W639" i="2" s="1"/>
  <c r="X638" i="2"/>
  <c r="W638" i="2" s="1"/>
  <c r="X637" i="2"/>
  <c r="W637" i="2" s="1"/>
  <c r="X636" i="2"/>
  <c r="W636" i="2" s="1"/>
  <c r="X635" i="2"/>
  <c r="W635" i="2" s="1"/>
  <c r="X634" i="2"/>
  <c r="W634" i="2" s="1"/>
  <c r="X633" i="2"/>
  <c r="W633" i="2" s="1"/>
  <c r="X632" i="2"/>
  <c r="W632" i="2" s="1"/>
  <c r="X631" i="2"/>
  <c r="W631" i="2" s="1"/>
  <c r="X630" i="2"/>
  <c r="W630" i="2" s="1"/>
  <c r="X629" i="2"/>
  <c r="W629" i="2" s="1"/>
  <c r="X628" i="2"/>
  <c r="W628" i="2" s="1"/>
  <c r="X627" i="2"/>
  <c r="W627" i="2" s="1"/>
  <c r="X626" i="2"/>
  <c r="W626" i="2" s="1"/>
  <c r="X625" i="2"/>
  <c r="W625" i="2" s="1"/>
  <c r="X624" i="2"/>
  <c r="W624" i="2" s="1"/>
  <c r="X623" i="2"/>
  <c r="W623" i="2" s="1"/>
  <c r="X622" i="2"/>
  <c r="W622" i="2" s="1"/>
  <c r="X621" i="2"/>
  <c r="W621" i="2" s="1"/>
  <c r="X620" i="2"/>
  <c r="W620" i="2" s="1"/>
  <c r="X619" i="2"/>
  <c r="W619" i="2" s="1"/>
  <c r="X618" i="2"/>
  <c r="W618" i="2" s="1"/>
  <c r="X617" i="2"/>
  <c r="W617" i="2" s="1"/>
  <c r="X616" i="2"/>
  <c r="W616" i="2" s="1"/>
  <c r="X615" i="2"/>
  <c r="W615" i="2" s="1"/>
  <c r="X614" i="2"/>
  <c r="W614" i="2" s="1"/>
  <c r="X613" i="2"/>
  <c r="W613" i="2" s="1"/>
  <c r="X612" i="2"/>
  <c r="W612" i="2" s="1"/>
  <c r="X611" i="2"/>
  <c r="W611" i="2" s="1"/>
  <c r="X610" i="2"/>
  <c r="W610" i="2" s="1"/>
  <c r="X609" i="2"/>
  <c r="W609" i="2" s="1"/>
  <c r="X608" i="2"/>
  <c r="W608" i="2" s="1"/>
  <c r="X607" i="2"/>
  <c r="W607" i="2" s="1"/>
  <c r="X606" i="2"/>
  <c r="W606" i="2" s="1"/>
  <c r="X605" i="2"/>
  <c r="X604" i="2"/>
  <c r="X603" i="2"/>
  <c r="X602" i="2"/>
  <c r="X601" i="2"/>
  <c r="X600" i="2"/>
  <c r="X599" i="2"/>
  <c r="X598" i="2"/>
  <c r="X597" i="2"/>
  <c r="X596" i="2"/>
  <c r="X595" i="2"/>
  <c r="X594" i="2"/>
  <c r="X593" i="2"/>
  <c r="X592" i="2"/>
  <c r="X591" i="2"/>
  <c r="X590" i="2"/>
  <c r="X589" i="2"/>
  <c r="X588" i="2"/>
  <c r="X587" i="2"/>
  <c r="X586" i="2"/>
  <c r="X585" i="2"/>
  <c r="X584" i="2"/>
  <c r="X583" i="2"/>
  <c r="X582" i="2"/>
  <c r="X581" i="2"/>
  <c r="X580" i="2"/>
  <c r="X579" i="2"/>
  <c r="X578" i="2"/>
  <c r="X577" i="2"/>
  <c r="X576" i="2"/>
  <c r="X575" i="2"/>
  <c r="X574" i="2"/>
  <c r="X573" i="2"/>
  <c r="X572" i="2"/>
  <c r="X571" i="2"/>
  <c r="X570" i="2"/>
  <c r="X569" i="2"/>
  <c r="X568" i="2"/>
  <c r="X567" i="2"/>
  <c r="X566" i="2"/>
  <c r="X565" i="2"/>
  <c r="X564" i="2"/>
  <c r="X563" i="2"/>
  <c r="X562" i="2"/>
  <c r="X561" i="2"/>
  <c r="X560" i="2"/>
  <c r="X559" i="2"/>
  <c r="X558" i="2"/>
  <c r="X557" i="2"/>
  <c r="X556" i="2"/>
  <c r="X555" i="2"/>
  <c r="X554" i="2"/>
  <c r="X553" i="2"/>
  <c r="X552" i="2"/>
  <c r="X551" i="2"/>
  <c r="X550" i="2"/>
  <c r="X549" i="2"/>
  <c r="X548" i="2"/>
  <c r="X547" i="2"/>
  <c r="X546" i="2"/>
  <c r="W546" i="2" s="1"/>
  <c r="X545" i="2"/>
  <c r="W545" i="2" s="1"/>
  <c r="X544" i="2"/>
  <c r="W544" i="2" s="1"/>
  <c r="X543" i="2"/>
  <c r="W543" i="2" s="1"/>
  <c r="X542" i="2"/>
  <c r="W542" i="2" s="1"/>
  <c r="X541" i="2"/>
  <c r="W541" i="2" s="1"/>
  <c r="X540" i="2"/>
  <c r="W540" i="2" s="1"/>
  <c r="X539" i="2"/>
  <c r="W539" i="2" s="1"/>
  <c r="X538" i="2"/>
  <c r="W538" i="2" s="1"/>
  <c r="X537" i="2"/>
  <c r="W537" i="2" s="1"/>
  <c r="X536" i="2"/>
  <c r="W536" i="2" s="1"/>
  <c r="X535" i="2"/>
  <c r="W535" i="2" s="1"/>
  <c r="X534" i="2"/>
  <c r="W534" i="2" s="1"/>
  <c r="X533" i="2"/>
  <c r="W533" i="2" s="1"/>
  <c r="X532" i="2"/>
  <c r="W532" i="2" s="1"/>
  <c r="X531" i="2"/>
  <c r="W531" i="2" s="1"/>
  <c r="X530" i="2"/>
  <c r="W530" i="2" s="1"/>
  <c r="X529" i="2"/>
  <c r="W529" i="2" s="1"/>
  <c r="X528" i="2"/>
  <c r="W528" i="2" s="1"/>
  <c r="X527" i="2"/>
  <c r="W527" i="2" s="1"/>
  <c r="X526" i="2"/>
  <c r="W526" i="2" s="1"/>
  <c r="X525" i="2"/>
  <c r="W525" i="2" s="1"/>
  <c r="X524" i="2"/>
  <c r="W524" i="2" s="1"/>
  <c r="X523" i="2"/>
  <c r="W523" i="2" s="1"/>
  <c r="X522" i="2"/>
  <c r="W522" i="2" s="1"/>
  <c r="X521" i="2"/>
  <c r="W521" i="2" s="1"/>
  <c r="X520" i="2"/>
  <c r="W520" i="2" s="1"/>
  <c r="X519" i="2"/>
  <c r="W519" i="2" s="1"/>
  <c r="X518" i="2"/>
  <c r="W518" i="2" s="1"/>
  <c r="X517" i="2"/>
  <c r="W517" i="2" s="1"/>
  <c r="X516" i="2"/>
  <c r="W516" i="2" s="1"/>
  <c r="X515" i="2"/>
  <c r="W515" i="2" s="1"/>
  <c r="X514" i="2"/>
  <c r="W514" i="2" s="1"/>
  <c r="X513" i="2"/>
  <c r="W513" i="2" s="1"/>
  <c r="X512" i="2"/>
  <c r="W512" i="2" s="1"/>
  <c r="X511" i="2"/>
  <c r="W511" i="2" s="1"/>
  <c r="X510" i="2"/>
  <c r="W510" i="2" s="1"/>
  <c r="X509" i="2"/>
  <c r="W509" i="2" s="1"/>
  <c r="X508" i="2"/>
  <c r="W508" i="2" s="1"/>
  <c r="X507" i="2"/>
  <c r="W507" i="2" s="1"/>
  <c r="X506" i="2"/>
  <c r="W506" i="2" s="1"/>
  <c r="X505" i="2"/>
  <c r="W505" i="2" s="1"/>
  <c r="X504" i="2"/>
  <c r="W504" i="2" s="1"/>
  <c r="X503" i="2"/>
  <c r="W503" i="2" s="1"/>
  <c r="X502" i="2"/>
  <c r="W502" i="2" s="1"/>
  <c r="X501" i="2"/>
  <c r="W501" i="2" s="1"/>
  <c r="X500" i="2"/>
  <c r="W500" i="2" s="1"/>
  <c r="X499" i="2"/>
  <c r="W499" i="2" s="1"/>
  <c r="X498" i="2"/>
  <c r="W498" i="2" s="1"/>
  <c r="X497" i="2"/>
  <c r="W497" i="2" s="1"/>
  <c r="X496" i="2"/>
  <c r="W496" i="2" s="1"/>
  <c r="X495" i="2"/>
  <c r="W495" i="2" s="1"/>
  <c r="X494" i="2"/>
  <c r="W494" i="2" s="1"/>
  <c r="X493" i="2"/>
  <c r="W493" i="2" s="1"/>
  <c r="X492" i="2"/>
  <c r="W492" i="2" s="1"/>
  <c r="X491" i="2"/>
  <c r="W491" i="2" s="1"/>
  <c r="X490" i="2"/>
  <c r="W490" i="2" s="1"/>
  <c r="X489" i="2"/>
  <c r="W489" i="2" s="1"/>
  <c r="X488" i="2"/>
  <c r="W488" i="2" s="1"/>
  <c r="X487" i="2"/>
  <c r="W487" i="2" s="1"/>
  <c r="X486" i="2"/>
  <c r="W486" i="2" s="1"/>
  <c r="X485" i="2"/>
  <c r="W485" i="2" s="1"/>
  <c r="X484" i="2"/>
  <c r="W484" i="2" s="1"/>
  <c r="X483" i="2"/>
  <c r="W483" i="2" s="1"/>
  <c r="X482" i="2"/>
  <c r="W482" i="2" s="1"/>
  <c r="X481" i="2"/>
  <c r="W481" i="2" s="1"/>
  <c r="X480" i="2"/>
  <c r="W480" i="2" s="1"/>
  <c r="X479" i="2"/>
  <c r="W479" i="2" s="1"/>
  <c r="X478" i="2"/>
  <c r="W478" i="2" s="1"/>
  <c r="X477" i="2"/>
  <c r="W477" i="2" s="1"/>
  <c r="X476" i="2"/>
  <c r="W476" i="2" s="1"/>
  <c r="X475" i="2"/>
  <c r="W475" i="2" s="1"/>
  <c r="X474" i="2"/>
  <c r="W474" i="2" s="1"/>
  <c r="X473" i="2"/>
  <c r="W473" i="2" s="1"/>
  <c r="X472" i="2"/>
  <c r="W472" i="2" s="1"/>
  <c r="X471" i="2"/>
  <c r="W471" i="2" s="1"/>
  <c r="X470" i="2"/>
  <c r="W470" i="2" s="1"/>
  <c r="X469" i="2"/>
  <c r="W469" i="2" s="1"/>
  <c r="X468" i="2"/>
  <c r="W468" i="2" s="1"/>
  <c r="X467" i="2"/>
  <c r="W467" i="2" s="1"/>
  <c r="X466" i="2"/>
  <c r="W466" i="2" s="1"/>
  <c r="X465" i="2"/>
  <c r="W465" i="2" s="1"/>
  <c r="X464" i="2"/>
  <c r="W464" i="2" s="1"/>
  <c r="X463" i="2"/>
  <c r="W463" i="2" s="1"/>
  <c r="X462" i="2"/>
  <c r="W462" i="2" s="1"/>
  <c r="X461" i="2"/>
  <c r="W461" i="2" s="1"/>
  <c r="X460" i="2"/>
  <c r="W460" i="2" s="1"/>
  <c r="X459" i="2"/>
  <c r="W459" i="2" s="1"/>
  <c r="X458" i="2"/>
  <c r="W458" i="2" s="1"/>
  <c r="X457" i="2"/>
  <c r="W457" i="2" s="1"/>
  <c r="X456" i="2"/>
  <c r="W456" i="2" s="1"/>
  <c r="X455" i="2"/>
  <c r="W455" i="2" s="1"/>
  <c r="X454" i="2"/>
  <c r="W454" i="2" s="1"/>
  <c r="X453" i="2"/>
  <c r="W453" i="2" s="1"/>
  <c r="X452" i="2"/>
  <c r="W452" i="2" s="1"/>
  <c r="X451" i="2"/>
  <c r="W451" i="2" s="1"/>
  <c r="X450" i="2"/>
  <c r="W450" i="2" s="1"/>
  <c r="X449" i="2"/>
  <c r="W449" i="2" s="1"/>
  <c r="X448" i="2"/>
  <c r="X447" i="2"/>
  <c r="X446" i="2"/>
  <c r="X445" i="2"/>
  <c r="X444" i="2"/>
  <c r="X443" i="2"/>
  <c r="X442" i="2"/>
  <c r="X441" i="2"/>
  <c r="X440" i="2"/>
  <c r="W440" i="2" s="1"/>
  <c r="X439" i="2"/>
  <c r="W439" i="2" s="1"/>
  <c r="X438" i="2"/>
  <c r="W438" i="2" s="1"/>
  <c r="X437" i="2"/>
  <c r="W437" i="2" s="1"/>
  <c r="X436" i="2"/>
  <c r="W436" i="2" s="1"/>
  <c r="X435" i="2"/>
  <c r="W435" i="2" s="1"/>
  <c r="X434" i="2"/>
  <c r="W434" i="2" s="1"/>
  <c r="X433" i="2"/>
  <c r="W433" i="2" s="1"/>
  <c r="X432" i="2"/>
  <c r="W432" i="2" s="1"/>
  <c r="X431" i="2"/>
  <c r="W431" i="2" s="1"/>
  <c r="X430" i="2"/>
  <c r="W430" i="2" s="1"/>
  <c r="X429" i="2"/>
  <c r="W429" i="2" s="1"/>
  <c r="X428" i="2"/>
  <c r="W428" i="2" s="1"/>
  <c r="X427" i="2"/>
  <c r="W427" i="2" s="1"/>
  <c r="X426" i="2"/>
  <c r="W426" i="2" s="1"/>
  <c r="X425" i="2"/>
  <c r="W425" i="2" s="1"/>
  <c r="X424" i="2"/>
  <c r="W424" i="2" s="1"/>
  <c r="X423" i="2"/>
  <c r="W423" i="2" s="1"/>
  <c r="X422" i="2"/>
  <c r="W422" i="2" s="1"/>
  <c r="X421" i="2"/>
  <c r="W421" i="2" s="1"/>
  <c r="X420" i="2"/>
  <c r="W420" i="2" s="1"/>
  <c r="X419" i="2"/>
  <c r="W419" i="2" s="1"/>
  <c r="X418" i="2"/>
  <c r="W418" i="2" s="1"/>
  <c r="X417" i="2"/>
  <c r="W417" i="2" s="1"/>
  <c r="X416" i="2"/>
  <c r="W416" i="2" s="1"/>
  <c r="X415" i="2"/>
  <c r="W415" i="2" s="1"/>
  <c r="X414" i="2"/>
  <c r="W414" i="2" s="1"/>
  <c r="X413" i="2"/>
  <c r="W413" i="2" s="1"/>
  <c r="X412" i="2"/>
  <c r="W412" i="2" s="1"/>
  <c r="X411" i="2"/>
  <c r="W411" i="2" s="1"/>
  <c r="X410" i="2"/>
  <c r="W410" i="2" s="1"/>
  <c r="X409" i="2"/>
  <c r="W409" i="2" s="1"/>
  <c r="X408" i="2"/>
  <c r="W408" i="2" s="1"/>
  <c r="X407" i="2"/>
  <c r="W407" i="2" s="1"/>
  <c r="X406" i="2"/>
  <c r="W406" i="2" s="1"/>
  <c r="X405" i="2"/>
  <c r="W405" i="2" s="1"/>
  <c r="X404" i="2"/>
  <c r="W404" i="2" s="1"/>
  <c r="X403" i="2"/>
  <c r="W403" i="2" s="1"/>
  <c r="X402" i="2"/>
  <c r="W402" i="2" s="1"/>
  <c r="X401" i="2"/>
  <c r="W401" i="2" s="1"/>
  <c r="X400" i="2"/>
  <c r="W400" i="2" s="1"/>
  <c r="X399" i="2"/>
  <c r="W399" i="2" s="1"/>
  <c r="X398" i="2"/>
  <c r="W398" i="2" s="1"/>
  <c r="X397" i="2"/>
  <c r="W397" i="2" s="1"/>
  <c r="X396" i="2"/>
  <c r="W396" i="2" s="1"/>
  <c r="X395" i="2"/>
  <c r="W395" i="2" s="1"/>
  <c r="X394" i="2"/>
  <c r="W394" i="2" s="1"/>
  <c r="X393" i="2"/>
  <c r="W393" i="2" s="1"/>
  <c r="X392" i="2"/>
  <c r="W392" i="2" s="1"/>
  <c r="X391" i="2"/>
  <c r="X390" i="2"/>
  <c r="X389" i="2"/>
  <c r="X388" i="2"/>
  <c r="X387" i="2"/>
  <c r="X386" i="2"/>
  <c r="X385" i="2"/>
  <c r="X384" i="2"/>
  <c r="X383" i="2"/>
  <c r="X382" i="2"/>
  <c r="W382" i="2" s="1"/>
  <c r="X381" i="2"/>
  <c r="W381" i="2" s="1"/>
  <c r="X380" i="2"/>
  <c r="W380" i="2" s="1"/>
  <c r="X379" i="2"/>
  <c r="W379" i="2" s="1"/>
  <c r="X378" i="2"/>
  <c r="W378" i="2" s="1"/>
  <c r="X377" i="2"/>
  <c r="W377" i="2" s="1"/>
  <c r="X376" i="2"/>
  <c r="W376" i="2" s="1"/>
  <c r="X375" i="2"/>
  <c r="W375" i="2" s="1"/>
  <c r="X374" i="2"/>
  <c r="W374" i="2" s="1"/>
  <c r="X373" i="2"/>
  <c r="W373" i="2" s="1"/>
  <c r="X372" i="2"/>
  <c r="W372" i="2" s="1"/>
  <c r="X371" i="2"/>
  <c r="W371" i="2" s="1"/>
  <c r="X370" i="2"/>
  <c r="W370" i="2" s="1"/>
  <c r="X369" i="2"/>
  <c r="W369" i="2" s="1"/>
  <c r="X368" i="2"/>
  <c r="W368" i="2" s="1"/>
  <c r="X367" i="2"/>
  <c r="W367" i="2" s="1"/>
  <c r="X366" i="2"/>
  <c r="W366" i="2" s="1"/>
  <c r="X365" i="2"/>
  <c r="W365" i="2" s="1"/>
  <c r="X364" i="2"/>
  <c r="W364" i="2" s="1"/>
  <c r="X363" i="2"/>
  <c r="W363" i="2" s="1"/>
  <c r="X362" i="2"/>
  <c r="W362" i="2" s="1"/>
  <c r="X361" i="2"/>
  <c r="W361" i="2" s="1"/>
  <c r="W446" i="2" l="1"/>
  <c r="V446" i="2"/>
  <c r="W391" i="2"/>
  <c r="V391" i="2"/>
  <c r="W386" i="2"/>
  <c r="V386" i="2"/>
  <c r="W385" i="2"/>
  <c r="V385" i="2"/>
  <c r="W383" i="2"/>
  <c r="V383" i="2"/>
  <c r="W445" i="2"/>
  <c r="V445" i="2"/>
  <c r="W384" i="2"/>
  <c r="V384" i="2"/>
  <c r="W444" i="2"/>
  <c r="V444" i="2"/>
  <c r="W443" i="2"/>
  <c r="V443" i="2"/>
  <c r="W390" i="2"/>
  <c r="V390" i="2"/>
  <c r="W389" i="2"/>
  <c r="V389" i="2"/>
  <c r="W441" i="2"/>
  <c r="V441" i="2"/>
  <c r="W547" i="2"/>
  <c r="V547" i="2"/>
  <c r="W548" i="2"/>
  <c r="V548" i="2"/>
  <c r="W549" i="2"/>
  <c r="V549" i="2"/>
  <c r="W550" i="2"/>
  <c r="V550" i="2"/>
  <c r="W551" i="2"/>
  <c r="V551" i="2"/>
  <c r="W552" i="2"/>
  <c r="V552" i="2"/>
  <c r="W553" i="2"/>
  <c r="V553" i="2"/>
  <c r="W554" i="2"/>
  <c r="V554" i="2"/>
  <c r="W555" i="2"/>
  <c r="V555" i="2"/>
  <c r="W556" i="2"/>
  <c r="V556" i="2"/>
  <c r="W557" i="2"/>
  <c r="V557" i="2"/>
  <c r="W558" i="2"/>
  <c r="V558" i="2"/>
  <c r="W559" i="2"/>
  <c r="V559" i="2"/>
  <c r="W560" i="2"/>
  <c r="V560" i="2"/>
  <c r="W561" i="2"/>
  <c r="V561" i="2"/>
  <c r="W562" i="2"/>
  <c r="V562" i="2"/>
  <c r="W563" i="2"/>
  <c r="V563" i="2"/>
  <c r="W564" i="2"/>
  <c r="V564" i="2"/>
  <c r="W565" i="2"/>
  <c r="V565" i="2"/>
  <c r="W566" i="2"/>
  <c r="V566" i="2"/>
  <c r="W567" i="2"/>
  <c r="V567" i="2"/>
  <c r="W568" i="2"/>
  <c r="V568" i="2"/>
  <c r="W569" i="2"/>
  <c r="V569" i="2"/>
  <c r="W570" i="2"/>
  <c r="V570" i="2"/>
  <c r="W571" i="2"/>
  <c r="V571" i="2"/>
  <c r="W572" i="2"/>
  <c r="V572" i="2"/>
  <c r="W573" i="2"/>
  <c r="V573" i="2"/>
  <c r="W574" i="2"/>
  <c r="V574" i="2"/>
  <c r="W575" i="2"/>
  <c r="V575" i="2"/>
  <c r="W576" i="2"/>
  <c r="V576" i="2"/>
  <c r="W577" i="2"/>
  <c r="V577" i="2"/>
  <c r="W578" i="2"/>
  <c r="V578" i="2"/>
  <c r="W579" i="2"/>
  <c r="V579" i="2"/>
  <c r="W580" i="2"/>
  <c r="V580" i="2"/>
  <c r="W581" i="2"/>
  <c r="V581" i="2"/>
  <c r="W582" i="2"/>
  <c r="V582" i="2"/>
  <c r="W583" i="2"/>
  <c r="V583" i="2"/>
  <c r="W584" i="2"/>
  <c r="V584" i="2"/>
  <c r="W585" i="2"/>
  <c r="V585" i="2"/>
  <c r="W586" i="2"/>
  <c r="V586" i="2"/>
  <c r="W587" i="2"/>
  <c r="V587" i="2"/>
  <c r="W588" i="2"/>
  <c r="V588" i="2"/>
  <c r="W589" i="2"/>
  <c r="V589" i="2"/>
  <c r="W590" i="2"/>
  <c r="V590" i="2"/>
  <c r="W591" i="2"/>
  <c r="V591" i="2"/>
  <c r="W592" i="2"/>
  <c r="V592" i="2"/>
  <c r="W593" i="2"/>
  <c r="V593" i="2"/>
  <c r="W594" i="2"/>
  <c r="V594" i="2"/>
  <c r="W595" i="2"/>
  <c r="V595" i="2"/>
  <c r="W596" i="2"/>
  <c r="V596" i="2"/>
  <c r="W597" i="2"/>
  <c r="V597" i="2"/>
  <c r="W598" i="2"/>
  <c r="V598" i="2"/>
  <c r="W599" i="2"/>
  <c r="V599" i="2"/>
  <c r="W600" i="2"/>
  <c r="V600" i="2"/>
  <c r="W601" i="2"/>
  <c r="V601" i="2"/>
  <c r="W602" i="2"/>
  <c r="V602" i="2"/>
  <c r="W603" i="2"/>
  <c r="V603" i="2"/>
  <c r="W604" i="2"/>
  <c r="V604" i="2"/>
  <c r="W605" i="2"/>
  <c r="V605" i="2"/>
  <c r="W442" i="2"/>
  <c r="V442" i="2"/>
  <c r="W388" i="2"/>
  <c r="V388" i="2"/>
  <c r="W448" i="2"/>
  <c r="V448" i="2"/>
  <c r="W387" i="2"/>
  <c r="V387" i="2"/>
  <c r="W447" i="2"/>
  <c r="V447" i="2"/>
  <c r="E929" i="1"/>
  <c r="E930" i="1" s="1"/>
  <c r="E733" i="1"/>
  <c r="E720" i="1"/>
  <c r="E848" i="1" s="1"/>
  <c r="E795" i="1"/>
  <c r="E717" i="1"/>
  <c r="E933" i="1" s="1"/>
  <c r="E934" i="1" s="1"/>
  <c r="E980" i="1"/>
  <c r="E981" i="1" s="1"/>
  <c r="E722" i="1"/>
  <c r="E729" i="1"/>
  <c r="E730" i="1" s="1"/>
  <c r="E781" i="1" s="1"/>
  <c r="E719" i="1"/>
  <c r="E738" i="1" l="1"/>
  <c r="E856" i="1"/>
  <c r="E866" i="1" s="1"/>
  <c r="E850" i="1"/>
  <c r="E988" i="1"/>
  <c r="E984" i="1"/>
  <c r="E1014" i="1" s="1"/>
  <c r="E746" i="1"/>
  <c r="E796" i="1"/>
  <c r="E731" i="1"/>
  <c r="E931" i="1"/>
  <c r="E932" i="1" s="1"/>
  <c r="E881" i="1"/>
  <c r="E782" i="1"/>
  <c r="E756" i="1"/>
  <c r="E741" i="1"/>
  <c r="E779" i="1"/>
  <c r="E780" i="1" s="1"/>
  <c r="E751" i="1"/>
  <c r="E728" i="1"/>
  <c r="E885" i="1"/>
  <c r="E743" i="1"/>
  <c r="E744" i="1" s="1"/>
  <c r="E983" i="1"/>
  <c r="E1011" i="1" s="1"/>
  <c r="E857" i="1"/>
  <c r="E858" i="1" s="1"/>
  <c r="E1024" i="1"/>
  <c r="E1052" i="1" s="1"/>
  <c r="E797" i="1"/>
  <c r="E740" i="1" s="1"/>
  <c r="E960" i="1" s="1"/>
  <c r="E1030" i="1"/>
  <c r="E1027" i="1"/>
  <c r="E986" i="1"/>
  <c r="E990" i="1" l="1"/>
  <c r="E992" i="1" s="1"/>
  <c r="E841" i="1"/>
  <c r="E1009" i="1"/>
  <c r="E949" i="1"/>
  <c r="E802" i="1"/>
  <c r="E750" i="1"/>
  <c r="E757" i="1" s="1"/>
  <c r="E747" i="1"/>
  <c r="E758" i="1"/>
  <c r="E941" i="1" s="1"/>
  <c r="E1031" i="1"/>
  <c r="E1033" i="1" s="1"/>
  <c r="E1045" i="1" s="1"/>
  <c r="E861" i="1"/>
  <c r="E737" i="1"/>
  <c r="E864" i="1" s="1"/>
  <c r="E868" i="1" s="1"/>
  <c r="E804" i="1"/>
  <c r="E806" i="1"/>
  <c r="E818" i="1" s="1"/>
  <c r="E805" i="1"/>
  <c r="E808" i="1" s="1"/>
  <c r="E883" i="1"/>
  <c r="E815" i="1"/>
  <c r="E827" i="1"/>
  <c r="E837" i="1" s="1"/>
  <c r="E1004" i="1"/>
  <c r="E1000" i="1"/>
  <c r="E1002" i="1" s="1"/>
  <c r="E970" i="1" s="1"/>
  <c r="E971" i="1" s="1"/>
  <c r="E859" i="1"/>
  <c r="E776" i="1"/>
  <c r="E920" i="1" s="1"/>
  <c r="E814" i="1" l="1"/>
  <c r="E810" i="1"/>
  <c r="E812" i="1" s="1"/>
  <c r="E816" i="1"/>
  <c r="E1041" i="1"/>
  <c r="E1043" i="1" s="1"/>
  <c r="E972" i="1" s="1"/>
  <c r="E973" i="1" s="1"/>
  <c r="E754" i="1"/>
  <c r="E893" i="1"/>
  <c r="E755" i="1"/>
  <c r="E836" i="1"/>
  <c r="E838" i="1" s="1"/>
  <c r="E839" i="1" s="1"/>
  <c r="E843" i="1" s="1"/>
  <c r="E849" i="1"/>
  <c r="E851" i="1" s="1"/>
  <c r="E847" i="1" s="1"/>
  <c r="E924" i="1" s="1"/>
  <c r="E862" i="1"/>
  <c r="E867" i="1" s="1"/>
  <c r="E811" i="1"/>
  <c r="E950" i="1"/>
  <c r="E947" i="1" s="1"/>
  <c r="E939" i="1" s="1"/>
  <c r="E820" i="1" l="1"/>
  <c r="E845" i="1" s="1"/>
  <c r="E793" i="1" s="1"/>
  <c r="E923" i="1" s="1"/>
  <c r="E894" i="1"/>
  <c r="E901" i="1"/>
  <c r="E902" i="1" s="1"/>
  <c r="E863" i="1"/>
  <c r="E870" i="1" s="1"/>
  <c r="E869" i="1" l="1"/>
  <c r="E871" i="1" s="1"/>
  <c r="E872" i="1" s="1"/>
  <c r="E873" i="1" s="1"/>
  <c r="E874" i="1" l="1"/>
  <c r="E877" i="1"/>
  <c r="E903" i="1" l="1"/>
  <c r="E905" i="1" s="1"/>
  <c r="E907" i="1" s="1"/>
  <c r="E895" i="1"/>
  <c r="E897" i="1" s="1"/>
  <c r="E899" i="1" s="1"/>
  <c r="E884" i="1"/>
  <c r="E886" i="1" s="1"/>
  <c r="E888" i="1" s="1"/>
  <c r="E909" i="1" l="1"/>
  <c r="E910" i="1" s="1"/>
  <c r="E912" i="1" s="1"/>
  <c r="E853" i="1" s="1"/>
  <c r="E925" i="1" s="1"/>
  <c r="E9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Johnson, Alexander S</author>
  </authors>
  <commentList>
    <comment ref="A65" authorId="0" shapeId="0" xr:uid="{00000000-0006-0000-0300-000001000000}">
      <text>
        <r>
          <rPr>
            <b/>
            <sz val="9"/>
            <color indexed="81"/>
            <rFont val="Tahoma"/>
            <family val="2"/>
          </rPr>
          <t>Note:</t>
        </r>
        <r>
          <rPr>
            <sz val="9"/>
            <color indexed="81"/>
            <rFont val="Tahoma"/>
            <family val="2"/>
          </rPr>
          <t xml:space="preserve">
J is calculated by summing the J of all individual shapes. This may be conservative. Refer to AISC Design Guide 9.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Johnson, Alexander S</author>
  </authors>
  <commentList>
    <comment ref="A55" authorId="0" shapeId="0" xr:uid="{00000000-0006-0000-0400-000001000000}">
      <text>
        <r>
          <rPr>
            <b/>
            <sz val="9"/>
            <color indexed="81"/>
            <rFont val="Tahoma"/>
            <family val="2"/>
          </rPr>
          <t>Note:</t>
        </r>
        <r>
          <rPr>
            <sz val="9"/>
            <color indexed="81"/>
            <rFont val="Tahoma"/>
            <family val="2"/>
          </rPr>
          <t xml:space="preserve">
J is calculated by summing the J of all individual shapes. This may be conservative. Refer to AISC Design Guide 9.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Johnson, Alexander S</author>
  </authors>
  <commentList>
    <comment ref="A55" authorId="0" shapeId="0" xr:uid="{00000000-0006-0000-0500-000001000000}">
      <text>
        <r>
          <rPr>
            <b/>
            <sz val="9"/>
            <color indexed="81"/>
            <rFont val="Tahoma"/>
            <family val="2"/>
          </rPr>
          <t>Note:</t>
        </r>
        <r>
          <rPr>
            <sz val="9"/>
            <color indexed="81"/>
            <rFont val="Tahoma"/>
            <family val="2"/>
          </rPr>
          <t xml:space="preserve">
J is calculated by summing the J of all individual shapes. This may be conservative. Refer to AISC Design Guide 9.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<sst xmlns="http://schemas.openxmlformats.org/spreadsheetml/2006/main" count="9606" uniqueCount="2741">
  <si>
    <t>Type</t>
  </si>
  <si>
    <t>AISC_Manual_Label</t>
  </si>
  <si>
    <t>W</t>
  </si>
  <si>
    <t>A</t>
  </si>
  <si>
    <t>d</t>
  </si>
  <si>
    <t>B</t>
  </si>
  <si>
    <t>J</t>
  </si>
  <si>
    <t>W44X335</t>
  </si>
  <si>
    <t>–</t>
  </si>
  <si>
    <t>W44X290</t>
  </si>
  <si>
    <t>W44X262</t>
  </si>
  <si>
    <t>W44X230</t>
  </si>
  <si>
    <t>W40X655</t>
  </si>
  <si>
    <t>W40X593</t>
  </si>
  <si>
    <t>W40X503</t>
  </si>
  <si>
    <t>W40X431</t>
  </si>
  <si>
    <t>W40X397</t>
  </si>
  <si>
    <t>W40X372</t>
  </si>
  <si>
    <t>W40X362</t>
  </si>
  <si>
    <t>W40X324</t>
  </si>
  <si>
    <t>W40X297</t>
  </si>
  <si>
    <t>W40X277</t>
  </si>
  <si>
    <t>W40X249</t>
  </si>
  <si>
    <t>W40X215</t>
  </si>
  <si>
    <t>W40X199</t>
  </si>
  <si>
    <t>W40X392</t>
  </si>
  <si>
    <t>W40X331</t>
  </si>
  <si>
    <t>W40X327</t>
  </si>
  <si>
    <t>W40X294</t>
  </si>
  <si>
    <t>W40X278</t>
  </si>
  <si>
    <t>W40X264</t>
  </si>
  <si>
    <t>W40X235</t>
  </si>
  <si>
    <t>W40X211</t>
  </si>
  <si>
    <t>W40X183</t>
  </si>
  <si>
    <t>W40X167</t>
  </si>
  <si>
    <t>W40X149</t>
  </si>
  <si>
    <t>W36X925</t>
  </si>
  <si>
    <t>W36X853</t>
  </si>
  <si>
    <t>W36X802</t>
  </si>
  <si>
    <t>W36X723</t>
  </si>
  <si>
    <t>W36X652</t>
  </si>
  <si>
    <t>W36X529</t>
  </si>
  <si>
    <t>W36X487</t>
  </si>
  <si>
    <t>W36X441</t>
  </si>
  <si>
    <t>W36X395</t>
  </si>
  <si>
    <t>W36X361</t>
  </si>
  <si>
    <t>W36X330</t>
  </si>
  <si>
    <t>W36X302</t>
  </si>
  <si>
    <t>W36X282</t>
  </si>
  <si>
    <t>W36X262</t>
  </si>
  <si>
    <t>W36X247</t>
  </si>
  <si>
    <t>W36X231</t>
  </si>
  <si>
    <t>W36X256</t>
  </si>
  <si>
    <t>W36X232</t>
  </si>
  <si>
    <t>W36X210</t>
  </si>
  <si>
    <t>W36X194</t>
  </si>
  <si>
    <t>W36X182</t>
  </si>
  <si>
    <t>W36X170</t>
  </si>
  <si>
    <t>W36X160</t>
  </si>
  <si>
    <t>W36X150</t>
  </si>
  <si>
    <t>W36X135</t>
  </si>
  <si>
    <t>W33X387</t>
  </si>
  <si>
    <t>W33X354</t>
  </si>
  <si>
    <t>W33X318</t>
  </si>
  <si>
    <t>W33X291</t>
  </si>
  <si>
    <t>W33X263</t>
  </si>
  <si>
    <t>W33X241</t>
  </si>
  <si>
    <t>W33X221</t>
  </si>
  <si>
    <t>W33X201</t>
  </si>
  <si>
    <t>W33X169</t>
  </si>
  <si>
    <t>W33X152</t>
  </si>
  <si>
    <t>W33X141</t>
  </si>
  <si>
    <t>W33X130</t>
  </si>
  <si>
    <t>W33X118</t>
  </si>
  <si>
    <t>W30X391</t>
  </si>
  <si>
    <t>W30X357</t>
  </si>
  <si>
    <t>W30X326</t>
  </si>
  <si>
    <t>W30X292</t>
  </si>
  <si>
    <t>W30X261</t>
  </si>
  <si>
    <t>W30X235</t>
  </si>
  <si>
    <t>W30X211</t>
  </si>
  <si>
    <t>W30X191</t>
  </si>
  <si>
    <t>W30X173</t>
  </si>
  <si>
    <t>W30X148</t>
  </si>
  <si>
    <t>W30X132</t>
  </si>
  <si>
    <t>W30X124</t>
  </si>
  <si>
    <t>W30X116</t>
  </si>
  <si>
    <t>W30X108</t>
  </si>
  <si>
    <t>W30X99</t>
  </si>
  <si>
    <t>W30X90</t>
  </si>
  <si>
    <t>W27X539</t>
  </si>
  <si>
    <t>W27X368</t>
  </si>
  <si>
    <t>W27X336</t>
  </si>
  <si>
    <t>W27X307</t>
  </si>
  <si>
    <t>W27X281</t>
  </si>
  <si>
    <t>W27X258</t>
  </si>
  <si>
    <t>W27X235</t>
  </si>
  <si>
    <t>W27X217</t>
  </si>
  <si>
    <t>W27X194</t>
  </si>
  <si>
    <t>W27X178</t>
  </si>
  <si>
    <t>W27X161</t>
  </si>
  <si>
    <t>W27X146</t>
  </si>
  <si>
    <t>W27X129</t>
  </si>
  <si>
    <t>W27X114</t>
  </si>
  <si>
    <t>W27X102</t>
  </si>
  <si>
    <t>W27X94</t>
  </si>
  <si>
    <t>W27X84</t>
  </si>
  <si>
    <t>W24X370</t>
  </si>
  <si>
    <t>W24X335</t>
  </si>
  <si>
    <t>W24X306</t>
  </si>
  <si>
    <t>W24X279</t>
  </si>
  <si>
    <t>W24X250</t>
  </si>
  <si>
    <t>W24X229</t>
  </si>
  <si>
    <t>W24X207</t>
  </si>
  <si>
    <t>W24X192</t>
  </si>
  <si>
    <t>W24X176</t>
  </si>
  <si>
    <t>W24X162</t>
  </si>
  <si>
    <t>W24X146</t>
  </si>
  <si>
    <t>W24X131</t>
  </si>
  <si>
    <t>W24X117</t>
  </si>
  <si>
    <t>W24X104</t>
  </si>
  <si>
    <t>W24X103</t>
  </si>
  <si>
    <t>W24X94</t>
  </si>
  <si>
    <t>W24X84</t>
  </si>
  <si>
    <t>W24X76</t>
  </si>
  <si>
    <t>W24X68</t>
  </si>
  <si>
    <t>W24X62</t>
  </si>
  <si>
    <t>W24X55</t>
  </si>
  <si>
    <t>W21X275</t>
  </si>
  <si>
    <t>W21X248</t>
  </si>
  <si>
    <t>W21X223</t>
  </si>
  <si>
    <t>W21X201</t>
  </si>
  <si>
    <t>W21X182</t>
  </si>
  <si>
    <t>W21X166</t>
  </si>
  <si>
    <t>W21X147</t>
  </si>
  <si>
    <t>W21X132</t>
  </si>
  <si>
    <t>W21X122</t>
  </si>
  <si>
    <t>W21X111</t>
  </si>
  <si>
    <t>W21X101</t>
  </si>
  <si>
    <t>W21X93</t>
  </si>
  <si>
    <t>W21X83</t>
  </si>
  <si>
    <t>W21X73</t>
  </si>
  <si>
    <t>W21X68</t>
  </si>
  <si>
    <t>W21X62</t>
  </si>
  <si>
    <t>W21X55</t>
  </si>
  <si>
    <t>W21X48</t>
  </si>
  <si>
    <t>W21X57</t>
  </si>
  <si>
    <t>W21X50</t>
  </si>
  <si>
    <t>W21X44</t>
  </si>
  <si>
    <t>W18X311</t>
  </si>
  <si>
    <t>W18X283</t>
  </si>
  <si>
    <t>W18X258</t>
  </si>
  <si>
    <t>W18X234</t>
  </si>
  <si>
    <t>W18X211</t>
  </si>
  <si>
    <t>W18X192</t>
  </si>
  <si>
    <t>W18X175</t>
  </si>
  <si>
    <t>W18X158</t>
  </si>
  <si>
    <t>W18X143</t>
  </si>
  <si>
    <t>W18X130</t>
  </si>
  <si>
    <t>W18X119</t>
  </si>
  <si>
    <t>W18X106</t>
  </si>
  <si>
    <t>W18X97</t>
  </si>
  <si>
    <t>W18X86</t>
  </si>
  <si>
    <t>W18X76</t>
  </si>
  <si>
    <t>W18X71</t>
  </si>
  <si>
    <t>W18X65</t>
  </si>
  <si>
    <t>W18X60</t>
  </si>
  <si>
    <t>W18X55</t>
  </si>
  <si>
    <t>W18X50</t>
  </si>
  <si>
    <t>W18X46</t>
  </si>
  <si>
    <t>W18X40</t>
  </si>
  <si>
    <t>W18X35</t>
  </si>
  <si>
    <t>W16X100</t>
  </si>
  <si>
    <t>W16X89</t>
  </si>
  <si>
    <t>W16X77</t>
  </si>
  <si>
    <t>W16X67</t>
  </si>
  <si>
    <t>W16X57</t>
  </si>
  <si>
    <t>W16X50</t>
  </si>
  <si>
    <t>W16X45</t>
  </si>
  <si>
    <t>W16X40</t>
  </si>
  <si>
    <t>W16X36</t>
  </si>
  <si>
    <t>W16X31</t>
  </si>
  <si>
    <t>W16X26</t>
  </si>
  <si>
    <t>W14X873</t>
  </si>
  <si>
    <t>W14X808</t>
  </si>
  <si>
    <t>W14X730</t>
  </si>
  <si>
    <t>W14X665</t>
  </si>
  <si>
    <t>W14X605</t>
  </si>
  <si>
    <t>W14X550</t>
  </si>
  <si>
    <t>W14X500</t>
  </si>
  <si>
    <t>W14X455</t>
  </si>
  <si>
    <t>W14X426</t>
  </si>
  <si>
    <t>W14X398</t>
  </si>
  <si>
    <t>W14X370</t>
  </si>
  <si>
    <t>W14X342</t>
  </si>
  <si>
    <t>W14X311</t>
  </si>
  <si>
    <t>W14X283</t>
  </si>
  <si>
    <t>W14X257</t>
  </si>
  <si>
    <t>W14X233</t>
  </si>
  <si>
    <t>W14X211</t>
  </si>
  <si>
    <t>W14X193</t>
  </si>
  <si>
    <t>W14X176</t>
  </si>
  <si>
    <t>W14X159</t>
  </si>
  <si>
    <t>W14X145</t>
  </si>
  <si>
    <t>W14X132</t>
  </si>
  <si>
    <t>W14X120</t>
  </si>
  <si>
    <t>W14X109</t>
  </si>
  <si>
    <t>W14X99</t>
  </si>
  <si>
    <t>W14X90</t>
  </si>
  <si>
    <t>W14X82</t>
  </si>
  <si>
    <t>W14X74</t>
  </si>
  <si>
    <t>W14X68</t>
  </si>
  <si>
    <t>W14X61</t>
  </si>
  <si>
    <t>W14X53</t>
  </si>
  <si>
    <t>W14X48</t>
  </si>
  <si>
    <t>W14X43</t>
  </si>
  <si>
    <t>W14X38</t>
  </si>
  <si>
    <t>W14X34</t>
  </si>
  <si>
    <t>W14X30</t>
  </si>
  <si>
    <t>W14X26</t>
  </si>
  <si>
    <t>W14X22</t>
  </si>
  <si>
    <t>W12X336</t>
  </si>
  <si>
    <t>W12X305</t>
  </si>
  <si>
    <t>W12X279</t>
  </si>
  <si>
    <t>W12X252</t>
  </si>
  <si>
    <t>W12X230</t>
  </si>
  <si>
    <t>W12X210</t>
  </si>
  <si>
    <t>W12X190</t>
  </si>
  <si>
    <t>W12X170</t>
  </si>
  <si>
    <t>W12X152</t>
  </si>
  <si>
    <t>W12X136</t>
  </si>
  <si>
    <t>W12X120</t>
  </si>
  <si>
    <t>W12X106</t>
  </si>
  <si>
    <t>W12X96</t>
  </si>
  <si>
    <t>W12X87</t>
  </si>
  <si>
    <t>W12X79</t>
  </si>
  <si>
    <t>W12X72</t>
  </si>
  <si>
    <t>W12X65</t>
  </si>
  <si>
    <t>W12X58</t>
  </si>
  <si>
    <t>W12X53</t>
  </si>
  <si>
    <t>W12X50</t>
  </si>
  <si>
    <t>W12X45</t>
  </si>
  <si>
    <t>W12X40</t>
  </si>
  <si>
    <t>W12X35</t>
  </si>
  <si>
    <t>W12X30</t>
  </si>
  <si>
    <t>W12X26</t>
  </si>
  <si>
    <t>W12X22</t>
  </si>
  <si>
    <t>W12X19</t>
  </si>
  <si>
    <t>W12X16</t>
  </si>
  <si>
    <t>W12X14</t>
  </si>
  <si>
    <t>W10X112</t>
  </si>
  <si>
    <t>W10X100</t>
  </si>
  <si>
    <t>W10X88</t>
  </si>
  <si>
    <t>W10X77</t>
  </si>
  <si>
    <t>W10X68</t>
  </si>
  <si>
    <t>W10X60</t>
  </si>
  <si>
    <t>W10X54</t>
  </si>
  <si>
    <t>W10X49</t>
  </si>
  <si>
    <t>W10X45</t>
  </si>
  <si>
    <t>W10X39</t>
  </si>
  <si>
    <t>W10X33</t>
  </si>
  <si>
    <t>W10X30</t>
  </si>
  <si>
    <t>W10X26</t>
  </si>
  <si>
    <t>W10X22</t>
  </si>
  <si>
    <t>W10X19</t>
  </si>
  <si>
    <t>W10X17</t>
  </si>
  <si>
    <t>W10X15</t>
  </si>
  <si>
    <t>W10X12</t>
  </si>
  <si>
    <t>W8X67</t>
  </si>
  <si>
    <t>W8X58</t>
  </si>
  <si>
    <t>W8X48</t>
  </si>
  <si>
    <t>W8X40</t>
  </si>
  <si>
    <t>W8X35</t>
  </si>
  <si>
    <t>W8X31</t>
  </si>
  <si>
    <t>W8X28</t>
  </si>
  <si>
    <t>W8X24</t>
  </si>
  <si>
    <t>W8X21</t>
  </si>
  <si>
    <t>W8X18</t>
  </si>
  <si>
    <t>W8X15</t>
  </si>
  <si>
    <t>W8X13</t>
  </si>
  <si>
    <t>W8X10</t>
  </si>
  <si>
    <t>W6X25</t>
  </si>
  <si>
    <t>W6X20</t>
  </si>
  <si>
    <t>W6X15</t>
  </si>
  <si>
    <t>W6X16</t>
  </si>
  <si>
    <t>W6X12</t>
  </si>
  <si>
    <t>W6X9</t>
  </si>
  <si>
    <t>W6X8.5</t>
  </si>
  <si>
    <t>W5X19</t>
  </si>
  <si>
    <t>W5X16</t>
  </si>
  <si>
    <t>W4X13</t>
  </si>
  <si>
    <t>M</t>
  </si>
  <si>
    <t>M12.5X12.4</t>
  </si>
  <si>
    <t>M12.5X11.6</t>
  </si>
  <si>
    <t>M12X11.8</t>
  </si>
  <si>
    <t>M12X10.8</t>
  </si>
  <si>
    <t>M12X10</t>
  </si>
  <si>
    <t>M10X9</t>
  </si>
  <si>
    <t>M10X8</t>
  </si>
  <si>
    <t>M10X7.5</t>
  </si>
  <si>
    <t>M8X6.5</t>
  </si>
  <si>
    <t>M8X6.2</t>
  </si>
  <si>
    <t>M6X4.4</t>
  </si>
  <si>
    <t>M6X3.7</t>
  </si>
  <si>
    <t>M5X18.9</t>
  </si>
  <si>
    <t>M4X6</t>
  </si>
  <si>
    <t>M4X4.08</t>
  </si>
  <si>
    <t>M4X3.45</t>
  </si>
  <si>
    <t>M4X3.2</t>
  </si>
  <si>
    <t>M3X2.9</t>
  </si>
  <si>
    <t>S</t>
  </si>
  <si>
    <t>S24X121</t>
  </si>
  <si>
    <t>S24X106</t>
  </si>
  <si>
    <t>S24X100</t>
  </si>
  <si>
    <t>S24X90</t>
  </si>
  <si>
    <t>S24X80</t>
  </si>
  <si>
    <t>S20X96</t>
  </si>
  <si>
    <t>S20X86</t>
  </si>
  <si>
    <t>S20X75</t>
  </si>
  <si>
    <t>S20X66</t>
  </si>
  <si>
    <t>S18X70</t>
  </si>
  <si>
    <t>S18X54.7</t>
  </si>
  <si>
    <t>S15X50</t>
  </si>
  <si>
    <t>S15X42.9</t>
  </si>
  <si>
    <t>S12X50</t>
  </si>
  <si>
    <t>S12X40.8</t>
  </si>
  <si>
    <t>S12X35</t>
  </si>
  <si>
    <t>S12X31.8</t>
  </si>
  <si>
    <t>S10X35</t>
  </si>
  <si>
    <t>S10X25.4</t>
  </si>
  <si>
    <t>S8X23</t>
  </si>
  <si>
    <t>S8X18.4</t>
  </si>
  <si>
    <t>S6X17.25</t>
  </si>
  <si>
    <t>S6X12.5</t>
  </si>
  <si>
    <t>S5X10</t>
  </si>
  <si>
    <t>S4X9.5</t>
  </si>
  <si>
    <t>S4X7.7</t>
  </si>
  <si>
    <t>S3X7.5</t>
  </si>
  <si>
    <t>S3X5.7</t>
  </si>
  <si>
    <t>HP</t>
  </si>
  <si>
    <t>HP18X204</t>
  </si>
  <si>
    <t>HP18X181</t>
  </si>
  <si>
    <t>HP18X157</t>
  </si>
  <si>
    <t>HP18X135</t>
  </si>
  <si>
    <t>HP16X183</t>
  </si>
  <si>
    <t>HP16X162</t>
  </si>
  <si>
    <t>HP16X141</t>
  </si>
  <si>
    <t>HP16X121</t>
  </si>
  <si>
    <t>HP16X101</t>
  </si>
  <si>
    <t>HP16X88</t>
  </si>
  <si>
    <t>HP14X117</t>
  </si>
  <si>
    <t>HP14X102</t>
  </si>
  <si>
    <t>HP14X89</t>
  </si>
  <si>
    <t>HP14X73</t>
  </si>
  <si>
    <t>HP12X89</t>
  </si>
  <si>
    <t>HP12X84</t>
  </si>
  <si>
    <t>HP12X74</t>
  </si>
  <si>
    <t>HP12X63</t>
  </si>
  <si>
    <t>HP12X53</t>
  </si>
  <si>
    <t>HP10X57</t>
  </si>
  <si>
    <t>HP10X42</t>
  </si>
  <si>
    <t>HP8X36</t>
  </si>
  <si>
    <t>L</t>
  </si>
  <si>
    <t>Edition</t>
  </si>
  <si>
    <t>13th</t>
  </si>
  <si>
    <t>W36X800</t>
  </si>
  <si>
    <t>S6X17.2</t>
  </si>
  <si>
    <t>LRFD3</t>
  </si>
  <si>
    <t>W36x798</t>
  </si>
  <si>
    <t>W36x650</t>
  </si>
  <si>
    <t>W36x527</t>
  </si>
  <si>
    <t>W36x439</t>
  </si>
  <si>
    <t>W36x393</t>
  </si>
  <si>
    <t>W36x359</t>
  </si>
  <si>
    <t>W36x328</t>
  </si>
  <si>
    <t>W36x300</t>
  </si>
  <si>
    <t>W36x280</t>
  </si>
  <si>
    <t>W36x260</t>
  </si>
  <si>
    <t>W36x245</t>
  </si>
  <si>
    <t>W36x230</t>
  </si>
  <si>
    <t>LRFD2</t>
  </si>
  <si>
    <t>W40x321</t>
  </si>
  <si>
    <t>W40x174</t>
  </si>
  <si>
    <t>W40x466</t>
  </si>
  <si>
    <t>W36x848</t>
  </si>
  <si>
    <t>W30x477</t>
  </si>
  <si>
    <t>W27x448</t>
  </si>
  <si>
    <t>W24x492</t>
  </si>
  <si>
    <t>W24x408</t>
  </si>
  <si>
    <t>ASD9</t>
  </si>
  <si>
    <t>LRFD1</t>
  </si>
  <si>
    <t>ASD8</t>
  </si>
  <si>
    <t>ASD7</t>
  </si>
  <si>
    <t>ASD6</t>
  </si>
  <si>
    <t>LWF</t>
  </si>
  <si>
    <t>JR</t>
  </si>
  <si>
    <t>ASD5</t>
  </si>
  <si>
    <t>BWF</t>
  </si>
  <si>
    <t>BLB</t>
  </si>
  <si>
    <t>BJ</t>
  </si>
  <si>
    <t>Historic</t>
  </si>
  <si>
    <t>S12x44.1</t>
  </si>
  <si>
    <t>AISC Shape</t>
  </si>
  <si>
    <t>ft</t>
  </si>
  <si>
    <t>Yield Strength</t>
  </si>
  <si>
    <t>ksi</t>
  </si>
  <si>
    <t>kip-ft</t>
  </si>
  <si>
    <t>in</t>
  </si>
  <si>
    <t>kip-in</t>
  </si>
  <si>
    <t>Depth</t>
  </si>
  <si>
    <t>Flange Width</t>
  </si>
  <si>
    <t>Web Thickness</t>
  </si>
  <si>
    <t>Flange Thickness</t>
  </si>
  <si>
    <t>Plastic Section Modulus x-x</t>
  </si>
  <si>
    <t>Elastic Section Modulus x-x</t>
  </si>
  <si>
    <t>Radius of Gyration x-x</t>
  </si>
  <si>
    <t>Plastic Section Modulus y-y</t>
  </si>
  <si>
    <t>Elastic Section Modulus y-y</t>
  </si>
  <si>
    <t>Radius of Gyration y-y</t>
  </si>
  <si>
    <t>kip</t>
  </si>
  <si>
    <t>Original Properties</t>
  </si>
  <si>
    <t>Center-to-Center Flanges</t>
  </si>
  <si>
    <t>Warping Constant</t>
  </si>
  <si>
    <t>Radius of Gyration for LTB</t>
  </si>
  <si>
    <t>Nominal Bending Strength y-y</t>
  </si>
  <si>
    <t>K</t>
  </si>
  <si>
    <t>Effective Length Ratio y-y</t>
  </si>
  <si>
    <t>Effective Length Ratio x-x</t>
  </si>
  <si>
    <t>Unbraced Length (Bending)</t>
  </si>
  <si>
    <t>Strong Axis Bending Utilization</t>
  </si>
  <si>
    <t>Weak Axis Bending Utilization</t>
  </si>
  <si>
    <t>Compression Utilization</t>
  </si>
  <si>
    <t>Unbraced Length x-x (Compression)</t>
  </si>
  <si>
    <t>Unbraced Length y-y (Compression)</t>
  </si>
  <si>
    <t>Symbol</t>
  </si>
  <si>
    <t>Units</t>
  </si>
  <si>
    <t>S24x120</t>
  </si>
  <si>
    <t>S24x115</t>
  </si>
  <si>
    <t>S24x110</t>
  </si>
  <si>
    <t>S24x105.9</t>
  </si>
  <si>
    <t>S24x105</t>
  </si>
  <si>
    <t>S24x95</t>
  </si>
  <si>
    <t>S24x85</t>
  </si>
  <si>
    <t>S24x79.9</t>
  </si>
  <si>
    <t>S20x100</t>
  </si>
  <si>
    <t>S20x98.4</t>
  </si>
  <si>
    <t>S20x95</t>
  </si>
  <si>
    <t>S20x90</t>
  </si>
  <si>
    <t>S20x85</t>
  </si>
  <si>
    <t>S20x81.7</t>
  </si>
  <si>
    <t>S20x81.4</t>
  </si>
  <si>
    <t>S20x80</t>
  </si>
  <si>
    <t>S20x78</t>
  </si>
  <si>
    <t>S20x70</t>
  </si>
  <si>
    <t>S20x66.67</t>
  </si>
  <si>
    <t>S20x65.4</t>
  </si>
  <si>
    <t>S20x65</t>
  </si>
  <si>
    <t>S20x64.8</t>
  </si>
  <si>
    <t>S20x64</t>
  </si>
  <si>
    <t>S18x90</t>
  </si>
  <si>
    <t>S18x85</t>
  </si>
  <si>
    <t>S18x80</t>
  </si>
  <si>
    <t>S18x75.6</t>
  </si>
  <si>
    <t>S18x75</t>
  </si>
  <si>
    <t>S18x67</t>
  </si>
  <si>
    <t>S18x65</t>
  </si>
  <si>
    <t>S18x60</t>
  </si>
  <si>
    <t>S18x55</t>
  </si>
  <si>
    <t>S18x48.2</t>
  </si>
  <si>
    <t>S18x48</t>
  </si>
  <si>
    <t>S18x46</t>
  </si>
  <si>
    <t>S15x100</t>
  </si>
  <si>
    <t>S15x95</t>
  </si>
  <si>
    <t>S15x90</t>
  </si>
  <si>
    <t>S15x85.1</t>
  </si>
  <si>
    <t>S15x85</t>
  </si>
  <si>
    <t>S15x81.3</t>
  </si>
  <si>
    <t>S15x80</t>
  </si>
  <si>
    <t>S15x75</t>
  </si>
  <si>
    <t>S15x70.4</t>
  </si>
  <si>
    <t>S15x70</t>
  </si>
  <si>
    <t>S15x69.2</t>
  </si>
  <si>
    <t>S15x66.67</t>
  </si>
  <si>
    <t>S15x65</t>
  </si>
  <si>
    <t>S15x60.8</t>
  </si>
  <si>
    <t>S15x60</t>
  </si>
  <si>
    <t>S15x59</t>
  </si>
  <si>
    <t>S15x57.6</t>
  </si>
  <si>
    <t>S15x56.9</t>
  </si>
  <si>
    <t>S15x56.5</t>
  </si>
  <si>
    <t>S15x55</t>
  </si>
  <si>
    <t>S15x52.9</t>
  </si>
  <si>
    <t>S15x49.3</t>
  </si>
  <si>
    <t>S15x48</t>
  </si>
  <si>
    <t>S15x47.5</t>
  </si>
  <si>
    <t>S15x45</t>
  </si>
  <si>
    <t>S15x42.4</t>
  </si>
  <si>
    <t>S15x42</t>
  </si>
  <si>
    <t>S15x41.2</t>
  </si>
  <si>
    <t>S15x41</t>
  </si>
  <si>
    <t>S15x39</t>
  </si>
  <si>
    <t>S15x37.5</t>
  </si>
  <si>
    <t>S15x37.3</t>
  </si>
  <si>
    <t>S15x36</t>
  </si>
  <si>
    <t>S15x35</t>
  </si>
  <si>
    <t>S15x33</t>
  </si>
  <si>
    <t>S12x66.9</t>
  </si>
  <si>
    <t>S12x65</t>
  </si>
  <si>
    <t>S12x60</t>
  </si>
  <si>
    <t>S12x56.7</t>
  </si>
  <si>
    <t>S12x55.5</t>
  </si>
  <si>
    <t>S12x55</t>
  </si>
  <si>
    <t>S12x48</t>
  </si>
  <si>
    <t>S12x47.6</t>
  </si>
  <si>
    <t>S12x45</t>
  </si>
  <si>
    <t>S12x40</t>
  </si>
  <si>
    <t>S12x39.4</t>
  </si>
  <si>
    <t>S12x39</t>
  </si>
  <si>
    <t>S12x38.4</t>
  </si>
  <si>
    <t>S12x38</t>
  </si>
  <si>
    <t>S12x37.5</t>
  </si>
  <si>
    <t>S12x36.6</t>
  </si>
  <si>
    <t>S12x36</t>
  </si>
  <si>
    <t>S12x34.1</t>
  </si>
  <si>
    <t>S12x32</t>
  </si>
  <si>
    <t>S12x31.5</t>
  </si>
  <si>
    <t>S12x30.6</t>
  </si>
  <si>
    <t>S12x30</t>
  </si>
  <si>
    <t>S12x28</t>
  </si>
  <si>
    <t>S12x27.9</t>
  </si>
  <si>
    <t>S12x27.5</t>
  </si>
  <si>
    <t>S12x25</t>
  </si>
  <si>
    <t>S10x45</t>
  </si>
  <si>
    <t>S10x40</t>
  </si>
  <si>
    <t>S10x34.9</t>
  </si>
  <si>
    <t>S10x33</t>
  </si>
  <si>
    <t>S10x32</t>
  </si>
  <si>
    <t>S10x31.5</t>
  </si>
  <si>
    <t>S10x30.3</t>
  </si>
  <si>
    <t>S10x30.13</t>
  </si>
  <si>
    <t>S10x30.0</t>
  </si>
  <si>
    <t>S10x29.8</t>
  </si>
  <si>
    <t>S10x28</t>
  </si>
  <si>
    <t>S10x27</t>
  </si>
  <si>
    <t>S10x25.9</t>
  </si>
  <si>
    <t>S10x25.5</t>
  </si>
  <si>
    <t>S10x25</t>
  </si>
  <si>
    <t>S10x23.8</t>
  </si>
  <si>
    <t>S10x23.5</t>
  </si>
  <si>
    <t>S10x23</t>
  </si>
  <si>
    <t>S10x22</t>
  </si>
  <si>
    <t>S10x21</t>
  </si>
  <si>
    <t>S9x35</t>
  </si>
  <si>
    <t>S9x33</t>
  </si>
  <si>
    <t>S9x30</t>
  </si>
  <si>
    <t>S9x28.6</t>
  </si>
  <si>
    <t>S9x27</t>
  </si>
  <si>
    <t>S9x26</t>
  </si>
  <si>
    <t>S9x25</t>
  </si>
  <si>
    <t>S9x24.5</t>
  </si>
  <si>
    <t>S9x21.8</t>
  </si>
  <si>
    <t>S9x21</t>
  </si>
  <si>
    <t>S9x20.5</t>
  </si>
  <si>
    <t>S9x19.75</t>
  </si>
  <si>
    <t>S8x32</t>
  </si>
  <si>
    <t>S8x27</t>
  </si>
  <si>
    <t>S8x25.5</t>
  </si>
  <si>
    <t>S8x24.3</t>
  </si>
  <si>
    <t>S8x22</t>
  </si>
  <si>
    <t>S8x21</t>
  </si>
  <si>
    <t>S8x20.5</t>
  </si>
  <si>
    <t>S8x20</t>
  </si>
  <si>
    <t>S8x19</t>
  </si>
  <si>
    <t>S8x18</t>
  </si>
  <si>
    <t>S8x17</t>
  </si>
  <si>
    <t>S7x25.2</t>
  </si>
  <si>
    <t>S7x22</t>
  </si>
  <si>
    <t>S7x20</t>
  </si>
  <si>
    <t>S7x19</t>
  </si>
  <si>
    <t>S7x18</t>
  </si>
  <si>
    <t>S7x17.5</t>
  </si>
  <si>
    <t>S7x15</t>
  </si>
  <si>
    <t>S6x46.1</t>
  </si>
  <si>
    <t>S6x41</t>
  </si>
  <si>
    <t>S6x37.4</t>
  </si>
  <si>
    <t>S6x32.3</t>
  </si>
  <si>
    <t>S6x27.7</t>
  </si>
  <si>
    <t>S6x23.9</t>
  </si>
  <si>
    <t>S6x20</t>
  </si>
  <si>
    <t>S6x18</t>
  </si>
  <si>
    <t>S6x17.5</t>
  </si>
  <si>
    <t>S6x16.6</t>
  </si>
  <si>
    <t>S6x16</t>
  </si>
  <si>
    <t>S6x15.5</t>
  </si>
  <si>
    <t>S6x15.2</t>
  </si>
  <si>
    <t>S6x15</t>
  </si>
  <si>
    <t>S6x14.75</t>
  </si>
  <si>
    <t>S6x13</t>
  </si>
  <si>
    <t>S6x12</t>
  </si>
  <si>
    <t>S6x11.6</t>
  </si>
  <si>
    <t>S5x16</t>
  </si>
  <si>
    <t>S5x15</t>
  </si>
  <si>
    <t>S5x14</t>
  </si>
  <si>
    <t>S5x13</t>
  </si>
  <si>
    <t>S5x12</t>
  </si>
  <si>
    <t>S5x9.1</t>
  </si>
  <si>
    <t>S4x13.33</t>
  </si>
  <si>
    <t>S4x11.3</t>
  </si>
  <si>
    <t>S4x10</t>
  </si>
  <si>
    <t>S4x9</t>
  </si>
  <si>
    <t>S4x8</t>
  </si>
  <si>
    <t>S4x7</t>
  </si>
  <si>
    <t>S4x6</t>
  </si>
  <si>
    <t>S3.5x6</t>
  </si>
  <si>
    <t>S3x9</t>
  </si>
  <si>
    <t>S3x7</t>
  </si>
  <si>
    <t>S3x6</t>
  </si>
  <si>
    <t>S3x5.5</t>
  </si>
  <si>
    <t>15th</t>
  </si>
  <si>
    <t>Manual Edition</t>
  </si>
  <si>
    <t>HP13x100</t>
  </si>
  <si>
    <t>HP13x87</t>
  </si>
  <si>
    <t>HP13x73</t>
  </si>
  <si>
    <t>HP13x60</t>
  </si>
  <si>
    <t>S7x15.3</t>
  </si>
  <si>
    <t>S5x14.75</t>
  </si>
  <si>
    <t>M14x18</t>
  </si>
  <si>
    <t>M4x18.9</t>
  </si>
  <si>
    <t>W44x285</t>
  </si>
  <si>
    <t>W44x248</t>
  </si>
  <si>
    <t>W44x224</t>
  </si>
  <si>
    <t>W44x198</t>
  </si>
  <si>
    <t>W40x328</t>
  </si>
  <si>
    <t>W40x298</t>
  </si>
  <si>
    <t>W40x268</t>
  </si>
  <si>
    <t>W40x244</t>
  </si>
  <si>
    <t>W40x221</t>
  </si>
  <si>
    <t>W40x192</t>
  </si>
  <si>
    <t>W40x531</t>
  </si>
  <si>
    <t>W40x480</t>
  </si>
  <si>
    <t>W40x436</t>
  </si>
  <si>
    <t>W36x720</t>
  </si>
  <si>
    <t>W36x588</t>
  </si>
  <si>
    <t>W36x485</t>
  </si>
  <si>
    <t>W33x619</t>
  </si>
  <si>
    <t>W33x567</t>
  </si>
  <si>
    <t>W33x515</t>
  </si>
  <si>
    <t>W33x468</t>
  </si>
  <si>
    <t>W33x424</t>
  </si>
  <si>
    <t>W30x581</t>
  </si>
  <si>
    <t>W30x526</t>
  </si>
  <si>
    <t>W30x433</t>
  </si>
  <si>
    <t>W30x351</t>
  </si>
  <si>
    <t>W27x494</t>
  </si>
  <si>
    <t>W27x407</t>
  </si>
  <si>
    <t>W24x450</t>
  </si>
  <si>
    <t>W21x402</t>
  </si>
  <si>
    <t>W21x364</t>
  </si>
  <si>
    <t>W21x333</t>
  </si>
  <si>
    <t>W21x300</t>
  </si>
  <si>
    <t>W21x249</t>
  </si>
  <si>
    <t>M6x20</t>
  </si>
  <si>
    <t>M4x13</t>
  </si>
  <si>
    <t>W27x28</t>
  </si>
  <si>
    <t>W13x426</t>
  </si>
  <si>
    <t>W13x398</t>
  </si>
  <si>
    <t>W13x370</t>
  </si>
  <si>
    <t>W13x342</t>
  </si>
  <si>
    <t>W13x311</t>
  </si>
  <si>
    <t>W13x283</t>
  </si>
  <si>
    <t>W13x257</t>
  </si>
  <si>
    <t>W13x233</t>
  </si>
  <si>
    <t>W13x211</t>
  </si>
  <si>
    <t>W13x193</t>
  </si>
  <si>
    <t>W13x176</t>
  </si>
  <si>
    <t>W13x159</t>
  </si>
  <si>
    <t>W13x145</t>
  </si>
  <si>
    <t>M14x7.4</t>
  </si>
  <si>
    <t>M12x6.8</t>
  </si>
  <si>
    <t>M10x6.5</t>
  </si>
  <si>
    <t>M8x6</t>
  </si>
  <si>
    <t>M6x7.8</t>
  </si>
  <si>
    <t>M6x5.4</t>
  </si>
  <si>
    <t>M5x6</t>
  </si>
  <si>
    <t>M4x5.3</t>
  </si>
  <si>
    <t>M14x17.2</t>
  </si>
  <si>
    <t>M10x29.1</t>
  </si>
  <si>
    <t>M10x22.9</t>
  </si>
  <si>
    <t>M8x37.7</t>
  </si>
  <si>
    <t>M8x34.3</t>
  </si>
  <si>
    <t>M8x32.6</t>
  </si>
  <si>
    <t>M8x22.5</t>
  </si>
  <si>
    <t>M8x18.5</t>
  </si>
  <si>
    <t>M7x5.5</t>
  </si>
  <si>
    <t>M6x33.75</t>
  </si>
  <si>
    <t>M6x22.5</t>
  </si>
  <si>
    <t>M4x16.3</t>
  </si>
  <si>
    <t>M4x13.8</t>
  </si>
  <si>
    <t>W33x240</t>
  </si>
  <si>
    <t>W33x220</t>
  </si>
  <si>
    <t>W33x200</t>
  </si>
  <si>
    <t>W30x210</t>
  </si>
  <si>
    <t>W30x190</t>
  </si>
  <si>
    <t>W30x172</t>
  </si>
  <si>
    <t>W27x177</t>
  </si>
  <si>
    <t>W27x160</t>
  </si>
  <si>
    <t>W27x145</t>
  </si>
  <si>
    <t>W24x160</t>
  </si>
  <si>
    <t>W24x145</t>
  </si>
  <si>
    <t>W24x130</t>
  </si>
  <si>
    <t>W24x120</t>
  </si>
  <si>
    <t>W24x110</t>
  </si>
  <si>
    <t>W24x100</t>
  </si>
  <si>
    <t>W24x61</t>
  </si>
  <si>
    <t>W21x142</t>
  </si>
  <si>
    <t>W21x127</t>
  </si>
  <si>
    <t>W21x112</t>
  </si>
  <si>
    <t>W21x96</t>
  </si>
  <si>
    <t>W21x82</t>
  </si>
  <si>
    <t>W21x49</t>
  </si>
  <si>
    <t>W18x114</t>
  </si>
  <si>
    <t>W18x105</t>
  </si>
  <si>
    <t>W18x96</t>
  </si>
  <si>
    <t>W18x85</t>
  </si>
  <si>
    <t>W18x77</t>
  </si>
  <si>
    <t>W18x70</t>
  </si>
  <si>
    <t>W18x64</t>
  </si>
  <si>
    <t>W18x45</t>
  </si>
  <si>
    <t>W16x96</t>
  </si>
  <si>
    <t>W16x88</t>
  </si>
  <si>
    <t>W16x78</t>
  </si>
  <si>
    <t>W16x71</t>
  </si>
  <si>
    <t>W16x64</t>
  </si>
  <si>
    <t>W16x58</t>
  </si>
  <si>
    <t>W14x314</t>
  </si>
  <si>
    <t>W14x287</t>
  </si>
  <si>
    <t>W14x264</t>
  </si>
  <si>
    <t>W14x246</t>
  </si>
  <si>
    <t>W14x237</t>
  </si>
  <si>
    <t>W14x228</t>
  </si>
  <si>
    <t>W14x219</t>
  </si>
  <si>
    <t>W14x202</t>
  </si>
  <si>
    <t>W14x184</t>
  </si>
  <si>
    <t>W14x167</t>
  </si>
  <si>
    <t>W14x158</t>
  </si>
  <si>
    <t>W14x150</t>
  </si>
  <si>
    <t>W14x142</t>
  </si>
  <si>
    <t>W14x320</t>
  </si>
  <si>
    <t>W14x136</t>
  </si>
  <si>
    <t>W14x127</t>
  </si>
  <si>
    <t>W14x119</t>
  </si>
  <si>
    <t>W14x111</t>
  </si>
  <si>
    <t>W14x103</t>
  </si>
  <si>
    <t>W14x95</t>
  </si>
  <si>
    <t>W14x87</t>
  </si>
  <si>
    <t>W14x84</t>
  </si>
  <si>
    <t>W14x78</t>
  </si>
  <si>
    <t>W12x161</t>
  </si>
  <si>
    <t>W12x133</t>
  </si>
  <si>
    <t>W12x99</t>
  </si>
  <si>
    <t>W12x92</t>
  </si>
  <si>
    <t>W12x85</t>
  </si>
  <si>
    <t>W12x36</t>
  </si>
  <si>
    <t>W12x31</t>
  </si>
  <si>
    <t>W12x27</t>
  </si>
  <si>
    <t>W12x16.5</t>
  </si>
  <si>
    <t>W10x89</t>
  </si>
  <si>
    <t>W10x72</t>
  </si>
  <si>
    <t>W10x66</t>
  </si>
  <si>
    <t>W10x29</t>
  </si>
  <si>
    <t>W10x25</t>
  </si>
  <si>
    <t>W10x21</t>
  </si>
  <si>
    <t>W10x11.5</t>
  </si>
  <si>
    <t>W8x20</t>
  </si>
  <si>
    <t>W8x17</t>
  </si>
  <si>
    <t>W6x15.5</t>
  </si>
  <si>
    <t>W5x18.5</t>
  </si>
  <si>
    <t>B16x31</t>
  </si>
  <si>
    <t>B16x26</t>
  </si>
  <si>
    <t>B14x26</t>
  </si>
  <si>
    <t>B14x22</t>
  </si>
  <si>
    <t>B14x17.2</t>
  </si>
  <si>
    <t>B12x22</t>
  </si>
  <si>
    <t>B12x19</t>
  </si>
  <si>
    <t>B12x16.5</t>
  </si>
  <si>
    <t>B12x14</t>
  </si>
  <si>
    <t>M10x21</t>
  </si>
  <si>
    <t>B10x19</t>
  </si>
  <si>
    <t>B10x17</t>
  </si>
  <si>
    <t>B10x15</t>
  </si>
  <si>
    <t>B10x11.5</t>
  </si>
  <si>
    <t>M8x28</t>
  </si>
  <si>
    <t>M8x24</t>
  </si>
  <si>
    <t>M8x20</t>
  </si>
  <si>
    <t>M8x17</t>
  </si>
  <si>
    <t>B8x15</t>
  </si>
  <si>
    <t>B8x13</t>
  </si>
  <si>
    <t>B8x10</t>
  </si>
  <si>
    <t>B6x16</t>
  </si>
  <si>
    <t>B6x12</t>
  </si>
  <si>
    <t>B6x8.5</t>
  </si>
  <si>
    <t>M9x32.6</t>
  </si>
  <si>
    <t>LWF6x25</t>
  </si>
  <si>
    <t>M6x25</t>
  </si>
  <si>
    <t>LWF6x20</t>
  </si>
  <si>
    <t>LWF6x15.5</t>
  </si>
  <si>
    <t>LWF5x18.5</t>
  </si>
  <si>
    <t>LWF5x16</t>
  </si>
  <si>
    <t>LWF4x13</t>
  </si>
  <si>
    <t>JR12x11.8</t>
  </si>
  <si>
    <t>JR10x9</t>
  </si>
  <si>
    <t>JR8x6.5</t>
  </si>
  <si>
    <t>JR7x5.5</t>
  </si>
  <si>
    <t>JR6x4.4</t>
  </si>
  <si>
    <t>BWF6x25</t>
  </si>
  <si>
    <t>BWF6x20</t>
  </si>
  <si>
    <t>BWF6x15.5</t>
  </si>
  <si>
    <t>BWF5x18.5</t>
  </si>
  <si>
    <t>BWF5x16</t>
  </si>
  <si>
    <t>BWF4x13</t>
  </si>
  <si>
    <t>BWF4x10</t>
  </si>
  <si>
    <t>BLB14x17.2</t>
  </si>
  <si>
    <t>BLB12x22</t>
  </si>
  <si>
    <t>BLB12x19</t>
  </si>
  <si>
    <t>BLB12x16.5</t>
  </si>
  <si>
    <t>BLB10x19</t>
  </si>
  <si>
    <t>BLB10x17</t>
  </si>
  <si>
    <t>BLB10x15</t>
  </si>
  <si>
    <t>BLB8x15</t>
  </si>
  <si>
    <t>BLB8x13</t>
  </si>
  <si>
    <t>BLB6x16</t>
  </si>
  <si>
    <t>BLB6x12</t>
  </si>
  <si>
    <t>BJ12x14</t>
  </si>
  <si>
    <t>BJ10x11.5</t>
  </si>
  <si>
    <t>BJ8x10</t>
  </si>
  <si>
    <t>BJ6x8.5</t>
  </si>
  <si>
    <t>S3x5.1</t>
  </si>
  <si>
    <t>Flange Local Buckling Factor</t>
  </si>
  <si>
    <t>Controlling Flange Local Buckling</t>
  </si>
  <si>
    <t>Controlling LTB vs. Yielding Strength</t>
  </si>
  <si>
    <t>Required Major Axis Bending Strength</t>
  </si>
  <si>
    <t>Required Minor Axis Bending Strength</t>
  </si>
  <si>
    <t>Required Compressive Strength</t>
  </si>
  <si>
    <t>Required Tensile Strength</t>
  </si>
  <si>
    <t>Ultimate Strength</t>
  </si>
  <si>
    <t>Tensile Utilization</t>
  </si>
  <si>
    <t>VLOOKUP Column #:</t>
  </si>
  <si>
    <t>Required Shear Strength</t>
  </si>
  <si>
    <t>2.24*sqrt(E/Fy)</t>
  </si>
  <si>
    <t>1.1*sqrt(kv*E/Fy)</t>
  </si>
  <si>
    <t>Ω</t>
  </si>
  <si>
    <t>kip/ft</t>
  </si>
  <si>
    <t>Tributary Width</t>
  </si>
  <si>
    <t>Member Self-Weight</t>
  </si>
  <si>
    <t>plf</t>
  </si>
  <si>
    <t>psf</t>
  </si>
  <si>
    <t>Distributed Dead Load</t>
  </si>
  <si>
    <t>Concentrated Dead Load</t>
  </si>
  <si>
    <t>Live Load Moment</t>
  </si>
  <si>
    <t>Live Load Shear</t>
  </si>
  <si>
    <t>Dead Load Shear</t>
  </si>
  <si>
    <t>Dead Load Moment</t>
  </si>
  <si>
    <t>Deflection</t>
  </si>
  <si>
    <t>Live Load Deflection</t>
  </si>
  <si>
    <t>Distributed Live Load</t>
  </si>
  <si>
    <t>Concentrated Live Load</t>
  </si>
  <si>
    <t>Area Moment of Inertia x-x</t>
  </si>
  <si>
    <t>Area Moment of Inertia y-y</t>
  </si>
  <si>
    <t>Live Load Deflection Limit</t>
  </si>
  <si>
    <t>Total Load Deflection Limit</t>
  </si>
  <si>
    <t>Total Load Deflection</t>
  </si>
  <si>
    <r>
      <t>V</t>
    </r>
    <r>
      <rPr>
        <vertAlign val="subscript"/>
        <sz val="10"/>
        <color theme="1"/>
        <rFont val="Calibri"/>
        <family val="2"/>
        <scheme val="minor"/>
      </rPr>
      <t>r</t>
    </r>
  </si>
  <si>
    <r>
      <t>I</t>
    </r>
    <r>
      <rPr>
        <vertAlign val="subscript"/>
        <sz val="10"/>
        <color theme="1"/>
        <rFont val="Calibri"/>
        <family val="2"/>
        <scheme val="minor"/>
      </rPr>
      <t>x</t>
    </r>
  </si>
  <si>
    <r>
      <t>in</t>
    </r>
    <r>
      <rPr>
        <vertAlign val="superscript"/>
        <sz val="10"/>
        <color theme="1"/>
        <rFont val="Calibri"/>
        <family val="2"/>
        <scheme val="minor"/>
      </rPr>
      <t>4</t>
    </r>
  </si>
  <si>
    <r>
      <t>W</t>
    </r>
    <r>
      <rPr>
        <vertAlign val="subscript"/>
        <sz val="10"/>
        <color theme="1"/>
        <rFont val="Calibri"/>
        <family val="2"/>
        <scheme val="minor"/>
      </rPr>
      <t>T</t>
    </r>
  </si>
  <si>
    <r>
      <t>M</t>
    </r>
    <r>
      <rPr>
        <vertAlign val="subscript"/>
        <sz val="10"/>
        <color theme="1"/>
        <rFont val="Calibri"/>
        <family val="2"/>
        <scheme val="minor"/>
      </rPr>
      <t>r</t>
    </r>
  </si>
  <si>
    <t>%</t>
  </si>
  <si>
    <t>Corroded Properties</t>
  </si>
  <si>
    <t>Top Flange Thickness</t>
  </si>
  <si>
    <t>Bottom Flange Thickness</t>
  </si>
  <si>
    <t>Fillet Area</t>
  </si>
  <si>
    <t>Top Flange Area</t>
  </si>
  <si>
    <t>Web Area</t>
  </si>
  <si>
    <t>Bottom Flange Area</t>
  </si>
  <si>
    <t>Gross Area</t>
  </si>
  <si>
    <t>Web Height</t>
  </si>
  <si>
    <t>Top Flange Moment of Inertia x-x</t>
  </si>
  <si>
    <t>Web Moment of Inertia x-x</t>
  </si>
  <si>
    <t>Bottom Flange Moment of Inertia x-x</t>
  </si>
  <si>
    <t>Top Flange Moment of Inertia y-y</t>
  </si>
  <si>
    <t>Web Moment of Inertia y-y</t>
  </si>
  <si>
    <t>Bottom Flange Moment of Inertia y-y</t>
  </si>
  <si>
    <t>Compression Area</t>
  </si>
  <si>
    <t>Tension Area</t>
  </si>
  <si>
    <r>
      <t>F</t>
    </r>
    <r>
      <rPr>
        <vertAlign val="subscript"/>
        <sz val="10"/>
        <color theme="1"/>
        <rFont val="Calibri"/>
        <family val="2"/>
        <scheme val="minor"/>
      </rPr>
      <t>y</t>
    </r>
  </si>
  <si>
    <r>
      <t>F</t>
    </r>
    <r>
      <rPr>
        <vertAlign val="subscript"/>
        <sz val="10"/>
        <color theme="1"/>
        <rFont val="Calibri"/>
        <family val="2"/>
        <scheme val="minor"/>
      </rPr>
      <t>u</t>
    </r>
  </si>
  <si>
    <r>
      <t>L</t>
    </r>
    <r>
      <rPr>
        <vertAlign val="subscript"/>
        <sz val="10"/>
        <color theme="1"/>
        <rFont val="Calibri"/>
        <family val="2"/>
        <scheme val="minor"/>
      </rPr>
      <t>b</t>
    </r>
  </si>
  <si>
    <r>
      <t>L</t>
    </r>
    <r>
      <rPr>
        <vertAlign val="subscript"/>
        <sz val="10"/>
        <color theme="1"/>
        <rFont val="Calibri"/>
        <family val="2"/>
        <scheme val="minor"/>
      </rPr>
      <t>x</t>
    </r>
  </si>
  <si>
    <r>
      <t>L</t>
    </r>
    <r>
      <rPr>
        <vertAlign val="subscript"/>
        <sz val="10"/>
        <color theme="1"/>
        <rFont val="Calibri"/>
        <family val="2"/>
        <scheme val="minor"/>
      </rPr>
      <t>y</t>
    </r>
  </si>
  <si>
    <r>
      <t>A</t>
    </r>
    <r>
      <rPr>
        <vertAlign val="subscript"/>
        <sz val="10"/>
        <color theme="1"/>
        <rFont val="Calibri"/>
        <family val="2"/>
        <scheme val="minor"/>
      </rPr>
      <t>g</t>
    </r>
  </si>
  <si>
    <r>
      <t>in</t>
    </r>
    <r>
      <rPr>
        <vertAlign val="superscript"/>
        <sz val="10"/>
        <color theme="1"/>
        <rFont val="Calibri"/>
        <family val="2"/>
        <scheme val="minor"/>
      </rPr>
      <t>2</t>
    </r>
  </si>
  <si>
    <r>
      <t>b</t>
    </r>
    <r>
      <rPr>
        <vertAlign val="subscript"/>
        <sz val="10"/>
        <color theme="1"/>
        <rFont val="Calibri"/>
        <family val="2"/>
        <scheme val="minor"/>
      </rPr>
      <t>f</t>
    </r>
  </si>
  <si>
    <r>
      <t>t</t>
    </r>
    <r>
      <rPr>
        <vertAlign val="subscript"/>
        <sz val="10"/>
        <color theme="1"/>
        <rFont val="Calibri"/>
        <family val="2"/>
        <scheme val="minor"/>
      </rPr>
      <t>w</t>
    </r>
  </si>
  <si>
    <r>
      <t>t</t>
    </r>
    <r>
      <rPr>
        <vertAlign val="subscript"/>
        <sz val="10"/>
        <color theme="1"/>
        <rFont val="Calibri"/>
        <family val="2"/>
        <scheme val="minor"/>
      </rPr>
      <t>f</t>
    </r>
  </si>
  <si>
    <r>
      <t>A</t>
    </r>
    <r>
      <rPr>
        <vertAlign val="subscript"/>
        <sz val="10"/>
        <color theme="1"/>
        <rFont val="Calibri"/>
        <family val="2"/>
        <scheme val="minor"/>
      </rPr>
      <t>fillet</t>
    </r>
  </si>
  <si>
    <r>
      <t>Z</t>
    </r>
    <r>
      <rPr>
        <vertAlign val="subscript"/>
        <sz val="10"/>
        <color theme="1"/>
        <rFont val="Calibri"/>
        <family val="2"/>
        <scheme val="minor"/>
      </rPr>
      <t>x</t>
    </r>
  </si>
  <si>
    <r>
      <t>in</t>
    </r>
    <r>
      <rPr>
        <vertAlign val="superscript"/>
        <sz val="10"/>
        <color theme="1"/>
        <rFont val="Calibri"/>
        <family val="2"/>
        <scheme val="minor"/>
      </rPr>
      <t>3</t>
    </r>
  </si>
  <si>
    <r>
      <t>S</t>
    </r>
    <r>
      <rPr>
        <vertAlign val="subscript"/>
        <sz val="10"/>
        <color theme="1"/>
        <rFont val="Calibri"/>
        <family val="2"/>
        <scheme val="minor"/>
      </rPr>
      <t>x</t>
    </r>
  </si>
  <si>
    <r>
      <t>r</t>
    </r>
    <r>
      <rPr>
        <vertAlign val="subscript"/>
        <sz val="10"/>
        <color theme="1"/>
        <rFont val="Calibri"/>
        <family val="2"/>
        <scheme val="minor"/>
      </rPr>
      <t>x</t>
    </r>
  </si>
  <si>
    <r>
      <t>I</t>
    </r>
    <r>
      <rPr>
        <vertAlign val="subscript"/>
        <sz val="10"/>
        <color theme="1"/>
        <rFont val="Calibri"/>
        <family val="2"/>
        <scheme val="minor"/>
      </rPr>
      <t>y</t>
    </r>
  </si>
  <si>
    <r>
      <t>Z</t>
    </r>
    <r>
      <rPr>
        <vertAlign val="subscript"/>
        <sz val="10"/>
        <color theme="1"/>
        <rFont val="Calibri"/>
        <family val="2"/>
        <scheme val="minor"/>
      </rPr>
      <t>y</t>
    </r>
  </si>
  <si>
    <r>
      <t>S</t>
    </r>
    <r>
      <rPr>
        <vertAlign val="subscript"/>
        <sz val="10"/>
        <color theme="1"/>
        <rFont val="Calibri"/>
        <family val="2"/>
        <scheme val="minor"/>
      </rPr>
      <t>y</t>
    </r>
  </si>
  <si>
    <r>
      <t>r</t>
    </r>
    <r>
      <rPr>
        <vertAlign val="subscript"/>
        <sz val="10"/>
        <color theme="1"/>
        <rFont val="Calibri"/>
        <family val="2"/>
        <scheme val="minor"/>
      </rPr>
      <t>y</t>
    </r>
  </si>
  <si>
    <r>
      <t>C</t>
    </r>
    <r>
      <rPr>
        <vertAlign val="subscript"/>
        <sz val="10"/>
        <color theme="1"/>
        <rFont val="Calibri"/>
        <family val="2"/>
        <scheme val="minor"/>
      </rPr>
      <t>w</t>
    </r>
  </si>
  <si>
    <r>
      <t>in</t>
    </r>
    <r>
      <rPr>
        <vertAlign val="superscript"/>
        <sz val="10"/>
        <color theme="1"/>
        <rFont val="Calibri"/>
        <family val="2"/>
        <scheme val="minor"/>
      </rPr>
      <t>6</t>
    </r>
  </si>
  <si>
    <r>
      <t>r</t>
    </r>
    <r>
      <rPr>
        <vertAlign val="subscript"/>
        <sz val="10"/>
        <color theme="1"/>
        <rFont val="Calibri"/>
        <family val="2"/>
        <scheme val="minor"/>
      </rPr>
      <t>ts</t>
    </r>
  </si>
  <si>
    <r>
      <t>h</t>
    </r>
    <r>
      <rPr>
        <vertAlign val="subscript"/>
        <sz val="10"/>
        <color theme="1"/>
        <rFont val="Calibri"/>
        <family val="2"/>
        <scheme val="minor"/>
      </rPr>
      <t>o</t>
    </r>
  </si>
  <si>
    <r>
      <t>k</t>
    </r>
    <r>
      <rPr>
        <vertAlign val="subscript"/>
        <sz val="10"/>
        <color theme="1"/>
        <rFont val="Calibri"/>
        <family val="2"/>
        <scheme val="minor"/>
      </rPr>
      <t>des</t>
    </r>
  </si>
  <si>
    <r>
      <t>C</t>
    </r>
    <r>
      <rPr>
        <vertAlign val="subscript"/>
        <sz val="10"/>
        <color theme="1"/>
        <rFont val="Calibri"/>
        <family val="2"/>
        <scheme val="minor"/>
      </rPr>
      <t>v1</t>
    </r>
  </si>
  <si>
    <r>
      <t>L</t>
    </r>
    <r>
      <rPr>
        <vertAlign val="subscript"/>
        <sz val="10"/>
        <color theme="1"/>
        <rFont val="Calibri"/>
        <family val="2"/>
        <scheme val="minor"/>
      </rPr>
      <t>p</t>
    </r>
  </si>
  <si>
    <r>
      <t>L</t>
    </r>
    <r>
      <rPr>
        <vertAlign val="subscript"/>
        <sz val="10"/>
        <color theme="1"/>
        <rFont val="Calibri"/>
        <family val="2"/>
        <scheme val="minor"/>
      </rPr>
      <t>r</t>
    </r>
  </si>
  <si>
    <r>
      <t>M</t>
    </r>
    <r>
      <rPr>
        <vertAlign val="subscript"/>
        <sz val="10"/>
        <color theme="1"/>
        <rFont val="Calibri"/>
        <family val="2"/>
        <scheme val="minor"/>
      </rPr>
      <t>p</t>
    </r>
  </si>
  <si>
    <r>
      <t>M</t>
    </r>
    <r>
      <rPr>
        <vertAlign val="subscript"/>
        <sz val="10"/>
        <color theme="1"/>
        <rFont val="Calibri"/>
        <family val="2"/>
        <scheme val="minor"/>
      </rPr>
      <t>n1</t>
    </r>
  </si>
  <si>
    <r>
      <t>M</t>
    </r>
    <r>
      <rPr>
        <vertAlign val="subscript"/>
        <sz val="10"/>
        <color theme="1"/>
        <rFont val="Calibri"/>
        <family val="2"/>
        <scheme val="minor"/>
      </rPr>
      <t>n2</t>
    </r>
  </si>
  <si>
    <r>
      <t>M</t>
    </r>
    <r>
      <rPr>
        <vertAlign val="subscript"/>
        <sz val="10"/>
        <color theme="1"/>
        <rFont val="Calibri"/>
        <family val="2"/>
        <scheme val="minor"/>
      </rPr>
      <t>nx</t>
    </r>
  </si>
  <si>
    <r>
      <t>k</t>
    </r>
    <r>
      <rPr>
        <vertAlign val="subscript"/>
        <sz val="10"/>
        <color theme="1"/>
        <rFont val="Calibri"/>
        <family val="2"/>
        <scheme val="minor"/>
      </rPr>
      <t>c</t>
    </r>
  </si>
  <si>
    <r>
      <t>M</t>
    </r>
    <r>
      <rPr>
        <vertAlign val="subscript"/>
        <sz val="10"/>
        <color theme="1"/>
        <rFont val="Calibri"/>
        <family val="2"/>
        <scheme val="minor"/>
      </rPr>
      <t>nflange</t>
    </r>
  </si>
  <si>
    <r>
      <t>M</t>
    </r>
    <r>
      <rPr>
        <vertAlign val="subscript"/>
        <sz val="10"/>
        <color theme="1"/>
        <rFont val="Calibri"/>
        <family val="2"/>
        <scheme val="minor"/>
      </rPr>
      <t>ny</t>
    </r>
  </si>
  <si>
    <r>
      <t>KL</t>
    </r>
    <r>
      <rPr>
        <vertAlign val="subscript"/>
        <sz val="10"/>
        <color theme="1"/>
        <rFont val="Calibri"/>
        <family val="2"/>
        <scheme val="minor"/>
      </rPr>
      <t>x</t>
    </r>
    <r>
      <rPr>
        <sz val="10"/>
        <color theme="1"/>
        <rFont val="Calibri"/>
        <family val="2"/>
        <scheme val="minor"/>
      </rPr>
      <t>/r</t>
    </r>
    <r>
      <rPr>
        <vertAlign val="subscript"/>
        <sz val="10"/>
        <color theme="1"/>
        <rFont val="Calibri"/>
        <family val="2"/>
        <scheme val="minor"/>
      </rPr>
      <t>x</t>
    </r>
  </si>
  <si>
    <r>
      <t>KL</t>
    </r>
    <r>
      <rPr>
        <vertAlign val="subscript"/>
        <sz val="10"/>
        <color theme="1"/>
        <rFont val="Calibri"/>
        <family val="2"/>
        <scheme val="minor"/>
      </rPr>
      <t>y</t>
    </r>
    <r>
      <rPr>
        <sz val="10"/>
        <color theme="1"/>
        <rFont val="Calibri"/>
        <family val="2"/>
        <scheme val="minor"/>
      </rPr>
      <t>/r</t>
    </r>
    <r>
      <rPr>
        <vertAlign val="subscript"/>
        <sz val="10"/>
        <color theme="1"/>
        <rFont val="Calibri"/>
        <family val="2"/>
        <scheme val="minor"/>
      </rPr>
      <t>y</t>
    </r>
  </si>
  <si>
    <r>
      <t>F</t>
    </r>
    <r>
      <rPr>
        <vertAlign val="subscript"/>
        <sz val="10"/>
        <color theme="1"/>
        <rFont val="Calibri"/>
        <family val="2"/>
        <scheme val="minor"/>
      </rPr>
      <t>e</t>
    </r>
  </si>
  <si>
    <r>
      <t>F</t>
    </r>
    <r>
      <rPr>
        <vertAlign val="subscript"/>
        <sz val="10"/>
        <color theme="1"/>
        <rFont val="Calibri"/>
        <family val="2"/>
        <scheme val="minor"/>
      </rPr>
      <t>cr</t>
    </r>
  </si>
  <si>
    <r>
      <t>P</t>
    </r>
    <r>
      <rPr>
        <vertAlign val="subscript"/>
        <sz val="10"/>
        <color theme="1"/>
        <rFont val="Calibri"/>
        <family val="2"/>
        <scheme val="minor"/>
      </rPr>
      <t>n</t>
    </r>
  </si>
  <si>
    <r>
      <t>Net Cross-Sectional Area (0.75*A</t>
    </r>
    <r>
      <rPr>
        <vertAlign val="subscript"/>
        <sz val="10"/>
        <color theme="1"/>
        <rFont val="Calibri"/>
        <family val="2"/>
        <scheme val="minor"/>
      </rPr>
      <t>g</t>
    </r>
    <r>
      <rPr>
        <sz val="10"/>
        <color theme="1"/>
        <rFont val="Calibri"/>
        <family val="2"/>
        <scheme val="minor"/>
      </rPr>
      <t>)</t>
    </r>
  </si>
  <si>
    <r>
      <t>A</t>
    </r>
    <r>
      <rPr>
        <vertAlign val="subscript"/>
        <sz val="10"/>
        <color theme="1"/>
        <rFont val="Calibri"/>
        <family val="2"/>
        <scheme val="minor"/>
      </rPr>
      <t>n</t>
    </r>
  </si>
  <si>
    <r>
      <t>F</t>
    </r>
    <r>
      <rPr>
        <vertAlign val="subscript"/>
        <sz val="10"/>
        <color theme="1"/>
        <rFont val="Calibri"/>
        <family val="2"/>
        <scheme val="minor"/>
      </rPr>
      <t>y</t>
    </r>
    <r>
      <rPr>
        <sz val="10"/>
        <color theme="1"/>
        <rFont val="Calibri"/>
        <family val="2"/>
        <scheme val="minor"/>
      </rPr>
      <t>*A</t>
    </r>
    <r>
      <rPr>
        <vertAlign val="subscript"/>
        <sz val="10"/>
        <color theme="1"/>
        <rFont val="Calibri"/>
        <family val="2"/>
        <scheme val="minor"/>
      </rPr>
      <t>g</t>
    </r>
  </si>
  <si>
    <r>
      <t>F</t>
    </r>
    <r>
      <rPr>
        <vertAlign val="subscript"/>
        <sz val="10"/>
        <color theme="1"/>
        <rFont val="Calibri"/>
        <family val="2"/>
        <scheme val="minor"/>
      </rPr>
      <t>u</t>
    </r>
    <r>
      <rPr>
        <sz val="10"/>
        <color theme="1"/>
        <rFont val="Calibri"/>
        <family val="2"/>
        <scheme val="minor"/>
      </rPr>
      <t>*A</t>
    </r>
    <r>
      <rPr>
        <vertAlign val="subscript"/>
        <sz val="10"/>
        <color theme="1"/>
        <rFont val="Calibri"/>
        <family val="2"/>
        <scheme val="minor"/>
      </rPr>
      <t>e</t>
    </r>
  </si>
  <si>
    <r>
      <t>M</t>
    </r>
    <r>
      <rPr>
        <vertAlign val="subscript"/>
        <sz val="10"/>
        <color theme="1"/>
        <rFont val="Calibri"/>
        <family val="2"/>
        <scheme val="minor"/>
      </rPr>
      <t>rx</t>
    </r>
    <r>
      <rPr>
        <sz val="10"/>
        <color theme="1"/>
        <rFont val="Calibri"/>
        <family val="2"/>
        <scheme val="minor"/>
      </rPr>
      <t>/M</t>
    </r>
    <r>
      <rPr>
        <vertAlign val="subscript"/>
        <sz val="10"/>
        <color theme="1"/>
        <rFont val="Calibri"/>
        <family val="2"/>
        <scheme val="minor"/>
      </rPr>
      <t>cx</t>
    </r>
  </si>
  <si>
    <r>
      <t>M</t>
    </r>
    <r>
      <rPr>
        <vertAlign val="subscript"/>
        <sz val="10"/>
        <color theme="1"/>
        <rFont val="Calibri"/>
        <family val="2"/>
        <scheme val="minor"/>
      </rPr>
      <t>ry</t>
    </r>
    <r>
      <rPr>
        <sz val="10"/>
        <color theme="1"/>
        <rFont val="Calibri"/>
        <family val="2"/>
        <scheme val="minor"/>
      </rPr>
      <t>/M</t>
    </r>
    <r>
      <rPr>
        <vertAlign val="subscript"/>
        <sz val="10"/>
        <color theme="1"/>
        <rFont val="Calibri"/>
        <family val="2"/>
        <scheme val="minor"/>
      </rPr>
      <t>cy</t>
    </r>
  </si>
  <si>
    <r>
      <t>P</t>
    </r>
    <r>
      <rPr>
        <vertAlign val="subscript"/>
        <sz val="10"/>
        <color theme="1"/>
        <rFont val="Calibri"/>
        <family val="2"/>
        <scheme val="minor"/>
      </rPr>
      <t>rc</t>
    </r>
    <r>
      <rPr>
        <sz val="10"/>
        <color theme="1"/>
        <rFont val="Calibri"/>
        <family val="2"/>
        <scheme val="minor"/>
      </rPr>
      <t>/P</t>
    </r>
    <r>
      <rPr>
        <vertAlign val="subscript"/>
        <sz val="10"/>
        <color theme="1"/>
        <rFont val="Calibri"/>
        <family val="2"/>
        <scheme val="minor"/>
      </rPr>
      <t>cc</t>
    </r>
  </si>
  <si>
    <r>
      <t>P</t>
    </r>
    <r>
      <rPr>
        <vertAlign val="subscript"/>
        <sz val="10"/>
        <color theme="1"/>
        <rFont val="Calibri"/>
        <family val="2"/>
        <scheme val="minor"/>
      </rPr>
      <t>rt</t>
    </r>
    <r>
      <rPr>
        <sz val="10"/>
        <color theme="1"/>
        <rFont val="Calibri"/>
        <family val="2"/>
        <scheme val="minor"/>
      </rPr>
      <t>/P</t>
    </r>
    <r>
      <rPr>
        <vertAlign val="subscript"/>
        <sz val="10"/>
        <color theme="1"/>
        <rFont val="Calibri"/>
        <family val="2"/>
        <scheme val="minor"/>
      </rPr>
      <t>ct</t>
    </r>
  </si>
  <si>
    <r>
      <t>t</t>
    </r>
    <r>
      <rPr>
        <vertAlign val="subscript"/>
        <sz val="10"/>
        <color theme="1"/>
        <rFont val="Calibri"/>
        <family val="2"/>
        <scheme val="minor"/>
      </rPr>
      <t>f1</t>
    </r>
  </si>
  <si>
    <r>
      <t>t</t>
    </r>
    <r>
      <rPr>
        <vertAlign val="subscript"/>
        <sz val="10"/>
        <color theme="1"/>
        <rFont val="Calibri"/>
        <family val="2"/>
        <scheme val="minor"/>
      </rPr>
      <t>f2</t>
    </r>
  </si>
  <si>
    <r>
      <t>d</t>
    </r>
    <r>
      <rPr>
        <vertAlign val="subscript"/>
        <sz val="10"/>
        <color theme="1"/>
        <rFont val="Calibri"/>
        <family val="2"/>
        <scheme val="minor"/>
      </rPr>
      <t>w</t>
    </r>
  </si>
  <si>
    <r>
      <t>A</t>
    </r>
    <r>
      <rPr>
        <vertAlign val="subscript"/>
        <sz val="10"/>
        <color theme="1"/>
        <rFont val="Calibri"/>
        <family val="2"/>
        <scheme val="minor"/>
      </rPr>
      <t>f1</t>
    </r>
  </si>
  <si>
    <r>
      <t>A</t>
    </r>
    <r>
      <rPr>
        <vertAlign val="subscript"/>
        <sz val="10"/>
        <color theme="1"/>
        <rFont val="Calibri"/>
        <family val="2"/>
        <scheme val="minor"/>
      </rPr>
      <t>w</t>
    </r>
  </si>
  <si>
    <r>
      <t>A</t>
    </r>
    <r>
      <rPr>
        <vertAlign val="subscript"/>
        <sz val="10"/>
        <color theme="1"/>
        <rFont val="Calibri"/>
        <family val="2"/>
        <scheme val="minor"/>
      </rPr>
      <t>f2</t>
    </r>
  </si>
  <si>
    <r>
      <t>I</t>
    </r>
    <r>
      <rPr>
        <vertAlign val="subscript"/>
        <sz val="10"/>
        <color theme="1"/>
        <rFont val="Calibri"/>
        <family val="2"/>
        <scheme val="minor"/>
      </rPr>
      <t>x1</t>
    </r>
  </si>
  <si>
    <r>
      <t>in</t>
    </r>
    <r>
      <rPr>
        <vertAlign val="superscript"/>
        <sz val="10"/>
        <rFont val="Calibri"/>
        <family val="2"/>
        <scheme val="minor"/>
      </rPr>
      <t>3</t>
    </r>
  </si>
  <si>
    <r>
      <t>Z</t>
    </r>
    <r>
      <rPr>
        <vertAlign val="subscript"/>
        <sz val="10"/>
        <rFont val="Calibri"/>
        <family val="2"/>
        <scheme val="minor"/>
      </rPr>
      <t>x</t>
    </r>
  </si>
  <si>
    <r>
      <t>I</t>
    </r>
    <r>
      <rPr>
        <vertAlign val="subscript"/>
        <sz val="10"/>
        <color theme="1"/>
        <rFont val="Calibri"/>
        <family val="2"/>
        <scheme val="minor"/>
      </rPr>
      <t>y1</t>
    </r>
  </si>
  <si>
    <r>
      <t>I</t>
    </r>
    <r>
      <rPr>
        <vertAlign val="subscript"/>
        <sz val="10"/>
        <color theme="1"/>
        <rFont val="Calibri"/>
        <family val="2"/>
        <scheme val="minor"/>
      </rPr>
      <t>y2</t>
    </r>
  </si>
  <si>
    <r>
      <t>I</t>
    </r>
    <r>
      <rPr>
        <vertAlign val="subscript"/>
        <sz val="10"/>
        <color theme="1"/>
        <rFont val="Calibri"/>
        <family val="2"/>
        <scheme val="minor"/>
      </rPr>
      <t>y3</t>
    </r>
  </si>
  <si>
    <t>Compression Elastic Section Modulus x-x</t>
  </si>
  <si>
    <t>Tension Elastic Section Modulus x-x</t>
  </si>
  <si>
    <r>
      <t>S</t>
    </r>
    <r>
      <rPr>
        <vertAlign val="subscript"/>
        <sz val="10"/>
        <color theme="1"/>
        <rFont val="Calibri"/>
        <family val="2"/>
        <scheme val="minor"/>
      </rPr>
      <t>xc</t>
    </r>
  </si>
  <si>
    <r>
      <t>S</t>
    </r>
    <r>
      <rPr>
        <vertAlign val="subscript"/>
        <sz val="10"/>
        <color theme="1"/>
        <rFont val="Calibri"/>
        <family val="2"/>
        <scheme val="minor"/>
      </rPr>
      <t>xt</t>
    </r>
  </si>
  <si>
    <r>
      <t>S</t>
    </r>
    <r>
      <rPr>
        <vertAlign val="subscript"/>
        <sz val="10"/>
        <color theme="1"/>
        <rFont val="Calibri"/>
        <family val="2"/>
        <scheme val="minor"/>
      </rPr>
      <t>xt</t>
    </r>
    <r>
      <rPr>
        <sz val="10"/>
        <color theme="1"/>
        <rFont val="Calibri"/>
        <family val="2"/>
        <scheme val="minor"/>
      </rPr>
      <t>/S</t>
    </r>
    <r>
      <rPr>
        <vertAlign val="subscript"/>
        <sz val="10"/>
        <color theme="1"/>
        <rFont val="Calibri"/>
        <family val="2"/>
        <scheme val="minor"/>
      </rPr>
      <t>xc</t>
    </r>
  </si>
  <si>
    <r>
      <t>F</t>
    </r>
    <r>
      <rPr>
        <vertAlign val="subscript"/>
        <sz val="10"/>
        <color theme="1"/>
        <rFont val="Calibri"/>
        <family val="2"/>
        <scheme val="minor"/>
      </rPr>
      <t>L</t>
    </r>
  </si>
  <si>
    <r>
      <t>a</t>
    </r>
    <r>
      <rPr>
        <vertAlign val="subscript"/>
        <sz val="10"/>
        <color theme="1"/>
        <rFont val="Calibri"/>
        <family val="2"/>
        <scheme val="minor"/>
      </rPr>
      <t>w</t>
    </r>
  </si>
  <si>
    <r>
      <t>h</t>
    </r>
    <r>
      <rPr>
        <vertAlign val="subscript"/>
        <sz val="10"/>
        <color theme="1"/>
        <rFont val="Calibri"/>
        <family val="2"/>
        <scheme val="minor"/>
      </rPr>
      <t>c</t>
    </r>
  </si>
  <si>
    <r>
      <t>r</t>
    </r>
    <r>
      <rPr>
        <vertAlign val="subscript"/>
        <sz val="10"/>
        <color theme="1"/>
        <rFont val="Calibri"/>
        <family val="2"/>
        <scheme val="minor"/>
      </rPr>
      <t>t</t>
    </r>
  </si>
  <si>
    <t>St. Venant Torsional Constant</t>
  </si>
  <si>
    <r>
      <t>I</t>
    </r>
    <r>
      <rPr>
        <vertAlign val="subscript"/>
        <sz val="10"/>
        <color theme="1"/>
        <rFont val="Calibri"/>
        <family val="2"/>
        <scheme val="minor"/>
      </rPr>
      <t>yc</t>
    </r>
  </si>
  <si>
    <t>Compression Flange Moment of Inertia y-y</t>
  </si>
  <si>
    <r>
      <t>I</t>
    </r>
    <r>
      <rPr>
        <vertAlign val="subscript"/>
        <sz val="10"/>
        <color theme="1"/>
        <rFont val="Calibri"/>
        <family val="2"/>
        <scheme val="minor"/>
      </rPr>
      <t>yc</t>
    </r>
    <r>
      <rPr>
        <sz val="10"/>
        <color theme="1"/>
        <rFont val="Calibri"/>
        <family val="2"/>
        <scheme val="minor"/>
      </rPr>
      <t>/I</t>
    </r>
    <r>
      <rPr>
        <vertAlign val="subscript"/>
        <sz val="10"/>
        <color theme="1"/>
        <rFont val="Calibri"/>
        <family val="2"/>
        <scheme val="minor"/>
      </rPr>
      <t>y</t>
    </r>
  </si>
  <si>
    <t>Adjusted St. Venant Torsional Constant</t>
  </si>
  <si>
    <t>x-x Elastic Section Modulus Ratio</t>
  </si>
  <si>
    <r>
      <t>R</t>
    </r>
    <r>
      <rPr>
        <vertAlign val="subscript"/>
        <sz val="10"/>
        <color theme="1"/>
        <rFont val="Calibri"/>
        <family val="2"/>
        <scheme val="minor"/>
      </rPr>
      <t>pc</t>
    </r>
  </si>
  <si>
    <r>
      <t>h</t>
    </r>
    <r>
      <rPr>
        <vertAlign val="subscript"/>
        <sz val="10"/>
        <color theme="1"/>
        <rFont val="Calibri"/>
        <family val="2"/>
        <scheme val="minor"/>
      </rPr>
      <t>p</t>
    </r>
  </si>
  <si>
    <t>PNA to Fillet Distance (x2)</t>
  </si>
  <si>
    <t>Centroid to Fillet Distance (x2)</t>
  </si>
  <si>
    <r>
      <t>R</t>
    </r>
    <r>
      <rPr>
        <vertAlign val="subscript"/>
        <sz val="10"/>
        <color theme="1"/>
        <rFont val="Calibri"/>
        <family val="2"/>
        <scheme val="minor"/>
      </rPr>
      <t>pt</t>
    </r>
  </si>
  <si>
    <t>Tension Flange Yielding</t>
  </si>
  <si>
    <r>
      <t>A</t>
    </r>
    <r>
      <rPr>
        <vertAlign val="subscript"/>
        <sz val="10"/>
        <color theme="1"/>
        <rFont val="Calibri"/>
        <family val="2"/>
        <scheme val="minor"/>
      </rPr>
      <t>Ty</t>
    </r>
  </si>
  <si>
    <r>
      <t>A</t>
    </r>
    <r>
      <rPr>
        <vertAlign val="subscript"/>
        <sz val="10"/>
        <color theme="1"/>
        <rFont val="Calibri"/>
        <family val="2"/>
        <scheme val="minor"/>
      </rPr>
      <t>Cy</t>
    </r>
  </si>
  <si>
    <r>
      <t>PNA</t>
    </r>
    <r>
      <rPr>
        <vertAlign val="subscript"/>
        <sz val="10"/>
        <color theme="1"/>
        <rFont val="Calibri"/>
        <family val="2"/>
        <scheme val="minor"/>
      </rPr>
      <t>y</t>
    </r>
    <r>
      <rPr>
        <sz val="10"/>
        <color theme="1"/>
        <rFont val="Calibri"/>
        <family val="2"/>
        <scheme val="minor"/>
      </rPr>
      <t xml:space="preserve"> </t>
    </r>
  </si>
  <si>
    <t>Plastic Neutral Axis y-y</t>
  </si>
  <si>
    <t>Parameters</t>
  </si>
  <si>
    <t>Notes</t>
  </si>
  <si>
    <r>
      <t>b</t>
    </r>
    <r>
      <rPr>
        <b/>
        <i/>
        <vertAlign val="subscript"/>
        <sz val="10"/>
        <rFont val="Calibri"/>
        <family val="2"/>
        <scheme val="minor"/>
      </rPr>
      <t>f</t>
    </r>
  </si>
  <si>
    <r>
      <t>t</t>
    </r>
    <r>
      <rPr>
        <b/>
        <i/>
        <vertAlign val="subscript"/>
        <sz val="10"/>
        <rFont val="Calibri"/>
        <family val="2"/>
        <scheme val="minor"/>
      </rPr>
      <t>w</t>
    </r>
  </si>
  <si>
    <r>
      <t>t</t>
    </r>
    <r>
      <rPr>
        <b/>
        <i/>
        <vertAlign val="subscript"/>
        <sz val="10"/>
        <rFont val="Calibri"/>
        <family val="2"/>
        <scheme val="minor"/>
      </rPr>
      <t>f</t>
    </r>
  </si>
  <si>
    <r>
      <t>k</t>
    </r>
    <r>
      <rPr>
        <b/>
        <i/>
        <vertAlign val="subscript"/>
        <sz val="10"/>
        <rFont val="Calibri"/>
        <family val="2"/>
        <scheme val="minor"/>
      </rPr>
      <t>des</t>
    </r>
  </si>
  <si>
    <r>
      <t>b</t>
    </r>
    <r>
      <rPr>
        <b/>
        <i/>
        <vertAlign val="subscript"/>
        <sz val="10"/>
        <rFont val="Calibri"/>
        <family val="2"/>
        <scheme val="minor"/>
      </rPr>
      <t>f</t>
    </r>
    <r>
      <rPr>
        <b/>
        <i/>
        <sz val="10"/>
        <rFont val="Calibri"/>
        <family val="2"/>
        <scheme val="minor"/>
      </rPr>
      <t>/</t>
    </r>
    <r>
      <rPr>
        <b/>
        <sz val="10"/>
        <rFont val="Calibri"/>
        <family val="2"/>
        <scheme val="minor"/>
      </rPr>
      <t>2</t>
    </r>
    <r>
      <rPr>
        <b/>
        <i/>
        <sz val="10"/>
        <rFont val="Calibri"/>
        <family val="2"/>
        <scheme val="minor"/>
      </rPr>
      <t>t</t>
    </r>
    <r>
      <rPr>
        <b/>
        <i/>
        <vertAlign val="subscript"/>
        <sz val="10"/>
        <rFont val="Calibri"/>
        <family val="2"/>
        <scheme val="minor"/>
      </rPr>
      <t>f</t>
    </r>
  </si>
  <si>
    <r>
      <t>h/t</t>
    </r>
    <r>
      <rPr>
        <b/>
        <i/>
        <vertAlign val="subscript"/>
        <sz val="10"/>
        <rFont val="Calibri"/>
        <family val="2"/>
        <scheme val="minor"/>
      </rPr>
      <t>w</t>
    </r>
  </si>
  <si>
    <r>
      <t>I</t>
    </r>
    <r>
      <rPr>
        <b/>
        <i/>
        <vertAlign val="subscript"/>
        <sz val="10"/>
        <rFont val="Calibri"/>
        <family val="2"/>
        <scheme val="minor"/>
      </rPr>
      <t>x</t>
    </r>
  </si>
  <si>
    <r>
      <t>Z</t>
    </r>
    <r>
      <rPr>
        <b/>
        <i/>
        <vertAlign val="subscript"/>
        <sz val="10"/>
        <rFont val="Calibri"/>
        <family val="2"/>
        <scheme val="minor"/>
      </rPr>
      <t>x</t>
    </r>
  </si>
  <si>
    <r>
      <t>S</t>
    </r>
    <r>
      <rPr>
        <b/>
        <i/>
        <vertAlign val="subscript"/>
        <sz val="10"/>
        <rFont val="Calibri"/>
        <family val="2"/>
        <scheme val="minor"/>
      </rPr>
      <t>x</t>
    </r>
  </si>
  <si>
    <r>
      <t>r</t>
    </r>
    <r>
      <rPr>
        <b/>
        <i/>
        <vertAlign val="subscript"/>
        <sz val="10"/>
        <rFont val="Calibri"/>
        <family val="2"/>
        <scheme val="minor"/>
      </rPr>
      <t>x</t>
    </r>
  </si>
  <si>
    <r>
      <t>I</t>
    </r>
    <r>
      <rPr>
        <b/>
        <i/>
        <vertAlign val="subscript"/>
        <sz val="10"/>
        <rFont val="Calibri"/>
        <family val="2"/>
        <scheme val="minor"/>
      </rPr>
      <t>y</t>
    </r>
  </si>
  <si>
    <r>
      <t>Z</t>
    </r>
    <r>
      <rPr>
        <b/>
        <i/>
        <vertAlign val="subscript"/>
        <sz val="10"/>
        <rFont val="Calibri"/>
        <family val="2"/>
        <scheme val="minor"/>
      </rPr>
      <t>y</t>
    </r>
  </si>
  <si>
    <r>
      <t>S</t>
    </r>
    <r>
      <rPr>
        <b/>
        <i/>
        <vertAlign val="subscript"/>
        <sz val="10"/>
        <rFont val="Calibri"/>
        <family val="2"/>
        <scheme val="minor"/>
      </rPr>
      <t>y</t>
    </r>
  </si>
  <si>
    <r>
      <t>r</t>
    </r>
    <r>
      <rPr>
        <b/>
        <i/>
        <vertAlign val="subscript"/>
        <sz val="10"/>
        <rFont val="Calibri"/>
        <family val="2"/>
        <scheme val="minor"/>
      </rPr>
      <t>y</t>
    </r>
  </si>
  <si>
    <r>
      <t>C</t>
    </r>
    <r>
      <rPr>
        <b/>
        <i/>
        <vertAlign val="subscript"/>
        <sz val="10"/>
        <rFont val="Calibri"/>
        <family val="2"/>
        <scheme val="minor"/>
      </rPr>
      <t>w</t>
    </r>
  </si>
  <si>
    <r>
      <t>r</t>
    </r>
    <r>
      <rPr>
        <b/>
        <i/>
        <vertAlign val="subscript"/>
        <sz val="10"/>
        <rFont val="Calibri"/>
        <family val="2"/>
        <scheme val="minor"/>
      </rPr>
      <t>ts</t>
    </r>
  </si>
  <si>
    <r>
      <t>h</t>
    </r>
    <r>
      <rPr>
        <b/>
        <i/>
        <vertAlign val="subscript"/>
        <sz val="10"/>
        <rFont val="Calibri"/>
        <family val="2"/>
        <scheme val="minor"/>
      </rPr>
      <t>o</t>
    </r>
  </si>
  <si>
    <r>
      <t>w</t>
    </r>
    <r>
      <rPr>
        <vertAlign val="subscript"/>
        <sz val="10"/>
        <color theme="1"/>
        <rFont val="Calibri"/>
        <family val="2"/>
        <scheme val="minor"/>
      </rPr>
      <t>self</t>
    </r>
  </si>
  <si>
    <t>[H1] Combined Bending &amp; Axial Utilization</t>
  </si>
  <si>
    <t>Member Type</t>
  </si>
  <si>
    <r>
      <t>P</t>
    </r>
    <r>
      <rPr>
        <vertAlign val="subscript"/>
        <sz val="10"/>
        <color theme="1"/>
        <rFont val="Calibri"/>
        <family val="2"/>
        <scheme val="minor"/>
      </rPr>
      <t>L</t>
    </r>
  </si>
  <si>
    <r>
      <t>w</t>
    </r>
    <r>
      <rPr>
        <vertAlign val="subscript"/>
        <sz val="10"/>
        <color theme="1"/>
        <rFont val="Calibri"/>
        <family val="2"/>
        <scheme val="minor"/>
      </rPr>
      <t>D</t>
    </r>
  </si>
  <si>
    <r>
      <t>P</t>
    </r>
    <r>
      <rPr>
        <vertAlign val="subscript"/>
        <sz val="10"/>
        <color theme="1"/>
        <rFont val="Calibri"/>
        <family val="2"/>
        <scheme val="minor"/>
      </rPr>
      <t>D</t>
    </r>
  </si>
  <si>
    <r>
      <t>V</t>
    </r>
    <r>
      <rPr>
        <vertAlign val="subscript"/>
        <sz val="10"/>
        <color theme="1"/>
        <rFont val="Calibri"/>
        <family val="2"/>
        <scheme val="minor"/>
      </rPr>
      <t>D</t>
    </r>
  </si>
  <si>
    <r>
      <t>M</t>
    </r>
    <r>
      <rPr>
        <vertAlign val="subscript"/>
        <sz val="10"/>
        <color theme="1"/>
        <rFont val="Calibri"/>
        <family val="2"/>
        <scheme val="minor"/>
      </rPr>
      <t>D</t>
    </r>
  </si>
  <si>
    <r>
      <t>M</t>
    </r>
    <r>
      <rPr>
        <vertAlign val="subscript"/>
        <sz val="10"/>
        <color theme="1"/>
        <rFont val="Calibri"/>
        <family val="2"/>
        <scheme val="minor"/>
      </rPr>
      <t>L</t>
    </r>
  </si>
  <si>
    <r>
      <t>V</t>
    </r>
    <r>
      <rPr>
        <vertAlign val="subscript"/>
        <sz val="10"/>
        <color theme="1"/>
        <rFont val="Calibri"/>
        <family val="2"/>
        <scheme val="minor"/>
      </rPr>
      <t>L</t>
    </r>
  </si>
  <si>
    <r>
      <t>w</t>
    </r>
    <r>
      <rPr>
        <vertAlign val="subscript"/>
        <sz val="10"/>
        <color theme="1"/>
        <rFont val="Calibri"/>
        <family val="2"/>
        <scheme val="minor"/>
      </rPr>
      <t>L</t>
    </r>
    <r>
      <rPr>
        <sz val="10"/>
        <color theme="1"/>
        <rFont val="Calibri"/>
        <family val="2"/>
        <scheme val="minor"/>
      </rPr>
      <t xml:space="preserve"> </t>
    </r>
  </si>
  <si>
    <t>Live Load</t>
  </si>
  <si>
    <t>Dead Load</t>
  </si>
  <si>
    <t>Full-Length Uniformly Distributed Load</t>
  </si>
  <si>
    <t>Concentrated Load at Midspan</t>
  </si>
  <si>
    <t>Two Equal, Symmetrical Concentrated Loads</t>
  </si>
  <si>
    <t>a</t>
  </si>
  <si>
    <t>x</t>
  </si>
  <si>
    <t>Self-Weight</t>
  </si>
  <si>
    <t>E</t>
  </si>
  <si>
    <r>
      <t>M</t>
    </r>
    <r>
      <rPr>
        <vertAlign val="subscript"/>
        <sz val="10"/>
        <color theme="1"/>
        <rFont val="Calibri"/>
        <family val="2"/>
        <scheme val="minor"/>
      </rPr>
      <t>self</t>
    </r>
  </si>
  <si>
    <r>
      <t>M</t>
    </r>
    <r>
      <rPr>
        <vertAlign val="subscript"/>
        <sz val="10"/>
        <color theme="1"/>
        <rFont val="Calibri"/>
        <family val="2"/>
        <scheme val="minor"/>
      </rPr>
      <t>w</t>
    </r>
  </si>
  <si>
    <r>
      <t>M</t>
    </r>
    <r>
      <rPr>
        <vertAlign val="subscript"/>
        <sz val="10"/>
        <color theme="1"/>
        <rFont val="Calibri"/>
        <family val="2"/>
        <scheme val="minor"/>
      </rPr>
      <t>1</t>
    </r>
  </si>
  <si>
    <r>
      <t>M</t>
    </r>
    <r>
      <rPr>
        <vertAlign val="subscript"/>
        <sz val="10"/>
        <color theme="1"/>
        <rFont val="Calibri"/>
        <family val="2"/>
        <scheme val="minor"/>
      </rPr>
      <t>2</t>
    </r>
  </si>
  <si>
    <r>
      <t>M</t>
    </r>
    <r>
      <rPr>
        <vertAlign val="subscript"/>
        <sz val="10"/>
        <color theme="1"/>
        <rFont val="Calibri"/>
        <family val="2"/>
        <scheme val="minor"/>
      </rPr>
      <t>3</t>
    </r>
    <r>
      <rPr>
        <sz val="11"/>
        <color theme="1"/>
        <rFont val="Calibri"/>
        <family val="2"/>
        <scheme val="minor"/>
      </rPr>
      <t/>
    </r>
  </si>
  <si>
    <r>
      <t>M</t>
    </r>
    <r>
      <rPr>
        <vertAlign val="subscript"/>
        <sz val="10"/>
        <color theme="1"/>
        <rFont val="Calibri"/>
        <family val="2"/>
        <scheme val="minor"/>
      </rPr>
      <t>4</t>
    </r>
    <r>
      <rPr>
        <sz val="11"/>
        <color theme="1"/>
        <rFont val="Calibri"/>
        <family val="2"/>
        <scheme val="minor"/>
      </rPr>
      <t/>
    </r>
  </si>
  <si>
    <r>
      <t>M</t>
    </r>
    <r>
      <rPr>
        <vertAlign val="subscript"/>
        <sz val="10"/>
        <color theme="1"/>
        <rFont val="Calibri"/>
        <family val="2"/>
        <scheme val="minor"/>
      </rPr>
      <t>5</t>
    </r>
    <r>
      <rPr>
        <sz val="11"/>
        <color theme="1"/>
        <rFont val="Calibri"/>
        <family val="2"/>
        <scheme val="minor"/>
      </rPr>
      <t/>
    </r>
  </si>
  <si>
    <r>
      <t>M</t>
    </r>
    <r>
      <rPr>
        <vertAlign val="subscript"/>
        <sz val="10"/>
        <color theme="1"/>
        <rFont val="Calibri"/>
        <family val="2"/>
        <scheme val="minor"/>
      </rPr>
      <t>total</t>
    </r>
  </si>
  <si>
    <r>
      <t>V</t>
    </r>
    <r>
      <rPr>
        <vertAlign val="subscript"/>
        <sz val="10"/>
        <color theme="1"/>
        <rFont val="Calibri"/>
        <family val="2"/>
        <scheme val="minor"/>
      </rPr>
      <t>self</t>
    </r>
  </si>
  <si>
    <r>
      <t>V</t>
    </r>
    <r>
      <rPr>
        <vertAlign val="subscript"/>
        <sz val="10"/>
        <color theme="1"/>
        <rFont val="Calibri"/>
        <family val="2"/>
        <scheme val="minor"/>
      </rPr>
      <t>w</t>
    </r>
  </si>
  <si>
    <r>
      <t>V</t>
    </r>
    <r>
      <rPr>
        <vertAlign val="subscript"/>
        <sz val="10"/>
        <color theme="1"/>
        <rFont val="Calibri"/>
        <family val="2"/>
        <scheme val="minor"/>
      </rPr>
      <t>1</t>
    </r>
  </si>
  <si>
    <r>
      <t>V</t>
    </r>
    <r>
      <rPr>
        <vertAlign val="subscript"/>
        <sz val="10"/>
        <color theme="1"/>
        <rFont val="Calibri"/>
        <family val="2"/>
        <scheme val="minor"/>
      </rPr>
      <t>2</t>
    </r>
    <r>
      <rPr>
        <sz val="11"/>
        <color theme="1"/>
        <rFont val="Calibri"/>
        <family val="2"/>
        <scheme val="minor"/>
      </rPr>
      <t/>
    </r>
  </si>
  <si>
    <r>
      <t>V</t>
    </r>
    <r>
      <rPr>
        <vertAlign val="subscript"/>
        <sz val="10"/>
        <color theme="1"/>
        <rFont val="Calibri"/>
        <family val="2"/>
        <scheme val="minor"/>
      </rPr>
      <t>3</t>
    </r>
    <r>
      <rPr>
        <sz val="11"/>
        <color theme="1"/>
        <rFont val="Calibri"/>
        <family val="2"/>
        <scheme val="minor"/>
      </rPr>
      <t/>
    </r>
  </si>
  <si>
    <r>
      <t>V</t>
    </r>
    <r>
      <rPr>
        <vertAlign val="subscript"/>
        <sz val="10"/>
        <color theme="1"/>
        <rFont val="Calibri"/>
        <family val="2"/>
        <scheme val="minor"/>
      </rPr>
      <t>4</t>
    </r>
    <r>
      <rPr>
        <sz val="11"/>
        <color theme="1"/>
        <rFont val="Calibri"/>
        <family val="2"/>
        <scheme val="minor"/>
      </rPr>
      <t/>
    </r>
  </si>
  <si>
    <r>
      <t>V</t>
    </r>
    <r>
      <rPr>
        <vertAlign val="subscript"/>
        <sz val="10"/>
        <color theme="1"/>
        <rFont val="Calibri"/>
        <family val="2"/>
        <scheme val="minor"/>
      </rPr>
      <t>5</t>
    </r>
    <r>
      <rPr>
        <sz val="11"/>
        <color theme="1"/>
        <rFont val="Calibri"/>
        <family val="2"/>
        <scheme val="minor"/>
      </rPr>
      <t/>
    </r>
  </si>
  <si>
    <r>
      <t>V</t>
    </r>
    <r>
      <rPr>
        <vertAlign val="subscript"/>
        <sz val="10"/>
        <color theme="1"/>
        <rFont val="Calibri"/>
        <family val="2"/>
        <scheme val="minor"/>
      </rPr>
      <t>total</t>
    </r>
  </si>
  <si>
    <r>
      <t>Δ</t>
    </r>
    <r>
      <rPr>
        <vertAlign val="subscript"/>
        <sz val="10"/>
        <color theme="1"/>
        <rFont val="Calibri"/>
        <family val="2"/>
        <scheme val="minor"/>
      </rPr>
      <t>self</t>
    </r>
  </si>
  <si>
    <r>
      <t>Δ</t>
    </r>
    <r>
      <rPr>
        <vertAlign val="subscript"/>
        <sz val="10"/>
        <color theme="1"/>
        <rFont val="Calibri"/>
        <family val="2"/>
        <scheme val="minor"/>
      </rPr>
      <t>total</t>
    </r>
  </si>
  <si>
    <r>
      <t>P</t>
    </r>
    <r>
      <rPr>
        <vertAlign val="subscript"/>
        <sz val="10"/>
        <color theme="1"/>
        <rFont val="Calibri"/>
        <family val="2"/>
        <scheme val="minor"/>
      </rPr>
      <t>1</t>
    </r>
  </si>
  <si>
    <r>
      <t>a</t>
    </r>
    <r>
      <rPr>
        <vertAlign val="subscript"/>
        <sz val="10"/>
        <color theme="1"/>
        <rFont val="Calibri"/>
        <family val="2"/>
        <scheme val="minor"/>
      </rPr>
      <t>1</t>
    </r>
  </si>
  <si>
    <r>
      <t>P</t>
    </r>
    <r>
      <rPr>
        <vertAlign val="subscript"/>
        <sz val="10"/>
        <color theme="1"/>
        <rFont val="Calibri"/>
        <family val="2"/>
        <scheme val="minor"/>
      </rPr>
      <t>2</t>
    </r>
  </si>
  <si>
    <r>
      <t>a</t>
    </r>
    <r>
      <rPr>
        <vertAlign val="subscript"/>
        <sz val="10"/>
        <color theme="1"/>
        <rFont val="Calibri"/>
        <family val="2"/>
        <scheme val="minor"/>
      </rPr>
      <t>2</t>
    </r>
  </si>
  <si>
    <r>
      <t>P</t>
    </r>
    <r>
      <rPr>
        <vertAlign val="subscript"/>
        <sz val="10"/>
        <color theme="1"/>
        <rFont val="Calibri"/>
        <family val="2"/>
        <scheme val="minor"/>
      </rPr>
      <t>3</t>
    </r>
  </si>
  <si>
    <r>
      <t>a</t>
    </r>
    <r>
      <rPr>
        <vertAlign val="subscript"/>
        <sz val="10"/>
        <color theme="1"/>
        <rFont val="Calibri"/>
        <family val="2"/>
        <scheme val="minor"/>
      </rPr>
      <t>3</t>
    </r>
  </si>
  <si>
    <r>
      <t>P</t>
    </r>
    <r>
      <rPr>
        <vertAlign val="subscript"/>
        <sz val="10"/>
        <color theme="1"/>
        <rFont val="Calibri"/>
        <family val="2"/>
        <scheme val="minor"/>
      </rPr>
      <t>4</t>
    </r>
  </si>
  <si>
    <r>
      <t>a</t>
    </r>
    <r>
      <rPr>
        <vertAlign val="subscript"/>
        <sz val="10"/>
        <color theme="1"/>
        <rFont val="Calibri"/>
        <family val="2"/>
        <scheme val="minor"/>
      </rPr>
      <t>4</t>
    </r>
  </si>
  <si>
    <r>
      <t>P</t>
    </r>
    <r>
      <rPr>
        <vertAlign val="subscript"/>
        <sz val="10"/>
        <color theme="1"/>
        <rFont val="Calibri"/>
        <family val="2"/>
        <scheme val="minor"/>
      </rPr>
      <t>5</t>
    </r>
  </si>
  <si>
    <r>
      <t>a</t>
    </r>
    <r>
      <rPr>
        <vertAlign val="subscript"/>
        <sz val="10"/>
        <color theme="1"/>
        <rFont val="Calibri"/>
        <family val="2"/>
        <scheme val="minor"/>
      </rPr>
      <t>5</t>
    </r>
  </si>
  <si>
    <t>Modulus of Elasticity</t>
  </si>
  <si>
    <t>Shape</t>
  </si>
  <si>
    <r>
      <t>w</t>
    </r>
    <r>
      <rPr>
        <vertAlign val="subscript"/>
        <sz val="10"/>
        <color theme="1"/>
        <rFont val="Calibri"/>
        <family val="2"/>
        <scheme val="minor"/>
      </rPr>
      <t>total</t>
    </r>
  </si>
  <si>
    <r>
      <t>q</t>
    </r>
    <r>
      <rPr>
        <vertAlign val="subscript"/>
        <sz val="10"/>
        <color theme="1"/>
        <rFont val="Calibri"/>
        <family val="2"/>
        <scheme val="minor"/>
      </rPr>
      <t>total</t>
    </r>
  </si>
  <si>
    <t>lb/ft</t>
  </si>
  <si>
    <r>
      <t>Δ</t>
    </r>
    <r>
      <rPr>
        <vertAlign val="subscript"/>
        <sz val="10"/>
        <color theme="1"/>
        <rFont val="Calibri"/>
        <family val="2"/>
        <scheme val="minor"/>
      </rPr>
      <t>1</t>
    </r>
  </si>
  <si>
    <r>
      <t>Δ</t>
    </r>
    <r>
      <rPr>
        <vertAlign val="subscript"/>
        <sz val="10"/>
        <color theme="1"/>
        <rFont val="Calibri"/>
        <family val="2"/>
        <scheme val="minor"/>
      </rPr>
      <t>2</t>
    </r>
    <r>
      <rPr>
        <sz val="11"/>
        <color theme="1"/>
        <rFont val="Calibri"/>
        <family val="2"/>
        <scheme val="minor"/>
      </rPr>
      <t/>
    </r>
  </si>
  <si>
    <r>
      <t>Δ</t>
    </r>
    <r>
      <rPr>
        <vertAlign val="subscript"/>
        <sz val="10"/>
        <color theme="1"/>
        <rFont val="Calibri"/>
        <family val="2"/>
        <scheme val="minor"/>
      </rPr>
      <t>3</t>
    </r>
    <r>
      <rPr>
        <sz val="11"/>
        <color theme="1"/>
        <rFont val="Calibri"/>
        <family val="2"/>
        <scheme val="minor"/>
      </rPr>
      <t/>
    </r>
  </si>
  <si>
    <r>
      <t>Δ</t>
    </r>
    <r>
      <rPr>
        <vertAlign val="subscript"/>
        <sz val="10"/>
        <color theme="1"/>
        <rFont val="Calibri"/>
        <family val="2"/>
        <scheme val="minor"/>
      </rPr>
      <t>4</t>
    </r>
    <r>
      <rPr>
        <sz val="11"/>
        <color theme="1"/>
        <rFont val="Calibri"/>
        <family val="2"/>
        <scheme val="minor"/>
      </rPr>
      <t/>
    </r>
  </si>
  <si>
    <r>
      <t>Δ</t>
    </r>
    <r>
      <rPr>
        <vertAlign val="subscript"/>
        <sz val="10"/>
        <color theme="1"/>
        <rFont val="Calibri"/>
        <family val="2"/>
        <scheme val="minor"/>
      </rPr>
      <t>5</t>
    </r>
    <r>
      <rPr>
        <sz val="11"/>
        <color theme="1"/>
        <rFont val="Calibri"/>
        <family val="2"/>
        <scheme val="minor"/>
      </rPr>
      <t/>
    </r>
  </si>
  <si>
    <r>
      <t>Δ</t>
    </r>
    <r>
      <rPr>
        <vertAlign val="subscript"/>
        <sz val="10"/>
        <color theme="1"/>
        <rFont val="Calibri"/>
        <family val="2"/>
        <scheme val="minor"/>
      </rPr>
      <t>w</t>
    </r>
  </si>
  <si>
    <t>Distance Between Flange Centroid</t>
  </si>
  <si>
    <r>
      <t>λ</t>
    </r>
    <r>
      <rPr>
        <vertAlign val="subscript"/>
        <sz val="10"/>
        <color theme="1"/>
        <rFont val="Calibri"/>
        <family val="2"/>
        <scheme val="minor"/>
      </rPr>
      <t>r_comp</t>
    </r>
  </si>
  <si>
    <t>Slender Limiting Ratio for Compression</t>
  </si>
  <si>
    <t>Reinforcement Yield Strength</t>
  </si>
  <si>
    <t>Distance</t>
  </si>
  <si>
    <t>Compression Flange Width</t>
  </si>
  <si>
    <t>h</t>
  </si>
  <si>
    <t>Original Member Yield Strength</t>
  </si>
  <si>
    <r>
      <t>F</t>
    </r>
    <r>
      <rPr>
        <vertAlign val="subscript"/>
        <sz val="10"/>
        <color theme="1"/>
        <rFont val="Calibri"/>
        <family val="2"/>
        <scheme val="minor"/>
      </rPr>
      <t>y_r</t>
    </r>
  </si>
  <si>
    <r>
      <t>F</t>
    </r>
    <r>
      <rPr>
        <vertAlign val="subscript"/>
        <sz val="10"/>
        <color theme="1"/>
        <rFont val="Calibri"/>
        <family val="2"/>
        <scheme val="minor"/>
      </rPr>
      <t>y_m</t>
    </r>
  </si>
  <si>
    <t>Simple Span</t>
  </si>
  <si>
    <t>Legend</t>
  </si>
  <si>
    <t>Pressure Load</t>
  </si>
  <si>
    <t>Uniformly Distributed Load</t>
  </si>
  <si>
    <t>AISC Table 3-23.1 - Uniformly Distributed Load</t>
  </si>
  <si>
    <t>Total Depth</t>
  </si>
  <si>
    <r>
      <t>F</t>
    </r>
    <r>
      <rPr>
        <vertAlign val="subscript"/>
        <sz val="10"/>
        <color theme="1"/>
        <rFont val="Calibri"/>
        <family val="2"/>
        <scheme val="minor"/>
      </rPr>
      <t>u_m</t>
    </r>
  </si>
  <si>
    <r>
      <t>F</t>
    </r>
    <r>
      <rPr>
        <vertAlign val="subscript"/>
        <sz val="10"/>
        <color theme="1"/>
        <rFont val="Calibri"/>
        <family val="2"/>
        <scheme val="minor"/>
      </rPr>
      <t>u_r</t>
    </r>
  </si>
  <si>
    <t>Original Member Ultimate Strength</t>
  </si>
  <si>
    <t>Reinforcement Ultimate Strength</t>
  </si>
  <si>
    <t>Controlling Ultimate Strength of Built-Up Shape</t>
  </si>
  <si>
    <t>Controlling Yield Strength of Built-Up Shape</t>
  </si>
  <si>
    <r>
      <t>C</t>
    </r>
    <r>
      <rPr>
        <vertAlign val="subscript"/>
        <sz val="10"/>
        <color theme="1"/>
        <rFont val="Calibri"/>
        <family val="2"/>
        <scheme val="minor"/>
      </rPr>
      <t>b</t>
    </r>
  </si>
  <si>
    <t>3. ORIGINAL MEMBER STRENGTH</t>
  </si>
  <si>
    <t>Design Method</t>
  </si>
  <si>
    <t>D + L</t>
  </si>
  <si>
    <t>D</t>
  </si>
  <si>
    <t>D + (0.6W)</t>
  </si>
  <si>
    <t>0.6D + 0.6W</t>
  </si>
  <si>
    <t>1.4D</t>
  </si>
  <si>
    <t>0.9D + W</t>
  </si>
  <si>
    <r>
      <t>P</t>
    </r>
    <r>
      <rPr>
        <vertAlign val="subscript"/>
        <sz val="10"/>
        <color theme="1"/>
        <rFont val="Calibri"/>
        <family val="2"/>
        <scheme val="minor"/>
      </rPr>
      <t>W</t>
    </r>
  </si>
  <si>
    <t>Wind Load Moment</t>
  </si>
  <si>
    <r>
      <t>M</t>
    </r>
    <r>
      <rPr>
        <vertAlign val="subscript"/>
        <sz val="10"/>
        <color theme="1"/>
        <rFont val="Calibri"/>
        <family val="2"/>
        <scheme val="minor"/>
      </rPr>
      <t>W</t>
    </r>
  </si>
  <si>
    <t>Wind Load Shear</t>
  </si>
  <si>
    <r>
      <t>V</t>
    </r>
    <r>
      <rPr>
        <vertAlign val="subscript"/>
        <sz val="10"/>
        <color theme="1"/>
        <rFont val="Calibri"/>
        <family val="2"/>
        <scheme val="minor"/>
      </rPr>
      <t>W</t>
    </r>
  </si>
  <si>
    <r>
      <t>w</t>
    </r>
    <r>
      <rPr>
        <vertAlign val="subscript"/>
        <sz val="10"/>
        <color theme="1"/>
        <rFont val="Calibri"/>
        <family val="2"/>
        <scheme val="minor"/>
      </rPr>
      <t>W</t>
    </r>
  </si>
  <si>
    <t>Distributed Wind Load</t>
  </si>
  <si>
    <t>Controlling ASD Shear Demand</t>
  </si>
  <si>
    <t>Controlling LRFD Shear Demand</t>
  </si>
  <si>
    <t>Controlling ASD Moment Demand</t>
  </si>
  <si>
    <t>Controlling LRFD Moment Demand</t>
  </si>
  <si>
    <r>
      <t>V</t>
    </r>
    <r>
      <rPr>
        <b/>
        <vertAlign val="subscript"/>
        <sz val="10"/>
        <color theme="1"/>
        <rFont val="Calibri"/>
        <family val="2"/>
        <scheme val="minor"/>
      </rPr>
      <t>a</t>
    </r>
    <r>
      <rPr>
        <b/>
        <sz val="10"/>
        <color theme="1"/>
        <rFont val="Calibri"/>
        <family val="2"/>
        <scheme val="minor"/>
      </rPr>
      <t xml:space="preserve"> ASD</t>
    </r>
  </si>
  <si>
    <r>
      <t>M</t>
    </r>
    <r>
      <rPr>
        <b/>
        <vertAlign val="subscript"/>
        <sz val="10"/>
        <color theme="1"/>
        <rFont val="Calibri"/>
        <family val="2"/>
        <scheme val="minor"/>
      </rPr>
      <t>a</t>
    </r>
    <r>
      <rPr>
        <b/>
        <sz val="10"/>
        <color theme="1"/>
        <rFont val="Calibri"/>
        <family val="2"/>
        <scheme val="minor"/>
      </rPr>
      <t xml:space="preserve"> ASD</t>
    </r>
  </si>
  <si>
    <r>
      <t>M</t>
    </r>
    <r>
      <rPr>
        <vertAlign val="subscript"/>
        <sz val="10"/>
        <color theme="1"/>
        <rFont val="Calibri"/>
        <family val="2"/>
        <scheme val="minor"/>
      </rPr>
      <t>a</t>
    </r>
    <r>
      <rPr>
        <sz val="10"/>
        <color theme="1"/>
        <rFont val="Calibri"/>
        <family val="2"/>
        <scheme val="minor"/>
      </rPr>
      <t xml:space="preserve"> ASD 1</t>
    </r>
  </si>
  <si>
    <r>
      <t>M</t>
    </r>
    <r>
      <rPr>
        <vertAlign val="subscript"/>
        <sz val="10"/>
        <color theme="1"/>
        <rFont val="Calibri"/>
        <family val="2"/>
        <scheme val="minor"/>
      </rPr>
      <t>a</t>
    </r>
    <r>
      <rPr>
        <sz val="10"/>
        <color theme="1"/>
        <rFont val="Calibri"/>
        <family val="2"/>
        <scheme val="minor"/>
      </rPr>
      <t xml:space="preserve"> ASD 2</t>
    </r>
    <r>
      <rPr>
        <sz val="11"/>
        <color theme="1"/>
        <rFont val="Calibri"/>
        <family val="2"/>
        <scheme val="minor"/>
      </rPr>
      <t/>
    </r>
  </si>
  <si>
    <r>
      <t>M</t>
    </r>
    <r>
      <rPr>
        <vertAlign val="subscript"/>
        <sz val="10"/>
        <color theme="1"/>
        <rFont val="Calibri"/>
        <family val="2"/>
        <scheme val="minor"/>
      </rPr>
      <t>a</t>
    </r>
    <r>
      <rPr>
        <sz val="10"/>
        <color theme="1"/>
        <rFont val="Calibri"/>
        <family val="2"/>
        <scheme val="minor"/>
      </rPr>
      <t xml:space="preserve"> ASD 3</t>
    </r>
    <r>
      <rPr>
        <sz val="11"/>
        <color theme="1"/>
        <rFont val="Calibri"/>
        <family val="2"/>
        <scheme val="minor"/>
      </rPr>
      <t/>
    </r>
  </si>
  <si>
    <r>
      <t>M</t>
    </r>
    <r>
      <rPr>
        <vertAlign val="subscript"/>
        <sz val="10"/>
        <color theme="1"/>
        <rFont val="Calibri"/>
        <family val="2"/>
        <scheme val="minor"/>
      </rPr>
      <t>a</t>
    </r>
    <r>
      <rPr>
        <sz val="10"/>
        <color theme="1"/>
        <rFont val="Calibri"/>
        <family val="2"/>
        <scheme val="minor"/>
      </rPr>
      <t xml:space="preserve"> ASD 4</t>
    </r>
    <r>
      <rPr>
        <sz val="11"/>
        <color theme="1"/>
        <rFont val="Calibri"/>
        <family val="2"/>
        <scheme val="minor"/>
      </rPr>
      <t/>
    </r>
  </si>
  <si>
    <r>
      <t>M</t>
    </r>
    <r>
      <rPr>
        <vertAlign val="subscript"/>
        <sz val="10"/>
        <color theme="1"/>
        <rFont val="Calibri"/>
        <family val="2"/>
        <scheme val="minor"/>
      </rPr>
      <t>a</t>
    </r>
    <r>
      <rPr>
        <sz val="10"/>
        <color theme="1"/>
        <rFont val="Calibri"/>
        <family val="2"/>
        <scheme val="minor"/>
      </rPr>
      <t xml:space="preserve"> ASD 5</t>
    </r>
    <r>
      <rPr>
        <sz val="11"/>
        <color theme="1"/>
        <rFont val="Calibri"/>
        <family val="2"/>
        <scheme val="minor"/>
      </rPr>
      <t/>
    </r>
  </si>
  <si>
    <r>
      <t>M</t>
    </r>
    <r>
      <rPr>
        <vertAlign val="subscript"/>
        <sz val="10"/>
        <color theme="1"/>
        <rFont val="Calibri"/>
        <family val="2"/>
        <scheme val="minor"/>
      </rPr>
      <t>a</t>
    </r>
    <r>
      <rPr>
        <sz val="10"/>
        <color theme="1"/>
        <rFont val="Calibri"/>
        <family val="2"/>
        <scheme val="minor"/>
      </rPr>
      <t xml:space="preserve"> ASD 6</t>
    </r>
    <r>
      <rPr>
        <sz val="11"/>
        <color theme="1"/>
        <rFont val="Calibri"/>
        <family val="2"/>
        <scheme val="minor"/>
      </rPr>
      <t/>
    </r>
  </si>
  <si>
    <r>
      <t>M</t>
    </r>
    <r>
      <rPr>
        <vertAlign val="subscript"/>
        <sz val="10"/>
        <color theme="1"/>
        <rFont val="Calibri"/>
        <family val="2"/>
        <scheme val="minor"/>
      </rPr>
      <t>a</t>
    </r>
    <r>
      <rPr>
        <sz val="10"/>
        <color theme="1"/>
        <rFont val="Calibri"/>
        <family val="2"/>
        <scheme val="minor"/>
      </rPr>
      <t xml:space="preserve"> ASD 7</t>
    </r>
    <r>
      <rPr>
        <sz val="11"/>
        <color theme="1"/>
        <rFont val="Calibri"/>
        <family val="2"/>
        <scheme val="minor"/>
      </rPr>
      <t/>
    </r>
  </si>
  <si>
    <r>
      <t>V</t>
    </r>
    <r>
      <rPr>
        <vertAlign val="subscript"/>
        <sz val="10"/>
        <color theme="1"/>
        <rFont val="Calibri"/>
        <family val="2"/>
        <scheme val="minor"/>
      </rPr>
      <t>a</t>
    </r>
    <r>
      <rPr>
        <sz val="10"/>
        <color theme="1"/>
        <rFont val="Calibri"/>
        <family val="2"/>
        <scheme val="minor"/>
      </rPr>
      <t xml:space="preserve"> ASD 1</t>
    </r>
  </si>
  <si>
    <r>
      <t>V</t>
    </r>
    <r>
      <rPr>
        <vertAlign val="subscript"/>
        <sz val="10"/>
        <color theme="8"/>
        <rFont val="Calibri"/>
        <family val="2"/>
        <scheme val="minor"/>
      </rPr>
      <t>u</t>
    </r>
    <r>
      <rPr>
        <sz val="10"/>
        <color theme="8"/>
        <rFont val="Calibri"/>
        <family val="2"/>
        <scheme val="minor"/>
      </rPr>
      <t xml:space="preserve"> LRFD 1</t>
    </r>
  </si>
  <si>
    <r>
      <t>V</t>
    </r>
    <r>
      <rPr>
        <vertAlign val="subscript"/>
        <sz val="10"/>
        <color theme="8"/>
        <rFont val="Calibri"/>
        <family val="2"/>
        <scheme val="minor"/>
      </rPr>
      <t>u</t>
    </r>
    <r>
      <rPr>
        <sz val="10"/>
        <color theme="8"/>
        <rFont val="Calibri"/>
        <family val="2"/>
        <scheme val="minor"/>
      </rPr>
      <t xml:space="preserve"> LRFD 2</t>
    </r>
    <r>
      <rPr>
        <sz val="11"/>
        <color theme="1"/>
        <rFont val="Calibri"/>
        <family val="2"/>
        <scheme val="minor"/>
      </rPr>
      <t/>
    </r>
  </si>
  <si>
    <r>
      <t>V</t>
    </r>
    <r>
      <rPr>
        <vertAlign val="subscript"/>
        <sz val="10"/>
        <color theme="8"/>
        <rFont val="Calibri"/>
        <family val="2"/>
        <scheme val="minor"/>
      </rPr>
      <t>u</t>
    </r>
    <r>
      <rPr>
        <sz val="10"/>
        <color theme="8"/>
        <rFont val="Calibri"/>
        <family val="2"/>
        <scheme val="minor"/>
      </rPr>
      <t xml:space="preserve"> LRFD 3</t>
    </r>
    <r>
      <rPr>
        <sz val="11"/>
        <color theme="1"/>
        <rFont val="Calibri"/>
        <family val="2"/>
        <scheme val="minor"/>
      </rPr>
      <t/>
    </r>
  </si>
  <si>
    <r>
      <t>V</t>
    </r>
    <r>
      <rPr>
        <vertAlign val="subscript"/>
        <sz val="10"/>
        <color theme="8"/>
        <rFont val="Calibri"/>
        <family val="2"/>
        <scheme val="minor"/>
      </rPr>
      <t>u</t>
    </r>
    <r>
      <rPr>
        <sz val="10"/>
        <color theme="8"/>
        <rFont val="Calibri"/>
        <family val="2"/>
        <scheme val="minor"/>
      </rPr>
      <t xml:space="preserve"> LRFD 4</t>
    </r>
    <r>
      <rPr>
        <sz val="11"/>
        <color theme="1"/>
        <rFont val="Calibri"/>
        <family val="2"/>
        <scheme val="minor"/>
      </rPr>
      <t/>
    </r>
  </si>
  <si>
    <r>
      <t>V</t>
    </r>
    <r>
      <rPr>
        <vertAlign val="subscript"/>
        <sz val="10"/>
        <color theme="8"/>
        <rFont val="Calibri"/>
        <family val="2"/>
        <scheme val="minor"/>
      </rPr>
      <t>u</t>
    </r>
    <r>
      <rPr>
        <sz val="10"/>
        <color theme="8"/>
        <rFont val="Calibri"/>
        <family val="2"/>
        <scheme val="minor"/>
      </rPr>
      <t xml:space="preserve"> LRFD 5</t>
    </r>
    <r>
      <rPr>
        <sz val="11"/>
        <color theme="1"/>
        <rFont val="Calibri"/>
        <family val="2"/>
        <scheme val="minor"/>
      </rPr>
      <t/>
    </r>
  </si>
  <si>
    <r>
      <t>M</t>
    </r>
    <r>
      <rPr>
        <vertAlign val="subscript"/>
        <sz val="10"/>
        <color theme="8"/>
        <rFont val="Calibri"/>
        <family val="2"/>
        <scheme val="minor"/>
      </rPr>
      <t>u</t>
    </r>
    <r>
      <rPr>
        <sz val="10"/>
        <color theme="8"/>
        <rFont val="Calibri"/>
        <family val="2"/>
        <scheme val="minor"/>
      </rPr>
      <t xml:space="preserve"> LRFD 1</t>
    </r>
  </si>
  <si>
    <r>
      <t>M</t>
    </r>
    <r>
      <rPr>
        <vertAlign val="subscript"/>
        <sz val="10"/>
        <color theme="8"/>
        <rFont val="Calibri"/>
        <family val="2"/>
        <scheme val="minor"/>
      </rPr>
      <t>u</t>
    </r>
    <r>
      <rPr>
        <sz val="10"/>
        <color theme="8"/>
        <rFont val="Calibri"/>
        <family val="2"/>
        <scheme val="minor"/>
      </rPr>
      <t xml:space="preserve"> LRFD 2</t>
    </r>
    <r>
      <rPr>
        <sz val="11"/>
        <color theme="1"/>
        <rFont val="Calibri"/>
        <family val="2"/>
        <scheme val="minor"/>
      </rPr>
      <t/>
    </r>
  </si>
  <si>
    <r>
      <t>M</t>
    </r>
    <r>
      <rPr>
        <vertAlign val="subscript"/>
        <sz val="10"/>
        <color theme="8"/>
        <rFont val="Calibri"/>
        <family val="2"/>
        <scheme val="minor"/>
      </rPr>
      <t>u</t>
    </r>
    <r>
      <rPr>
        <sz val="10"/>
        <color theme="8"/>
        <rFont val="Calibri"/>
        <family val="2"/>
        <scheme val="minor"/>
      </rPr>
      <t xml:space="preserve"> LRFD 3</t>
    </r>
    <r>
      <rPr>
        <sz val="11"/>
        <color theme="1"/>
        <rFont val="Calibri"/>
        <family val="2"/>
        <scheme val="minor"/>
      </rPr>
      <t/>
    </r>
  </si>
  <si>
    <r>
      <t>M</t>
    </r>
    <r>
      <rPr>
        <vertAlign val="subscript"/>
        <sz val="10"/>
        <color theme="8"/>
        <rFont val="Calibri"/>
        <family val="2"/>
        <scheme val="minor"/>
      </rPr>
      <t>u</t>
    </r>
    <r>
      <rPr>
        <sz val="10"/>
        <color theme="8"/>
        <rFont val="Calibri"/>
        <family val="2"/>
        <scheme val="minor"/>
      </rPr>
      <t xml:space="preserve"> LRFD 4</t>
    </r>
    <r>
      <rPr>
        <sz val="11"/>
        <color theme="1"/>
        <rFont val="Calibri"/>
        <family val="2"/>
        <scheme val="minor"/>
      </rPr>
      <t/>
    </r>
  </si>
  <si>
    <r>
      <t>M</t>
    </r>
    <r>
      <rPr>
        <vertAlign val="subscript"/>
        <sz val="10"/>
        <color theme="8"/>
        <rFont val="Calibri"/>
        <family val="2"/>
        <scheme val="minor"/>
      </rPr>
      <t>u</t>
    </r>
    <r>
      <rPr>
        <sz val="10"/>
        <color theme="8"/>
        <rFont val="Calibri"/>
        <family val="2"/>
        <scheme val="minor"/>
      </rPr>
      <t xml:space="preserve"> LRFD 5</t>
    </r>
    <r>
      <rPr>
        <sz val="11"/>
        <color theme="1"/>
        <rFont val="Calibri"/>
        <family val="2"/>
        <scheme val="minor"/>
      </rPr>
      <t/>
    </r>
  </si>
  <si>
    <r>
      <t>V</t>
    </r>
    <r>
      <rPr>
        <b/>
        <vertAlign val="subscript"/>
        <sz val="10"/>
        <color theme="8"/>
        <rFont val="Calibri"/>
        <family val="2"/>
        <scheme val="minor"/>
      </rPr>
      <t>u</t>
    </r>
    <r>
      <rPr>
        <b/>
        <sz val="10"/>
        <color theme="8"/>
        <rFont val="Calibri"/>
        <family val="2"/>
        <scheme val="minor"/>
      </rPr>
      <t xml:space="preserve"> LRFD</t>
    </r>
  </si>
  <si>
    <r>
      <t>M</t>
    </r>
    <r>
      <rPr>
        <b/>
        <vertAlign val="subscript"/>
        <sz val="10"/>
        <color theme="8"/>
        <rFont val="Calibri"/>
        <family val="2"/>
        <scheme val="minor"/>
      </rPr>
      <t>u</t>
    </r>
    <r>
      <rPr>
        <b/>
        <sz val="10"/>
        <color theme="8"/>
        <rFont val="Calibri"/>
        <family val="2"/>
        <scheme val="minor"/>
      </rPr>
      <t xml:space="preserve"> LRFD</t>
    </r>
  </si>
  <si>
    <t>φ</t>
  </si>
  <si>
    <t>ASD Safety Factor</t>
  </si>
  <si>
    <t>LRFD Resistance Factor</t>
  </si>
  <si>
    <t>[D2] Available Tensile Strength</t>
  </si>
  <si>
    <t>Depth at Maximum Shear Location</t>
  </si>
  <si>
    <t>LTB Modification Factor</t>
  </si>
  <si>
    <t>Positive Bending Moment</t>
  </si>
  <si>
    <t>Positive Shear</t>
  </si>
  <si>
    <t>Positive Deflection</t>
  </si>
  <si>
    <t>Negative Deflection</t>
  </si>
  <si>
    <t>Negative Shear</t>
  </si>
  <si>
    <t>Negative Bending Moment</t>
  </si>
  <si>
    <r>
      <rPr>
        <sz val="10"/>
        <color theme="1"/>
        <rFont val="Calibri"/>
        <family val="2"/>
      </rPr>
      <t>Δ</t>
    </r>
    <r>
      <rPr>
        <vertAlign val="subscript"/>
        <sz val="10"/>
        <color theme="1"/>
        <rFont val="Calibri"/>
        <family val="2"/>
        <scheme val="minor"/>
      </rPr>
      <t>down</t>
    </r>
  </si>
  <si>
    <r>
      <rPr>
        <sz val="10"/>
        <color theme="1"/>
        <rFont val="Calibri"/>
        <family val="2"/>
      </rPr>
      <t>Δ</t>
    </r>
    <r>
      <rPr>
        <vertAlign val="subscript"/>
        <sz val="10"/>
        <color theme="1"/>
        <rFont val="Calibri"/>
        <family val="2"/>
        <scheme val="minor"/>
      </rPr>
      <t>up</t>
    </r>
  </si>
  <si>
    <r>
      <t>M</t>
    </r>
    <r>
      <rPr>
        <vertAlign val="subscript"/>
        <sz val="10"/>
        <color theme="1"/>
        <rFont val="Calibri"/>
        <family val="2"/>
        <scheme val="minor"/>
      </rPr>
      <t>max-</t>
    </r>
  </si>
  <si>
    <r>
      <t>M</t>
    </r>
    <r>
      <rPr>
        <vertAlign val="subscript"/>
        <sz val="10"/>
        <color theme="1"/>
        <rFont val="Calibri"/>
        <family val="2"/>
        <scheme val="minor"/>
      </rPr>
      <t>max+</t>
    </r>
  </si>
  <si>
    <r>
      <t>V</t>
    </r>
    <r>
      <rPr>
        <vertAlign val="subscript"/>
        <sz val="10"/>
        <color theme="1"/>
        <rFont val="Calibri"/>
        <family val="2"/>
        <scheme val="minor"/>
      </rPr>
      <t>max-</t>
    </r>
  </si>
  <si>
    <r>
      <t>V</t>
    </r>
    <r>
      <rPr>
        <vertAlign val="subscript"/>
        <sz val="10"/>
        <color theme="1"/>
        <rFont val="Calibri"/>
        <family val="2"/>
        <scheme val="minor"/>
      </rPr>
      <t>max+</t>
    </r>
  </si>
  <si>
    <r>
      <rPr>
        <sz val="10"/>
        <color theme="1"/>
        <rFont val="Calibri"/>
        <family val="2"/>
      </rPr>
      <t>Δ</t>
    </r>
    <r>
      <rPr>
        <vertAlign val="subscript"/>
        <sz val="10"/>
        <color theme="1"/>
        <rFont val="Calibri"/>
        <family val="2"/>
        <scheme val="minor"/>
      </rPr>
      <t>L/S/Lr/R/W</t>
    </r>
  </si>
  <si>
    <r>
      <rPr>
        <sz val="10"/>
        <color theme="1"/>
        <rFont val="Calibri"/>
        <family val="2"/>
      </rPr>
      <t>Δ</t>
    </r>
    <r>
      <rPr>
        <vertAlign val="subscript"/>
        <sz val="10"/>
        <color theme="1"/>
        <rFont val="Calibri"/>
        <family val="2"/>
        <scheme val="minor"/>
      </rPr>
      <t>D+L/S/Lr/R/W</t>
    </r>
  </si>
  <si>
    <r>
      <t>R</t>
    </r>
    <r>
      <rPr>
        <vertAlign val="subscript"/>
        <sz val="10"/>
        <color theme="1"/>
        <rFont val="Calibri"/>
        <family val="2"/>
        <scheme val="minor"/>
      </rPr>
      <t>pg</t>
    </r>
  </si>
  <si>
    <r>
      <t>R</t>
    </r>
    <r>
      <rPr>
        <vertAlign val="subscript"/>
        <sz val="10"/>
        <color theme="1"/>
        <rFont val="Calibri"/>
        <family val="2"/>
        <scheme val="minor"/>
      </rPr>
      <t>pg</t>
    </r>
    <r>
      <rPr>
        <sz val="10"/>
        <color theme="1"/>
        <rFont val="Calibri"/>
        <family val="2"/>
        <scheme val="minor"/>
      </rPr>
      <t>*F</t>
    </r>
    <r>
      <rPr>
        <vertAlign val="subscript"/>
        <sz val="10"/>
        <color theme="1"/>
        <rFont val="Calibri"/>
        <family val="2"/>
        <scheme val="minor"/>
      </rPr>
      <t>y</t>
    </r>
    <r>
      <rPr>
        <sz val="10"/>
        <color theme="1"/>
        <rFont val="Calibri"/>
        <family val="2"/>
        <scheme val="minor"/>
      </rPr>
      <t>*S</t>
    </r>
    <r>
      <rPr>
        <vertAlign val="subscript"/>
        <sz val="10"/>
        <color theme="1"/>
        <rFont val="Calibri"/>
        <family val="2"/>
        <scheme val="minor"/>
      </rPr>
      <t>xc</t>
    </r>
  </si>
  <si>
    <t>L / #</t>
  </si>
  <si>
    <r>
      <rPr>
        <sz val="10"/>
        <color theme="1"/>
        <rFont val="Calibri"/>
        <family val="2"/>
      </rPr>
      <t>Δ</t>
    </r>
    <r>
      <rPr>
        <vertAlign val="subscript"/>
        <sz val="10"/>
        <color theme="1"/>
        <rFont val="Calibri"/>
        <family val="2"/>
        <scheme val="minor"/>
      </rPr>
      <t>limit</t>
    </r>
  </si>
  <si>
    <t>Actual Total Load Deflection</t>
  </si>
  <si>
    <t>Actual Live Load Deflection</t>
  </si>
  <si>
    <t>Live Load Deflection Limit [User Input]</t>
  </si>
  <si>
    <t>Total Load Deflection Limit [User Input]</t>
  </si>
  <si>
    <r>
      <t>F</t>
    </r>
    <r>
      <rPr>
        <vertAlign val="subscript"/>
        <sz val="10"/>
        <color theme="1"/>
        <rFont val="Calibri"/>
        <family val="2"/>
        <scheme val="minor"/>
      </rPr>
      <t>cr1</t>
    </r>
  </si>
  <si>
    <r>
      <t>F</t>
    </r>
    <r>
      <rPr>
        <vertAlign val="subscript"/>
        <sz val="10"/>
        <color theme="1"/>
        <rFont val="Calibri"/>
        <family val="2"/>
        <scheme val="minor"/>
      </rPr>
      <t>cr2</t>
    </r>
  </si>
  <si>
    <r>
      <t>R</t>
    </r>
    <r>
      <rPr>
        <vertAlign val="subscript"/>
        <sz val="10"/>
        <color theme="1"/>
        <rFont val="Calibri"/>
        <family val="2"/>
        <scheme val="minor"/>
      </rPr>
      <t>pg</t>
    </r>
    <r>
      <rPr>
        <sz val="10"/>
        <color theme="1"/>
        <rFont val="Calibri"/>
        <family val="2"/>
        <scheme val="minor"/>
      </rPr>
      <t>*F</t>
    </r>
    <r>
      <rPr>
        <vertAlign val="subscript"/>
        <sz val="10"/>
        <color theme="1"/>
        <rFont val="Calibri"/>
        <family val="2"/>
        <scheme val="minor"/>
      </rPr>
      <t>cr</t>
    </r>
    <r>
      <rPr>
        <sz val="10"/>
        <color theme="1"/>
        <rFont val="Calibri"/>
        <family val="2"/>
        <scheme val="minor"/>
      </rPr>
      <t>*S</t>
    </r>
    <r>
      <rPr>
        <vertAlign val="subscript"/>
        <sz val="10"/>
        <color theme="1"/>
        <rFont val="Calibri"/>
        <family val="2"/>
        <scheme val="minor"/>
      </rPr>
      <t>xc</t>
    </r>
  </si>
  <si>
    <t>[F4] Nominal Bending Strength x-x</t>
  </si>
  <si>
    <t>[F5] Nominal Bending Strength x-x</t>
  </si>
  <si>
    <t>[F4 vs. F5] Nominal Bending Strength x-x</t>
  </si>
  <si>
    <t>[F5] Slender Web</t>
  </si>
  <si>
    <t>[F4] Compact or Noncompact Web</t>
  </si>
  <si>
    <t>[F2/F3] Available Major Axis Bending Strength</t>
  </si>
  <si>
    <t>[F6] Available Minor Axis Bending Strength</t>
  </si>
  <si>
    <t>[F4/F5] Available Major Axis Bending Strength</t>
  </si>
  <si>
    <r>
      <t>b</t>
    </r>
    <r>
      <rPr>
        <vertAlign val="subscript"/>
        <sz val="10"/>
        <color theme="1"/>
        <rFont val="Calibri"/>
        <family val="2"/>
        <scheme val="minor"/>
      </rPr>
      <t>top</t>
    </r>
  </si>
  <si>
    <r>
      <t>t</t>
    </r>
    <r>
      <rPr>
        <vertAlign val="subscript"/>
        <sz val="10"/>
        <color theme="1"/>
        <rFont val="Calibri"/>
        <family val="2"/>
        <scheme val="minor"/>
      </rPr>
      <t>top</t>
    </r>
  </si>
  <si>
    <r>
      <t>t</t>
    </r>
    <r>
      <rPr>
        <vertAlign val="subscript"/>
        <sz val="10"/>
        <color theme="1"/>
        <rFont val="Calibri"/>
        <family val="2"/>
        <scheme val="minor"/>
      </rPr>
      <t>bot</t>
    </r>
  </si>
  <si>
    <r>
      <t>b</t>
    </r>
    <r>
      <rPr>
        <vertAlign val="subscript"/>
        <sz val="10"/>
        <color theme="1"/>
        <rFont val="Calibri"/>
        <family val="2"/>
        <scheme val="minor"/>
      </rPr>
      <t>bot</t>
    </r>
  </si>
  <si>
    <r>
      <t>A</t>
    </r>
    <r>
      <rPr>
        <vertAlign val="subscript"/>
        <sz val="10"/>
        <color theme="1"/>
        <rFont val="Calibri"/>
        <family val="2"/>
        <scheme val="minor"/>
      </rPr>
      <t>bot</t>
    </r>
  </si>
  <si>
    <r>
      <t>A</t>
    </r>
    <r>
      <rPr>
        <vertAlign val="subscript"/>
        <sz val="10"/>
        <color theme="1"/>
        <rFont val="Calibri"/>
        <family val="2"/>
        <scheme val="minor"/>
      </rPr>
      <t>top</t>
    </r>
  </si>
  <si>
    <t>[D2-1] Tensile Yielding</t>
  </si>
  <si>
    <t>U</t>
  </si>
  <si>
    <t>Shear Lag Factor (Assume U = 1)</t>
  </si>
  <si>
    <t>Shear Lab Factor (Assume U = 1)</t>
  </si>
  <si>
    <t>[D2-2] Tensile Rupture</t>
  </si>
  <si>
    <t>[E3-4] Elastic Buckling Stress</t>
  </si>
  <si>
    <t>[E3-2, E3-3] Critical Stress</t>
  </si>
  <si>
    <t>[E3-1] Nominal Compressive Strength</t>
  </si>
  <si>
    <t>[F6-1] Yielding</t>
  </si>
  <si>
    <t>[F6-2] Flange Local Buckling 2 (slender)</t>
  </si>
  <si>
    <t>[F6-2] Flange Local Buckling 1 (noncompact)</t>
  </si>
  <si>
    <t>[F2-4] Critical Stress</t>
  </si>
  <si>
    <t>[F2-1] Yielding</t>
  </si>
  <si>
    <t>[F2] Controlling LTB vs. Yielding Strength</t>
  </si>
  <si>
    <t>c</t>
  </si>
  <si>
    <t>[F2-5] Yielding Unbraced Length Limit</t>
  </si>
  <si>
    <t>[F2-6] LTB Unbraced Length Limit</t>
  </si>
  <si>
    <t>[F3] Flange Local Buckling Factor</t>
  </si>
  <si>
    <t>[F3-1] Noncompact Flange Local Buckling</t>
  </si>
  <si>
    <t>[F3-2] Slender Flange Local Buckling</t>
  </si>
  <si>
    <t>[F3-1 vs F3-2] Controlling Flange Local Buckling</t>
  </si>
  <si>
    <t>[F2 vs F3] Nominal Bending Strength x-x</t>
  </si>
  <si>
    <t>[F4-1] Compression Flange Yielding</t>
  </si>
  <si>
    <t>[F4-7] Yielding Unbraced Length Limit</t>
  </si>
  <si>
    <t>[F4-8] LTB Unbraced Length Limit</t>
  </si>
  <si>
    <t>[F4-9a, F4-9b, F4-10] Web Plastification Factor for Compression</t>
  </si>
  <si>
    <t>[F4-4] Yield Moment in Compression Flange</t>
  </si>
  <si>
    <t>[F4-5] Critical Stress</t>
  </si>
  <si>
    <r>
      <t>[F4-12] Value for r</t>
    </r>
    <r>
      <rPr>
        <vertAlign val="subscript"/>
        <sz val="10"/>
        <color theme="1"/>
        <rFont val="Calibri"/>
        <family val="2"/>
        <scheme val="minor"/>
      </rPr>
      <t>t</t>
    </r>
  </si>
  <si>
    <t>[F4-11] Effective Radius of Gyration for LTB</t>
  </si>
  <si>
    <r>
      <t>Plastic Yield Moment F</t>
    </r>
    <r>
      <rPr>
        <vertAlign val="subscript"/>
        <sz val="10"/>
        <color theme="1"/>
        <rFont val="Calibri"/>
        <family val="2"/>
        <scheme val="minor"/>
      </rPr>
      <t>y</t>
    </r>
    <r>
      <rPr>
        <sz val="10"/>
        <color theme="1"/>
        <rFont val="Calibri"/>
        <family val="2"/>
        <scheme val="minor"/>
      </rPr>
      <t>Z</t>
    </r>
    <r>
      <rPr>
        <vertAlign val="subscript"/>
        <sz val="10"/>
        <color theme="1"/>
        <rFont val="Calibri"/>
        <family val="2"/>
        <scheme val="minor"/>
      </rPr>
      <t>x</t>
    </r>
    <r>
      <rPr>
        <sz val="10"/>
        <color theme="1"/>
        <rFont val="Calibri"/>
        <family val="2"/>
        <scheme val="minor"/>
      </rPr>
      <t xml:space="preserve"> </t>
    </r>
    <r>
      <rPr>
        <sz val="10"/>
        <color theme="1"/>
        <rFont val="Calibri"/>
        <family val="2"/>
      </rPr>
      <t>≤</t>
    </r>
    <r>
      <rPr>
        <sz val="10"/>
        <color theme="1"/>
        <rFont val="Calibri"/>
        <family val="2"/>
        <scheme val="minor"/>
      </rPr>
      <t xml:space="preserve"> 1.6F</t>
    </r>
    <r>
      <rPr>
        <vertAlign val="subscript"/>
        <sz val="10"/>
        <color theme="1"/>
        <rFont val="Calibri"/>
        <family val="2"/>
        <scheme val="minor"/>
      </rPr>
      <t>y</t>
    </r>
    <r>
      <rPr>
        <sz val="10"/>
        <color theme="1"/>
        <rFont val="Calibri"/>
        <family val="2"/>
        <scheme val="minor"/>
      </rPr>
      <t>S</t>
    </r>
    <r>
      <rPr>
        <vertAlign val="subscript"/>
        <sz val="10"/>
        <color theme="1"/>
        <rFont val="Calibri"/>
        <family val="2"/>
        <scheme val="minor"/>
      </rPr>
      <t>x</t>
    </r>
  </si>
  <si>
    <t>Moment of Inertia y-y- Ratio</t>
  </si>
  <si>
    <t>[F4-6a, F4-6b] Nominal Compression Flange Stress</t>
  </si>
  <si>
    <t>[F4-15] Yield Moment in Tension Flange</t>
  </si>
  <si>
    <t>[F4-16a, F4-16b, F4-17] Web Plastification Factor for Tension</t>
  </si>
  <si>
    <t>1. Compression Flange Yielding</t>
  </si>
  <si>
    <t>2. Lateral-Torsional Buckling</t>
  </si>
  <si>
    <t>3. Compression Flange Local Buckling</t>
  </si>
  <si>
    <t>4. Tension Flange Yielding</t>
  </si>
  <si>
    <r>
      <t>[F4-2] Lateral-Torsional Buckling (L</t>
    </r>
    <r>
      <rPr>
        <vertAlign val="subscript"/>
        <sz val="10"/>
        <rFont val="Calibri"/>
        <family val="2"/>
        <scheme val="minor"/>
      </rPr>
      <t>p</t>
    </r>
    <r>
      <rPr>
        <sz val="10"/>
        <rFont val="Calibri"/>
        <family val="2"/>
        <scheme val="minor"/>
      </rPr>
      <t xml:space="preserve"> &lt; L</t>
    </r>
    <r>
      <rPr>
        <vertAlign val="subscript"/>
        <sz val="10"/>
        <rFont val="Calibri"/>
        <family val="2"/>
        <scheme val="minor"/>
      </rPr>
      <t>b</t>
    </r>
    <r>
      <rPr>
        <sz val="10"/>
        <rFont val="Calibri"/>
        <family val="2"/>
        <scheme val="minor"/>
      </rPr>
      <t xml:space="preserve"> ≤ L</t>
    </r>
    <r>
      <rPr>
        <vertAlign val="subscript"/>
        <sz val="10"/>
        <rFont val="Calibri"/>
        <family val="2"/>
        <scheme val="minor"/>
      </rPr>
      <t>r</t>
    </r>
    <r>
      <rPr>
        <sz val="10"/>
        <rFont val="Calibri"/>
        <family val="2"/>
        <scheme val="minor"/>
      </rPr>
      <t>)</t>
    </r>
  </si>
  <si>
    <r>
      <t>[F4-3] Lateral-Torsional Buckling (L</t>
    </r>
    <r>
      <rPr>
        <vertAlign val="subscript"/>
        <sz val="10"/>
        <rFont val="Calibri"/>
        <family val="2"/>
        <scheme val="minor"/>
      </rPr>
      <t>b</t>
    </r>
    <r>
      <rPr>
        <sz val="10"/>
        <rFont val="Calibri"/>
        <family val="2"/>
        <scheme val="minor"/>
      </rPr>
      <t xml:space="preserve"> &gt; L</t>
    </r>
    <r>
      <rPr>
        <vertAlign val="subscript"/>
        <sz val="10"/>
        <rFont val="Calibri"/>
        <family val="2"/>
        <scheme val="minor"/>
      </rPr>
      <t>r</t>
    </r>
    <r>
      <rPr>
        <sz val="10"/>
        <rFont val="Calibri"/>
        <family val="2"/>
        <scheme val="minor"/>
      </rPr>
      <t>)</t>
    </r>
  </si>
  <si>
    <t>1. Yielding</t>
  </si>
  <si>
    <t>[F3] Noncompact or Slender Flanges</t>
  </si>
  <si>
    <t>[F2] Compact Flanges</t>
  </si>
  <si>
    <t>2. Compression Flange Local Buckling</t>
  </si>
  <si>
    <t>[F2 vs F3] Controlling Section</t>
  </si>
  <si>
    <t>Calculations per [F2]</t>
  </si>
  <si>
    <r>
      <t>M</t>
    </r>
    <r>
      <rPr>
        <vertAlign val="subscript"/>
        <sz val="10"/>
        <color rgb="FFC00000"/>
        <rFont val="Calibri"/>
        <family val="2"/>
        <scheme val="minor"/>
      </rPr>
      <t>nx</t>
    </r>
  </si>
  <si>
    <r>
      <t>M</t>
    </r>
    <r>
      <rPr>
        <vertAlign val="subscript"/>
        <sz val="10"/>
        <rFont val="Calibri"/>
        <family val="2"/>
        <scheme val="minor"/>
      </rPr>
      <t>nflange</t>
    </r>
  </si>
  <si>
    <r>
      <t>M</t>
    </r>
    <r>
      <rPr>
        <vertAlign val="subscript"/>
        <sz val="10"/>
        <rFont val="Calibri"/>
        <family val="2"/>
        <scheme val="minor"/>
      </rPr>
      <t>nx</t>
    </r>
  </si>
  <si>
    <t>[F4 vs F5] Controlling Section</t>
  </si>
  <si>
    <t>[F4-13] Noncompact Flange Local Buckling</t>
  </si>
  <si>
    <t>[F4-14] Slender Flange Local Buckling</t>
  </si>
  <si>
    <r>
      <t>R</t>
    </r>
    <r>
      <rPr>
        <vertAlign val="subscript"/>
        <sz val="10"/>
        <color theme="1"/>
        <rFont val="Calibri"/>
        <family val="2"/>
        <scheme val="minor"/>
      </rPr>
      <t>pt</t>
    </r>
    <r>
      <rPr>
        <sz val="10"/>
        <color theme="1"/>
        <rFont val="Calibri"/>
        <family val="2"/>
        <scheme val="minor"/>
      </rPr>
      <t>*M</t>
    </r>
    <r>
      <rPr>
        <vertAlign val="subscript"/>
        <sz val="10"/>
        <color theme="1"/>
        <rFont val="Calibri"/>
        <family val="2"/>
        <scheme val="minor"/>
      </rPr>
      <t>yt</t>
    </r>
  </si>
  <si>
    <r>
      <t>R</t>
    </r>
    <r>
      <rPr>
        <vertAlign val="subscript"/>
        <sz val="10"/>
        <color theme="1"/>
        <rFont val="Calibri"/>
        <family val="2"/>
        <scheme val="minor"/>
      </rPr>
      <t>pc</t>
    </r>
    <r>
      <rPr>
        <sz val="10"/>
        <color theme="1"/>
        <rFont val="Calibri"/>
        <family val="2"/>
        <scheme val="minor"/>
      </rPr>
      <t>*M</t>
    </r>
    <r>
      <rPr>
        <vertAlign val="subscript"/>
        <sz val="10"/>
        <color theme="1"/>
        <rFont val="Calibri"/>
        <family val="2"/>
        <scheme val="minor"/>
      </rPr>
      <t>yc</t>
    </r>
  </si>
  <si>
    <t>[F4] Controlling Section</t>
  </si>
  <si>
    <t>[F5-6] Bending Strength Reduction Factor</t>
  </si>
  <si>
    <r>
      <t>[F4-12] Minimum of a</t>
    </r>
    <r>
      <rPr>
        <vertAlign val="subscript"/>
        <sz val="10"/>
        <color theme="1"/>
        <rFont val="Calibri"/>
        <family val="2"/>
        <scheme val="minor"/>
      </rPr>
      <t>w</t>
    </r>
    <r>
      <rPr>
        <sz val="10"/>
        <color theme="1"/>
        <rFont val="Calibri"/>
        <family val="2"/>
        <scheme val="minor"/>
      </rPr>
      <t xml:space="preserve"> and 10</t>
    </r>
  </si>
  <si>
    <t>[F5-1] Compression Flange Yielding</t>
  </si>
  <si>
    <t>[F5-2] Lateral-Torsional Buckling</t>
  </si>
  <si>
    <r>
      <t xml:space="preserve">[F5-3] Critical Stess (Lp &lt; Lb </t>
    </r>
    <r>
      <rPr>
        <sz val="10"/>
        <color theme="1"/>
        <rFont val="Calibri"/>
        <family val="2"/>
      </rPr>
      <t xml:space="preserve">≤ </t>
    </r>
    <r>
      <rPr>
        <sz val="10"/>
        <color theme="1"/>
        <rFont val="Calibri"/>
        <family val="2"/>
        <scheme val="minor"/>
      </rPr>
      <t>Lr)</t>
    </r>
  </si>
  <si>
    <r>
      <t>[F5-4] Critical Stess (Lb &gt;</t>
    </r>
    <r>
      <rPr>
        <sz val="10"/>
        <color theme="1"/>
        <rFont val="Calibri"/>
        <family val="2"/>
      </rPr>
      <t xml:space="preserve"> </t>
    </r>
    <r>
      <rPr>
        <sz val="10"/>
        <color theme="1"/>
        <rFont val="Calibri"/>
        <family val="2"/>
        <scheme val="minor"/>
      </rPr>
      <t>Lr)</t>
    </r>
  </si>
  <si>
    <r>
      <t>Controlling Critical Stress (F</t>
    </r>
    <r>
      <rPr>
        <vertAlign val="subscript"/>
        <sz val="10"/>
        <color theme="1"/>
        <rFont val="Calibri"/>
        <family val="2"/>
        <scheme val="minor"/>
      </rPr>
      <t>cr1</t>
    </r>
    <r>
      <rPr>
        <sz val="10"/>
        <color theme="1"/>
        <rFont val="Calibri"/>
        <family val="2"/>
        <scheme val="minor"/>
      </rPr>
      <t xml:space="preserve"> vs F</t>
    </r>
    <r>
      <rPr>
        <vertAlign val="subscript"/>
        <sz val="10"/>
        <color theme="1"/>
        <rFont val="Calibri"/>
        <family val="2"/>
        <scheme val="minor"/>
      </rPr>
      <t>cr2</t>
    </r>
    <r>
      <rPr>
        <sz val="10"/>
        <color theme="1"/>
        <rFont val="Calibri"/>
        <family val="2"/>
        <scheme val="minor"/>
      </rPr>
      <t>)</t>
    </r>
  </si>
  <si>
    <t>[F5-7] Compression Flange Local Buckling</t>
  </si>
  <si>
    <t>[F5-9] Critical Stess (slender flanges)</t>
  </si>
  <si>
    <t>[F5-8] Critical Stess (noncompact flanges)</t>
  </si>
  <si>
    <t>[F5-10] Tension Flange Yielding</t>
  </si>
  <si>
    <t>[F5] Controlling Section</t>
  </si>
  <si>
    <r>
      <t>M</t>
    </r>
    <r>
      <rPr>
        <vertAlign val="subscript"/>
        <sz val="10"/>
        <color rgb="FF0000FF"/>
        <rFont val="Calibri"/>
        <family val="2"/>
        <scheme val="minor"/>
      </rPr>
      <t>nx</t>
    </r>
  </si>
  <si>
    <t>Section Properties</t>
  </si>
  <si>
    <r>
      <t>M</t>
    </r>
    <r>
      <rPr>
        <vertAlign val="subscript"/>
        <sz val="10"/>
        <color theme="1"/>
        <rFont val="Calibri"/>
        <family val="2"/>
        <scheme val="minor"/>
      </rPr>
      <t>yt</t>
    </r>
    <r>
      <rPr>
        <sz val="10"/>
        <color theme="1"/>
        <rFont val="Calibri"/>
        <family val="2"/>
        <scheme val="minor"/>
      </rPr>
      <t>=F</t>
    </r>
    <r>
      <rPr>
        <vertAlign val="subscript"/>
        <sz val="10"/>
        <color theme="1"/>
        <rFont val="Calibri"/>
        <family val="2"/>
        <scheme val="minor"/>
      </rPr>
      <t>y</t>
    </r>
    <r>
      <rPr>
        <sz val="10"/>
        <color theme="1"/>
        <rFont val="Calibri"/>
        <family val="2"/>
        <scheme val="minor"/>
      </rPr>
      <t>*S</t>
    </r>
    <r>
      <rPr>
        <vertAlign val="subscript"/>
        <sz val="10"/>
        <color theme="1"/>
        <rFont val="Calibri"/>
        <family val="2"/>
        <scheme val="minor"/>
      </rPr>
      <t>xt</t>
    </r>
  </si>
  <si>
    <t>Distance Between Flanges</t>
  </si>
  <si>
    <t>C</t>
  </si>
  <si>
    <t>C15X50</t>
  </si>
  <si>
    <t>C15X40</t>
  </si>
  <si>
    <t>C15X33.9</t>
  </si>
  <si>
    <t>C12X30</t>
  </si>
  <si>
    <t>C12X25</t>
  </si>
  <si>
    <t>C12X20.7</t>
  </si>
  <si>
    <t>C10X30</t>
  </si>
  <si>
    <t>C10X25</t>
  </si>
  <si>
    <t>C10X20</t>
  </si>
  <si>
    <t>C10X15.3</t>
  </si>
  <si>
    <t>C9X20</t>
  </si>
  <si>
    <t>C9X15</t>
  </si>
  <si>
    <t>C9X13.4</t>
  </si>
  <si>
    <t>C8X18.75</t>
  </si>
  <si>
    <t>C8X13.75</t>
  </si>
  <si>
    <t>C8X11.5</t>
  </si>
  <si>
    <t>C7X14.75</t>
  </si>
  <si>
    <t>C7X12.25</t>
  </si>
  <si>
    <t>C7X9.8</t>
  </si>
  <si>
    <t>C6X13</t>
  </si>
  <si>
    <t>C6X10.5</t>
  </si>
  <si>
    <t>C6X8.2</t>
  </si>
  <si>
    <t>C5X9</t>
  </si>
  <si>
    <t>C5X6.7</t>
  </si>
  <si>
    <t>C4X7.25</t>
  </si>
  <si>
    <t>C4X6.25</t>
  </si>
  <si>
    <t>C4X5.4</t>
  </si>
  <si>
    <t>C4X4.5</t>
  </si>
  <si>
    <t>C3X6</t>
  </si>
  <si>
    <t>C3X5</t>
  </si>
  <si>
    <t>C3X4.1</t>
  </si>
  <si>
    <t>C3X3.5</t>
  </si>
  <si>
    <t>MC</t>
  </si>
  <si>
    <t>MC18X58</t>
  </si>
  <si>
    <t>MC18X51.9</t>
  </si>
  <si>
    <t>MC18X45.8</t>
  </si>
  <si>
    <t>MC18X42.7</t>
  </si>
  <si>
    <t>MC13X50</t>
  </si>
  <si>
    <t>MC13X40</t>
  </si>
  <si>
    <t>MC13X35</t>
  </si>
  <si>
    <t>MC13X31.8</t>
  </si>
  <si>
    <t>MC12X50</t>
  </si>
  <si>
    <t>MC12X45</t>
  </si>
  <si>
    <t>MC12X40</t>
  </si>
  <si>
    <t>MC12X35</t>
  </si>
  <si>
    <t>MC12X31</t>
  </si>
  <si>
    <t>MC12X14.3</t>
  </si>
  <si>
    <t>MC12X10.6</t>
  </si>
  <si>
    <t>MC10X41.1</t>
  </si>
  <si>
    <t>MC10X33.6</t>
  </si>
  <si>
    <t>MC10X28.5</t>
  </si>
  <si>
    <t>MC10X25</t>
  </si>
  <si>
    <t>MC10X22</t>
  </si>
  <si>
    <t>MC10X8.4</t>
  </si>
  <si>
    <t>MC10X6.5</t>
  </si>
  <si>
    <t>MC9X25.4</t>
  </si>
  <si>
    <t>MC9X23.9</t>
  </si>
  <si>
    <t>MC8X22.8</t>
  </si>
  <si>
    <t>MC8X21.4</t>
  </si>
  <si>
    <t>MC8X20</t>
  </si>
  <si>
    <t>MC8X18.7</t>
  </si>
  <si>
    <t>MC8X8.5</t>
  </si>
  <si>
    <t>MC7X22.7</t>
  </si>
  <si>
    <t>MC7X19.1</t>
  </si>
  <si>
    <t>MC6X18</t>
  </si>
  <si>
    <t>MC6X15.3</t>
  </si>
  <si>
    <t>MC6X16.3</t>
  </si>
  <si>
    <t>MC6X15.1</t>
  </si>
  <si>
    <t>MC6X12</t>
  </si>
  <si>
    <t>MC6X7</t>
  </si>
  <si>
    <t>MC6X6.5</t>
  </si>
  <si>
    <t>MC4X13.8</t>
  </si>
  <si>
    <t>MC3X7.1</t>
  </si>
  <si>
    <t>H</t>
  </si>
  <si>
    <r>
      <t>r</t>
    </r>
    <r>
      <rPr>
        <b/>
        <i/>
        <vertAlign val="subscript"/>
        <sz val="10"/>
        <rFont val="Calibri"/>
        <family val="2"/>
        <scheme val="minor"/>
      </rPr>
      <t>o</t>
    </r>
  </si>
  <si>
    <t>WT</t>
  </si>
  <si>
    <t>WT22X167.5</t>
  </si>
  <si>
    <t>WT22X145</t>
  </si>
  <si>
    <t>WT22X131</t>
  </si>
  <si>
    <t>WT22X115</t>
  </si>
  <si>
    <t>WT20X327.5</t>
  </si>
  <si>
    <t>WT20X296.5</t>
  </si>
  <si>
    <t>WT20X251.5</t>
  </si>
  <si>
    <t>WT20X215.5</t>
  </si>
  <si>
    <t>WT20X198.5</t>
  </si>
  <si>
    <t>WT20X186</t>
  </si>
  <si>
    <t>WT20X181</t>
  </si>
  <si>
    <t>WT20X162</t>
  </si>
  <si>
    <t>WT20X148.5</t>
  </si>
  <si>
    <t>WT20X138.5</t>
  </si>
  <si>
    <t>WT20X124.5</t>
  </si>
  <si>
    <t>WT20X107.5</t>
  </si>
  <si>
    <t>WT20X99.5</t>
  </si>
  <si>
    <t>WT20X196</t>
  </si>
  <si>
    <t>WT20X165.5</t>
  </si>
  <si>
    <t>WT20X163.5</t>
  </si>
  <si>
    <t>WT20X147</t>
  </si>
  <si>
    <t>WT20X139</t>
  </si>
  <si>
    <t>WT20X132</t>
  </si>
  <si>
    <t>WT20X117.5</t>
  </si>
  <si>
    <t>WT20X105.5</t>
  </si>
  <si>
    <t>WT20X91.5</t>
  </si>
  <si>
    <t>WT20X83.5</t>
  </si>
  <si>
    <t>WT20X74.5</t>
  </si>
  <si>
    <t>WT18X462.5</t>
  </si>
  <si>
    <t>WT18X426.5</t>
  </si>
  <si>
    <t>WT18X401</t>
  </si>
  <si>
    <t>WT18X361.5</t>
  </si>
  <si>
    <t>WT18X326</t>
  </si>
  <si>
    <t>WT18X264.5</t>
  </si>
  <si>
    <t>WT18X243.5</t>
  </si>
  <si>
    <t>WT18X220.5</t>
  </si>
  <si>
    <t>WT18X197.5</t>
  </si>
  <si>
    <t>WT18X180.5</t>
  </si>
  <si>
    <t>WT18X165</t>
  </si>
  <si>
    <t>WT18X151</t>
  </si>
  <si>
    <t>WT18X141</t>
  </si>
  <si>
    <t>WT18X131</t>
  </si>
  <si>
    <t>WT18X123.5</t>
  </si>
  <si>
    <t>WT18X115.5</t>
  </si>
  <si>
    <t>WT18X128</t>
  </si>
  <si>
    <t>WT18X116</t>
  </si>
  <si>
    <t>WT18X105</t>
  </si>
  <si>
    <t>WT18X97</t>
  </si>
  <si>
    <t>WT18X91</t>
  </si>
  <si>
    <t>WT18X85</t>
  </si>
  <si>
    <t>WT18X80</t>
  </si>
  <si>
    <t>WT18X75</t>
  </si>
  <si>
    <t>WT18X67.5</t>
  </si>
  <si>
    <t>WT16.5X193.5</t>
  </si>
  <si>
    <t>WT16.5X177</t>
  </si>
  <si>
    <t>WT16.5X159</t>
  </si>
  <si>
    <t>WT16.5X145.5</t>
  </si>
  <si>
    <t>WT16.5X131.5</t>
  </si>
  <si>
    <t>WT16.5X120.5</t>
  </si>
  <si>
    <t>WT16.5X110.5</t>
  </si>
  <si>
    <t>WT16.5X100.5</t>
  </si>
  <si>
    <t>WT16.5X84.5</t>
  </si>
  <si>
    <t>WT16.5X76</t>
  </si>
  <si>
    <t>WT16.5X70.5</t>
  </si>
  <si>
    <t>WT16.5X65</t>
  </si>
  <si>
    <t>WT16.5X59</t>
  </si>
  <si>
    <t>WT15X195.5</t>
  </si>
  <si>
    <t>WT15X178.5</t>
  </si>
  <si>
    <t>WT15X163</t>
  </si>
  <si>
    <t>WT15X146</t>
  </si>
  <si>
    <t>WT15X130.5</t>
  </si>
  <si>
    <t>WT15X117.5</t>
  </si>
  <si>
    <t>WT15X105.5</t>
  </si>
  <si>
    <t>WT15X95.5</t>
  </si>
  <si>
    <t>WT15X86.5</t>
  </si>
  <si>
    <t>WT15X74</t>
  </si>
  <si>
    <t>WT15X66</t>
  </si>
  <si>
    <t>WT15X62</t>
  </si>
  <si>
    <t>WT15X58</t>
  </si>
  <si>
    <t>WT15X54</t>
  </si>
  <si>
    <t>WT15X49.5</t>
  </si>
  <si>
    <t>WT15X45</t>
  </si>
  <si>
    <t>WT13.5X269.5</t>
  </si>
  <si>
    <t>WT13.5X184</t>
  </si>
  <si>
    <t>WT13.5X168</t>
  </si>
  <si>
    <t>WT13.5X153.5</t>
  </si>
  <si>
    <t>WT13.5X140.5</t>
  </si>
  <si>
    <t>WT13.5X129</t>
  </si>
  <si>
    <t>WT13.5X117.5</t>
  </si>
  <si>
    <t>WT13.5X108.5</t>
  </si>
  <si>
    <t>WT13.5X97</t>
  </si>
  <si>
    <t>WT13.5X89</t>
  </si>
  <si>
    <t>WT13.5X80.5</t>
  </si>
  <si>
    <t>WT13.5X73</t>
  </si>
  <si>
    <t>WT13.5X64.5</t>
  </si>
  <si>
    <t>WT13.5X57</t>
  </si>
  <si>
    <t>WT13.5X51</t>
  </si>
  <si>
    <t>WT13.5X47</t>
  </si>
  <si>
    <t>WT13.5X42</t>
  </si>
  <si>
    <t>WT12X185</t>
  </si>
  <si>
    <t>WT12X167.5</t>
  </si>
  <si>
    <t>WT12X153</t>
  </si>
  <si>
    <t>WT12X139.5</t>
  </si>
  <si>
    <t>WT12X125</t>
  </si>
  <si>
    <t>WT12X114.5</t>
  </si>
  <si>
    <t>WT12X103.5</t>
  </si>
  <si>
    <t>WT12X96</t>
  </si>
  <si>
    <t>WT12X88</t>
  </si>
  <si>
    <t>WT12X81</t>
  </si>
  <si>
    <t>WT12X73</t>
  </si>
  <si>
    <t>WT12X65.5</t>
  </si>
  <si>
    <t>WT12X58.5</t>
  </si>
  <si>
    <t>WT12X52</t>
  </si>
  <si>
    <t>WT12X51.5</t>
  </si>
  <si>
    <t>WT12X47</t>
  </si>
  <si>
    <t>WT12X42</t>
  </si>
  <si>
    <t>WT12X38</t>
  </si>
  <si>
    <t>WT12X34</t>
  </si>
  <si>
    <t>WT12X31</t>
  </si>
  <si>
    <t>WT12X27.5</t>
  </si>
  <si>
    <t>WT10.5X137.5</t>
  </si>
  <si>
    <t>WT10.5X124</t>
  </si>
  <si>
    <t>WT10.5X111.5</t>
  </si>
  <si>
    <t>WT10.5X100.5</t>
  </si>
  <si>
    <t>WT10.5X91</t>
  </si>
  <si>
    <t>WT10.5X83</t>
  </si>
  <si>
    <t>WT10.5X73.5</t>
  </si>
  <si>
    <t>WT10.5X66</t>
  </si>
  <si>
    <t>WT10.5X61</t>
  </si>
  <si>
    <t>WT10.5X55.5</t>
  </si>
  <si>
    <t>WT10.5X50.5</t>
  </si>
  <si>
    <t>WT10.5X46.5</t>
  </si>
  <si>
    <t>WT10.5X41.5</t>
  </si>
  <si>
    <t>WT10.5X36.5</t>
  </si>
  <si>
    <t>WT10.5X34</t>
  </si>
  <si>
    <t>WT10.5X31</t>
  </si>
  <si>
    <t>WT10.5X27.5</t>
  </si>
  <si>
    <t>WT10.5X24</t>
  </si>
  <si>
    <t>WT10.5X28.5</t>
  </si>
  <si>
    <t>WT10.5X25</t>
  </si>
  <si>
    <t>WT10.5X22</t>
  </si>
  <si>
    <t>WT9X155.5</t>
  </si>
  <si>
    <t>WT9X141.5</t>
  </si>
  <si>
    <t>WT9X129</t>
  </si>
  <si>
    <t>WT9X117</t>
  </si>
  <si>
    <t>WT9X105.5</t>
  </si>
  <si>
    <t>WT9X96</t>
  </si>
  <si>
    <t>WT9X87.5</t>
  </si>
  <si>
    <t>WT9X79</t>
  </si>
  <si>
    <t>WT9X71.5</t>
  </si>
  <si>
    <t>WT9X65</t>
  </si>
  <si>
    <t>WT9X59.5</t>
  </si>
  <si>
    <t>WT9X53</t>
  </si>
  <si>
    <t>WT9X48.5</t>
  </si>
  <si>
    <t>WT9X43</t>
  </si>
  <si>
    <t>WT9X38</t>
  </si>
  <si>
    <t>WT9X35.5</t>
  </si>
  <si>
    <t>WT9X32.5</t>
  </si>
  <si>
    <t>WT9X30</t>
  </si>
  <si>
    <t>WT9X27.5</t>
  </si>
  <si>
    <t>WT9X25</t>
  </si>
  <si>
    <t>WT9X23</t>
  </si>
  <si>
    <t>WT9X20</t>
  </si>
  <si>
    <t>WT9X17.5</t>
  </si>
  <si>
    <t>WT8X50</t>
  </si>
  <si>
    <t>WT8X44.5</t>
  </si>
  <si>
    <t>WT8X38.5</t>
  </si>
  <si>
    <t>WT8X33.5</t>
  </si>
  <si>
    <t>WT8X28.5</t>
  </si>
  <si>
    <t>WT8X25</t>
  </si>
  <si>
    <t>WT8X22.5</t>
  </si>
  <si>
    <t>WT8X20</t>
  </si>
  <si>
    <t>WT8X18</t>
  </si>
  <si>
    <t>WT8X15.5</t>
  </si>
  <si>
    <t>WT8X13</t>
  </si>
  <si>
    <t>WT7X436.5</t>
  </si>
  <si>
    <t>WT7X404</t>
  </si>
  <si>
    <t>WT7X365</t>
  </si>
  <si>
    <t>WT7X332.5</t>
  </si>
  <si>
    <t>WT7X302.5</t>
  </si>
  <si>
    <t>WT7X275</t>
  </si>
  <si>
    <t>WT7X250</t>
  </si>
  <si>
    <t>WT7X227.5</t>
  </si>
  <si>
    <t>WT7X213</t>
  </si>
  <si>
    <t>WT7X199</t>
  </si>
  <si>
    <t>WT7X185</t>
  </si>
  <si>
    <t>WT7X171</t>
  </si>
  <si>
    <t>WT7X155.5</t>
  </si>
  <si>
    <t>WT7X141.5</t>
  </si>
  <si>
    <t>WT7X128.5</t>
  </si>
  <si>
    <t>WT7X116.5</t>
  </si>
  <si>
    <t>WT7X105.5</t>
  </si>
  <si>
    <t>WT7X96.5</t>
  </si>
  <si>
    <t>WT7X88</t>
  </si>
  <si>
    <t>WT7X79.5</t>
  </si>
  <si>
    <t>WT7X72.5</t>
  </si>
  <si>
    <t>WT7X66</t>
  </si>
  <si>
    <t>WT7X60</t>
  </si>
  <si>
    <t>WT7X54.5</t>
  </si>
  <si>
    <t>WT7X49.5</t>
  </si>
  <si>
    <t>WT7X45</t>
  </si>
  <si>
    <t>WT7X41</t>
  </si>
  <si>
    <t>WT7X37</t>
  </si>
  <si>
    <t>WT7X34</t>
  </si>
  <si>
    <t>WT7X30.5</t>
  </si>
  <si>
    <t>WT7X26.5</t>
  </si>
  <si>
    <t>WT7X24</t>
  </si>
  <si>
    <t>WT7X21.5</t>
  </si>
  <si>
    <t>WT7X19</t>
  </si>
  <si>
    <t>WT7X17</t>
  </si>
  <si>
    <t>WT7X15</t>
  </si>
  <si>
    <t>WT7X13</t>
  </si>
  <si>
    <t>WT7X11</t>
  </si>
  <si>
    <t>WT6X168</t>
  </si>
  <si>
    <t>WT6X152.5</t>
  </si>
  <si>
    <t>WT6X139.5</t>
  </si>
  <si>
    <t>WT6X126</t>
  </si>
  <si>
    <t>WT6X115</t>
  </si>
  <si>
    <t>WT6X105</t>
  </si>
  <si>
    <t>WT6X95</t>
  </si>
  <si>
    <t>WT6X85</t>
  </si>
  <si>
    <t>WT6X76</t>
  </si>
  <si>
    <t>WT6X68</t>
  </si>
  <si>
    <t>WT6X60</t>
  </si>
  <si>
    <t>WT6X53</t>
  </si>
  <si>
    <t>WT6X48</t>
  </si>
  <si>
    <t>WT6X43.5</t>
  </si>
  <si>
    <t>WT6X39.5</t>
  </si>
  <si>
    <t>WT6X36</t>
  </si>
  <si>
    <t>WT6X32.5</t>
  </si>
  <si>
    <t>WT6X29</t>
  </si>
  <si>
    <t>WT6X26.5</t>
  </si>
  <si>
    <t>WT6X25</t>
  </si>
  <si>
    <t>WT6X22.5</t>
  </si>
  <si>
    <t>WT6X20</t>
  </si>
  <si>
    <t>WT6X17.5</t>
  </si>
  <si>
    <t>WT6X15</t>
  </si>
  <si>
    <t>WT6X13</t>
  </si>
  <si>
    <t>WT6X11</t>
  </si>
  <si>
    <t>WT6X9.5</t>
  </si>
  <si>
    <t>WT6X8</t>
  </si>
  <si>
    <t>WT6X7</t>
  </si>
  <si>
    <t>WT5X56</t>
  </si>
  <si>
    <t>WT5X50</t>
  </si>
  <si>
    <t>WT5X44</t>
  </si>
  <si>
    <t>WT5X38.5</t>
  </si>
  <si>
    <t>WT5X34</t>
  </si>
  <si>
    <t>WT5X30</t>
  </si>
  <si>
    <t>WT5X27</t>
  </si>
  <si>
    <t>WT5X24.5</t>
  </si>
  <si>
    <t>WT5X22.5</t>
  </si>
  <si>
    <t>WT5X19.5</t>
  </si>
  <si>
    <t>WT5X16.5</t>
  </si>
  <si>
    <t>WT5X15</t>
  </si>
  <si>
    <t>WT5X13</t>
  </si>
  <si>
    <t>WT5X11</t>
  </si>
  <si>
    <t>WT5X9.5</t>
  </si>
  <si>
    <t>WT5X8.5</t>
  </si>
  <si>
    <t>WT5X7.5</t>
  </si>
  <si>
    <t>WT5X6</t>
  </si>
  <si>
    <t>WT4X33.5</t>
  </si>
  <si>
    <t>WT4X29</t>
  </si>
  <si>
    <t>WT4X24</t>
  </si>
  <si>
    <t>WT4X20</t>
  </si>
  <si>
    <t>WT4X17.5</t>
  </si>
  <si>
    <t>WT4X15.5</t>
  </si>
  <si>
    <t>WT4X14</t>
  </si>
  <si>
    <t>WT4X12</t>
  </si>
  <si>
    <t>WT4X10.5</t>
  </si>
  <si>
    <t>WT4X9</t>
  </si>
  <si>
    <t>WT4X7.5</t>
  </si>
  <si>
    <t>WT4X6.5</t>
  </si>
  <si>
    <t>WT4X5</t>
  </si>
  <si>
    <t>WT3X12.5</t>
  </si>
  <si>
    <t>WT3X10</t>
  </si>
  <si>
    <t>WT3X7.5</t>
  </si>
  <si>
    <t>WT3X8</t>
  </si>
  <si>
    <t>WT3X6</t>
  </si>
  <si>
    <t>WT3X4.5</t>
  </si>
  <si>
    <t>WT3X4.25</t>
  </si>
  <si>
    <t>WT2.5X9.5</t>
  </si>
  <si>
    <t>WT2.5X8</t>
  </si>
  <si>
    <t>WT2X6.5</t>
  </si>
  <si>
    <t>Shape Type</t>
  </si>
  <si>
    <r>
      <t>r</t>
    </r>
    <r>
      <rPr>
        <vertAlign val="subscript"/>
        <sz val="10"/>
        <color theme="1"/>
        <rFont val="Calibri"/>
        <family val="2"/>
        <scheme val="minor"/>
      </rPr>
      <t>o</t>
    </r>
  </si>
  <si>
    <t>Flexural Constant</t>
  </si>
  <si>
    <t>Polar Radius of Gyration about Shear Center</t>
  </si>
  <si>
    <t>[F2-8a, F2-8b] Coefficient</t>
  </si>
  <si>
    <r>
      <t>V</t>
    </r>
    <r>
      <rPr>
        <vertAlign val="subscript"/>
        <sz val="10"/>
        <color theme="1"/>
        <rFont val="Calibri"/>
        <family val="2"/>
        <scheme val="minor"/>
      </rPr>
      <t>a</t>
    </r>
    <r>
      <rPr>
        <sz val="10"/>
        <color theme="1"/>
        <rFont val="Calibri"/>
        <family val="2"/>
        <scheme val="minor"/>
      </rPr>
      <t xml:space="preserve"> ASD 2</t>
    </r>
    <r>
      <rPr>
        <sz val="11"/>
        <color theme="1"/>
        <rFont val="Calibri"/>
        <family val="2"/>
        <scheme val="minor"/>
      </rPr>
      <t/>
    </r>
  </si>
  <si>
    <r>
      <t>V</t>
    </r>
    <r>
      <rPr>
        <vertAlign val="subscript"/>
        <sz val="10"/>
        <color theme="1"/>
        <rFont val="Calibri"/>
        <family val="2"/>
        <scheme val="minor"/>
      </rPr>
      <t>a</t>
    </r>
    <r>
      <rPr>
        <sz val="10"/>
        <color theme="1"/>
        <rFont val="Calibri"/>
        <family val="2"/>
        <scheme val="minor"/>
      </rPr>
      <t xml:space="preserve"> ASD 3</t>
    </r>
    <r>
      <rPr>
        <sz val="11"/>
        <color theme="1"/>
        <rFont val="Calibri"/>
        <family val="2"/>
        <scheme val="minor"/>
      </rPr>
      <t/>
    </r>
  </si>
  <si>
    <r>
      <t>V</t>
    </r>
    <r>
      <rPr>
        <vertAlign val="subscript"/>
        <sz val="10"/>
        <color theme="1"/>
        <rFont val="Calibri"/>
        <family val="2"/>
        <scheme val="minor"/>
      </rPr>
      <t>a</t>
    </r>
    <r>
      <rPr>
        <sz val="10"/>
        <color theme="1"/>
        <rFont val="Calibri"/>
        <family val="2"/>
        <scheme val="minor"/>
      </rPr>
      <t xml:space="preserve"> ASD 4</t>
    </r>
    <r>
      <rPr>
        <sz val="11"/>
        <color theme="1"/>
        <rFont val="Calibri"/>
        <family val="2"/>
        <scheme val="minor"/>
      </rPr>
      <t/>
    </r>
  </si>
  <si>
    <r>
      <t>V</t>
    </r>
    <r>
      <rPr>
        <vertAlign val="subscript"/>
        <sz val="10"/>
        <color theme="1"/>
        <rFont val="Calibri"/>
        <family val="2"/>
        <scheme val="minor"/>
      </rPr>
      <t>a</t>
    </r>
    <r>
      <rPr>
        <sz val="10"/>
        <color theme="1"/>
        <rFont val="Calibri"/>
        <family val="2"/>
        <scheme val="minor"/>
      </rPr>
      <t xml:space="preserve"> ASD 5</t>
    </r>
    <r>
      <rPr>
        <sz val="11"/>
        <color theme="1"/>
        <rFont val="Calibri"/>
        <family val="2"/>
        <scheme val="minor"/>
      </rPr>
      <t/>
    </r>
  </si>
  <si>
    <r>
      <t>V</t>
    </r>
    <r>
      <rPr>
        <vertAlign val="subscript"/>
        <sz val="10"/>
        <color theme="1"/>
        <rFont val="Calibri"/>
        <family val="2"/>
        <scheme val="minor"/>
      </rPr>
      <t>a</t>
    </r>
    <r>
      <rPr>
        <sz val="10"/>
        <color theme="1"/>
        <rFont val="Calibri"/>
        <family val="2"/>
        <scheme val="minor"/>
      </rPr>
      <t xml:space="preserve"> ASD 6</t>
    </r>
    <r>
      <rPr>
        <sz val="11"/>
        <color theme="1"/>
        <rFont val="Calibri"/>
        <family val="2"/>
        <scheme val="minor"/>
      </rPr>
      <t/>
    </r>
  </si>
  <si>
    <r>
      <t>V</t>
    </r>
    <r>
      <rPr>
        <vertAlign val="subscript"/>
        <sz val="10"/>
        <color theme="1"/>
        <rFont val="Calibri"/>
        <family val="2"/>
        <scheme val="minor"/>
      </rPr>
      <t>a</t>
    </r>
    <r>
      <rPr>
        <sz val="10"/>
        <color theme="1"/>
        <rFont val="Calibri"/>
        <family val="2"/>
        <scheme val="minor"/>
      </rPr>
      <t xml:space="preserve"> ASD 7</t>
    </r>
    <r>
      <rPr>
        <sz val="11"/>
        <color theme="1"/>
        <rFont val="Calibri"/>
        <family val="2"/>
        <scheme val="minor"/>
      </rPr>
      <t/>
    </r>
  </si>
  <si>
    <t>ASD Safety Factor for C-Shapes</t>
  </si>
  <si>
    <t>ASD Safety Factor for I-Shapes</t>
  </si>
  <si>
    <r>
      <t>Ω</t>
    </r>
    <r>
      <rPr>
        <vertAlign val="subscript"/>
        <sz val="10"/>
        <color theme="1"/>
        <rFont val="Calibri"/>
        <family val="2"/>
        <scheme val="minor"/>
      </rPr>
      <t>1</t>
    </r>
  </si>
  <si>
    <r>
      <t>Ω</t>
    </r>
    <r>
      <rPr>
        <vertAlign val="subscript"/>
        <sz val="10"/>
        <color theme="1"/>
        <rFont val="Calibri"/>
        <family val="2"/>
        <scheme val="minor"/>
      </rPr>
      <t>2</t>
    </r>
    <r>
      <rPr>
        <sz val="11"/>
        <color theme="1"/>
        <rFont val="Calibri"/>
        <family val="2"/>
        <scheme val="minor"/>
      </rPr>
      <t/>
    </r>
  </si>
  <si>
    <t>Controlling ASD Safety Factor</t>
  </si>
  <si>
    <t>Controlling LRFD Resistance Factor</t>
  </si>
  <si>
    <t>LRFD Resistance Factor for C-Shapes</t>
  </si>
  <si>
    <t>LRFD Resistance Factor for I-Shapes</t>
  </si>
  <si>
    <r>
      <t>φ</t>
    </r>
    <r>
      <rPr>
        <vertAlign val="subscript"/>
        <sz val="10"/>
        <color theme="1"/>
        <rFont val="Calibri"/>
        <family val="2"/>
      </rPr>
      <t>2</t>
    </r>
  </si>
  <si>
    <r>
      <t>φ</t>
    </r>
    <r>
      <rPr>
        <vertAlign val="subscript"/>
        <sz val="10"/>
        <color theme="1"/>
        <rFont val="Calibri"/>
        <family val="2"/>
      </rPr>
      <t>1</t>
    </r>
    <r>
      <rPr>
        <sz val="11"/>
        <color theme="1"/>
        <rFont val="Calibri"/>
        <family val="2"/>
        <scheme val="minor"/>
      </rPr>
      <t/>
    </r>
  </si>
  <si>
    <t>Total Deflection</t>
  </si>
  <si>
    <r>
      <t>L</t>
    </r>
    <r>
      <rPr>
        <vertAlign val="subscript"/>
        <sz val="10"/>
        <color theme="1"/>
        <rFont val="Calibri"/>
        <family val="2"/>
        <scheme val="minor"/>
      </rPr>
      <t>z</t>
    </r>
  </si>
  <si>
    <t>Unbraced Length z-z (Compression)</t>
  </si>
  <si>
    <r>
      <t>F</t>
    </r>
    <r>
      <rPr>
        <vertAlign val="subscript"/>
        <sz val="10"/>
        <color theme="1"/>
        <rFont val="Calibri"/>
        <family val="2"/>
        <scheme val="minor"/>
      </rPr>
      <t>ex</t>
    </r>
  </si>
  <si>
    <r>
      <t>F</t>
    </r>
    <r>
      <rPr>
        <vertAlign val="subscript"/>
        <sz val="10"/>
        <color theme="1"/>
        <rFont val="Calibri"/>
        <family val="2"/>
        <scheme val="minor"/>
      </rPr>
      <t>ez</t>
    </r>
  </si>
  <si>
    <r>
      <t>F</t>
    </r>
    <r>
      <rPr>
        <vertAlign val="subscript"/>
        <sz val="10"/>
        <color theme="1"/>
        <rFont val="Calibri"/>
        <family val="2"/>
        <scheme val="minor"/>
      </rPr>
      <t>ey</t>
    </r>
  </si>
  <si>
    <r>
      <t>F</t>
    </r>
    <r>
      <rPr>
        <vertAlign val="subscript"/>
        <sz val="10"/>
        <color theme="1"/>
        <rFont val="Calibri"/>
        <family val="2"/>
        <scheme val="minor"/>
      </rPr>
      <t>e1</t>
    </r>
  </si>
  <si>
    <r>
      <t>F</t>
    </r>
    <r>
      <rPr>
        <vertAlign val="subscript"/>
        <sz val="10"/>
        <color theme="1"/>
        <rFont val="Calibri"/>
        <family val="2"/>
        <scheme val="minor"/>
      </rPr>
      <t>e2</t>
    </r>
  </si>
  <si>
    <t>[E3] Flexural Buckling w/out Slender Elements</t>
  </si>
  <si>
    <t>[E4] Torsional Buckling &amp; Flexural-Torsional Buckling w/out Slender Elements</t>
  </si>
  <si>
    <t>[E7] Members with Slender Elements</t>
  </si>
  <si>
    <r>
      <t>P</t>
    </r>
    <r>
      <rPr>
        <vertAlign val="subscript"/>
        <sz val="10"/>
        <color theme="1"/>
        <rFont val="Calibri"/>
        <family val="2"/>
        <scheme val="minor"/>
      </rPr>
      <t>n1</t>
    </r>
  </si>
  <si>
    <r>
      <t>P</t>
    </r>
    <r>
      <rPr>
        <vertAlign val="subscript"/>
        <sz val="10"/>
        <color theme="1"/>
        <rFont val="Calibri"/>
        <family val="2"/>
        <scheme val="minor"/>
      </rPr>
      <t>n2</t>
    </r>
  </si>
  <si>
    <r>
      <t>c</t>
    </r>
    <r>
      <rPr>
        <vertAlign val="subscript"/>
        <sz val="10"/>
        <color theme="1"/>
        <rFont val="Calibri"/>
        <family val="2"/>
        <scheme val="minor"/>
      </rPr>
      <t>1</t>
    </r>
  </si>
  <si>
    <r>
      <t>c</t>
    </r>
    <r>
      <rPr>
        <vertAlign val="subscript"/>
        <sz val="10"/>
        <color theme="1"/>
        <rFont val="Calibri"/>
        <family val="2"/>
        <scheme val="minor"/>
      </rPr>
      <t>2</t>
    </r>
  </si>
  <si>
    <r>
      <t>F</t>
    </r>
    <r>
      <rPr>
        <vertAlign val="subscript"/>
        <sz val="10"/>
        <color theme="1"/>
        <rFont val="Calibri"/>
        <family val="2"/>
        <scheme val="minor"/>
      </rPr>
      <t>el</t>
    </r>
  </si>
  <si>
    <t>[E4-1] Nominal Compressive Strength</t>
  </si>
  <si>
    <t>[E4-2] Torsional Elastic Buckling Stress</t>
  </si>
  <si>
    <t>[E4-1] Flexural-Torsional Elastic Buckling</t>
  </si>
  <si>
    <t>[E4-1] Torsional Elastic Buckling</t>
  </si>
  <si>
    <t>[E3-2, E3-3] Torsional Elastic Crit. Stress</t>
  </si>
  <si>
    <r>
      <t>Component of F</t>
    </r>
    <r>
      <rPr>
        <vertAlign val="subscript"/>
        <sz val="10"/>
        <color theme="1"/>
        <rFont val="Calibri"/>
        <family val="2"/>
        <scheme val="minor"/>
      </rPr>
      <t>ez</t>
    </r>
  </si>
  <si>
    <t>[E4-5] Elastic Buckling Stress x-x</t>
  </si>
  <si>
    <t>[E4-6] Elastic Buckling Stress y-y</t>
  </si>
  <si>
    <t>[E4-7] Elastic Buckling Stress z-z</t>
  </si>
  <si>
    <t>[E3 vs E4 vs E7] Nominal Compressive Strength</t>
  </si>
  <si>
    <r>
      <t>P</t>
    </r>
    <r>
      <rPr>
        <vertAlign val="subscript"/>
        <sz val="10"/>
        <color rgb="FFC00000"/>
        <rFont val="Calibri"/>
        <family val="2"/>
        <scheme val="minor"/>
      </rPr>
      <t>n</t>
    </r>
  </si>
  <si>
    <t>[E3 vs E4] Controlling Section</t>
  </si>
  <si>
    <t>[E3 vs E4 vs E7] Controlling Section</t>
  </si>
  <si>
    <t>Required Moment of Inertia, Ix</t>
  </si>
  <si>
    <r>
      <t>Required I</t>
    </r>
    <r>
      <rPr>
        <vertAlign val="subscript"/>
        <sz val="10"/>
        <color theme="1"/>
        <rFont val="Calibri"/>
        <family val="2"/>
        <scheme val="minor"/>
      </rPr>
      <t>x</t>
    </r>
    <r>
      <rPr>
        <sz val="10"/>
        <color theme="1"/>
        <rFont val="Calibri"/>
        <family val="2"/>
        <scheme val="minor"/>
      </rPr>
      <t xml:space="preserve"> for Live Load Deflection</t>
    </r>
  </si>
  <si>
    <r>
      <t>Required I</t>
    </r>
    <r>
      <rPr>
        <vertAlign val="subscript"/>
        <sz val="10"/>
        <color theme="1"/>
        <rFont val="Calibri"/>
        <family val="2"/>
        <scheme val="minor"/>
      </rPr>
      <t>x</t>
    </r>
    <r>
      <rPr>
        <sz val="10"/>
        <color theme="1"/>
        <rFont val="Calibri"/>
        <family val="2"/>
        <scheme val="minor"/>
      </rPr>
      <t xml:space="preserve"> for Total Load Deflection</t>
    </r>
  </si>
  <si>
    <r>
      <t>I</t>
    </r>
    <r>
      <rPr>
        <vertAlign val="subscript"/>
        <sz val="10"/>
        <color theme="1"/>
        <rFont val="Calibri"/>
        <family val="2"/>
      </rPr>
      <t>x_req</t>
    </r>
  </si>
  <si>
    <t>Actual Live Load Deflection Ratio</t>
  </si>
  <si>
    <t>Actual Total Load Deflection Ratio</t>
  </si>
  <si>
    <t>[E3-2, E3-3] Flex-Tors Elastic Crit. Stress</t>
  </si>
  <si>
    <r>
      <t>F</t>
    </r>
    <r>
      <rPr>
        <vertAlign val="subscript"/>
        <sz val="10"/>
        <color theme="1"/>
        <rFont val="Calibri"/>
        <family val="2"/>
        <scheme val="minor"/>
      </rPr>
      <t>e2_Channel</t>
    </r>
  </si>
  <si>
    <r>
      <t>F</t>
    </r>
    <r>
      <rPr>
        <vertAlign val="subscript"/>
        <sz val="10"/>
        <color theme="1"/>
        <rFont val="Calibri"/>
        <family val="2"/>
        <scheme val="minor"/>
      </rPr>
      <t>e2_WF</t>
    </r>
  </si>
  <si>
    <t>[E4-3] Flex-Tors Elastic Buckling Stress</t>
  </si>
  <si>
    <t>[E4-3] Flex-Tors Elastic Buckling Stress (WF)</t>
  </si>
  <si>
    <t>[E4-3] Flex-Tors Elastic Buckling Stress (Channel)</t>
  </si>
  <si>
    <t>Web (Stiffened Element)</t>
  </si>
  <si>
    <t>λ</t>
  </si>
  <si>
    <t>[E7-5] Elastic Local Buckling Stress</t>
  </si>
  <si>
    <t>Effective Width Imperfection Adjustment Factor</t>
  </si>
  <si>
    <t>Width-to-Thickness Ratio</t>
  </si>
  <si>
    <t>b</t>
  </si>
  <si>
    <t>Limit</t>
  </si>
  <si>
    <r>
      <t>A</t>
    </r>
    <r>
      <rPr>
        <vertAlign val="subscript"/>
        <sz val="10"/>
        <color theme="1"/>
        <rFont val="Calibri"/>
        <family val="2"/>
        <scheme val="minor"/>
      </rPr>
      <t>e</t>
    </r>
  </si>
  <si>
    <t>Effective Area of Web</t>
  </si>
  <si>
    <t>Effective Area of Top Flange</t>
  </si>
  <si>
    <r>
      <t>A</t>
    </r>
    <r>
      <rPr>
        <vertAlign val="subscript"/>
        <sz val="10"/>
        <color theme="1"/>
        <rFont val="Calibri"/>
        <family val="2"/>
        <scheme val="minor"/>
      </rPr>
      <t>ew</t>
    </r>
  </si>
  <si>
    <t>Summation of Effective Areas</t>
  </si>
  <si>
    <t>Flanges (Unstiffened Element)</t>
  </si>
  <si>
    <t>Critical Stress from E3/E4</t>
  </si>
  <si>
    <t>[E7-1] Nominal Compressive Strength</t>
  </si>
  <si>
    <t>[E7-3] Reduced Flange Width</t>
  </si>
  <si>
    <t>Web Depth (Between Flanges)</t>
  </si>
  <si>
    <t>[E7-3] Reduced Web Depth (Between Flanges)</t>
  </si>
  <si>
    <t>Effective Area of One Flange</t>
  </si>
  <si>
    <r>
      <t>A</t>
    </r>
    <r>
      <rPr>
        <vertAlign val="subscript"/>
        <sz val="10"/>
        <color theme="1"/>
        <rFont val="Calibri"/>
        <family val="2"/>
        <scheme val="minor"/>
      </rPr>
      <t>ef</t>
    </r>
  </si>
  <si>
    <r>
      <t>r</t>
    </r>
    <r>
      <rPr>
        <vertAlign val="subscript"/>
        <sz val="10"/>
        <color theme="1"/>
        <rFont val="Calibri"/>
        <family val="2"/>
        <scheme val="minor"/>
      </rPr>
      <t>o</t>
    </r>
    <r>
      <rPr>
        <vertAlign val="superscript"/>
        <sz val="10"/>
        <color theme="1"/>
        <rFont val="Calibri"/>
        <family val="2"/>
        <scheme val="minor"/>
      </rPr>
      <t>2</t>
    </r>
  </si>
  <si>
    <t>Flexual Constant</t>
  </si>
  <si>
    <t>Member ID</t>
  </si>
  <si>
    <t>Inspection ID</t>
  </si>
  <si>
    <t>LRFD</t>
  </si>
  <si>
    <t>Project: x</t>
  </si>
  <si>
    <t>Total Fillet Area</t>
  </si>
  <si>
    <r>
      <t>y</t>
    </r>
    <r>
      <rPr>
        <vertAlign val="subscript"/>
        <sz val="10"/>
        <color theme="1"/>
        <rFont val="Calibri"/>
        <family val="2"/>
        <scheme val="minor"/>
      </rPr>
      <t>1</t>
    </r>
  </si>
  <si>
    <r>
      <t>y</t>
    </r>
    <r>
      <rPr>
        <vertAlign val="subscript"/>
        <sz val="10"/>
        <color theme="1"/>
        <rFont val="Calibri"/>
        <family val="2"/>
        <scheme val="minor"/>
      </rPr>
      <t>2</t>
    </r>
    <r>
      <rPr>
        <sz val="11"/>
        <color theme="1"/>
        <rFont val="Calibri"/>
        <family val="2"/>
        <scheme val="minor"/>
      </rPr>
      <t/>
    </r>
  </si>
  <si>
    <r>
      <t>y</t>
    </r>
    <r>
      <rPr>
        <vertAlign val="subscript"/>
        <sz val="10"/>
        <color theme="1"/>
        <rFont val="Calibri"/>
        <family val="2"/>
        <scheme val="minor"/>
      </rPr>
      <t>3</t>
    </r>
    <r>
      <rPr>
        <sz val="11"/>
        <color theme="1"/>
        <rFont val="Calibri"/>
        <family val="2"/>
        <scheme val="minor"/>
      </rPr>
      <t/>
    </r>
  </si>
  <si>
    <r>
      <t>y</t>
    </r>
    <r>
      <rPr>
        <vertAlign val="subscript"/>
        <sz val="10"/>
        <color theme="1"/>
        <rFont val="Calibri"/>
        <family val="2"/>
        <scheme val="minor"/>
      </rPr>
      <t>4</t>
    </r>
    <r>
      <rPr>
        <sz val="11"/>
        <color theme="1"/>
        <rFont val="Calibri"/>
        <family val="2"/>
        <scheme val="minor"/>
      </rPr>
      <t/>
    </r>
  </si>
  <si>
    <r>
      <t>y</t>
    </r>
    <r>
      <rPr>
        <vertAlign val="subscript"/>
        <sz val="10"/>
        <color theme="1"/>
        <rFont val="Calibri"/>
        <family val="2"/>
        <scheme val="minor"/>
      </rPr>
      <t>5</t>
    </r>
    <r>
      <rPr>
        <sz val="11"/>
        <color theme="1"/>
        <rFont val="Calibri"/>
        <family val="2"/>
        <scheme val="minor"/>
      </rPr>
      <t/>
    </r>
  </si>
  <si>
    <t>Bottom Fillet Centroid from bottom datum</t>
  </si>
  <si>
    <t>Web Centroid from bottom datum</t>
  </si>
  <si>
    <t>Top Fillet Centroid from bottom datum</t>
  </si>
  <si>
    <t>Elastic Neutral Axis (Centroid) from bottom</t>
  </si>
  <si>
    <t>Elastic Neutral Axis (Centroid) from top</t>
  </si>
  <si>
    <t>Top Flange Centroid from bottom datum</t>
  </si>
  <si>
    <t>Bottom Flange Centroid from bottom datum</t>
  </si>
  <si>
    <r>
      <t>A</t>
    </r>
    <r>
      <rPr>
        <vertAlign val="subscript"/>
        <sz val="10"/>
        <color theme="1"/>
        <rFont val="Calibri"/>
        <family val="2"/>
        <scheme val="minor"/>
      </rPr>
      <t>f2</t>
    </r>
    <r>
      <rPr>
        <sz val="10"/>
        <color theme="1"/>
        <rFont val="Calibri"/>
        <family val="2"/>
        <scheme val="minor"/>
      </rPr>
      <t>*y</t>
    </r>
    <r>
      <rPr>
        <vertAlign val="subscript"/>
        <sz val="10"/>
        <color theme="1"/>
        <rFont val="Calibri"/>
        <family val="2"/>
        <scheme val="minor"/>
      </rPr>
      <t>1</t>
    </r>
  </si>
  <si>
    <r>
      <t>A</t>
    </r>
    <r>
      <rPr>
        <vertAlign val="subscript"/>
        <sz val="10"/>
        <color theme="1"/>
        <rFont val="Calibri"/>
        <family val="2"/>
        <scheme val="minor"/>
      </rPr>
      <t>f1</t>
    </r>
    <r>
      <rPr>
        <sz val="10"/>
        <color theme="1"/>
        <rFont val="Calibri"/>
        <family val="2"/>
        <scheme val="minor"/>
      </rPr>
      <t>*y</t>
    </r>
    <r>
      <rPr>
        <vertAlign val="subscript"/>
        <sz val="10"/>
        <color theme="1"/>
        <rFont val="Calibri"/>
        <family val="2"/>
        <scheme val="minor"/>
      </rPr>
      <t>5</t>
    </r>
  </si>
  <si>
    <r>
      <t>A</t>
    </r>
    <r>
      <rPr>
        <vertAlign val="subscript"/>
        <sz val="10"/>
        <color theme="1"/>
        <rFont val="Calibri"/>
        <family val="2"/>
        <scheme val="minor"/>
      </rPr>
      <t>w</t>
    </r>
    <r>
      <rPr>
        <sz val="10"/>
        <color theme="1"/>
        <rFont val="Calibri"/>
        <family val="2"/>
        <scheme val="minor"/>
      </rPr>
      <t>*y</t>
    </r>
    <r>
      <rPr>
        <vertAlign val="subscript"/>
        <sz val="10"/>
        <color theme="1"/>
        <rFont val="Calibri"/>
        <family val="2"/>
        <scheme val="minor"/>
      </rPr>
      <t>3</t>
    </r>
  </si>
  <si>
    <r>
      <t>1/2*A</t>
    </r>
    <r>
      <rPr>
        <vertAlign val="subscript"/>
        <sz val="10"/>
        <color theme="1"/>
        <rFont val="Calibri"/>
        <family val="2"/>
        <scheme val="minor"/>
      </rPr>
      <t>fillet</t>
    </r>
    <r>
      <rPr>
        <sz val="10"/>
        <color theme="1"/>
        <rFont val="Calibri"/>
        <family val="2"/>
        <scheme val="minor"/>
      </rPr>
      <t>*y</t>
    </r>
    <r>
      <rPr>
        <vertAlign val="subscript"/>
        <sz val="10"/>
        <color theme="1"/>
        <rFont val="Calibri"/>
        <family val="2"/>
        <scheme val="minor"/>
      </rPr>
      <t>2</t>
    </r>
  </si>
  <si>
    <r>
      <t>1/2*A</t>
    </r>
    <r>
      <rPr>
        <vertAlign val="subscript"/>
        <sz val="10"/>
        <color theme="1"/>
        <rFont val="Calibri"/>
        <family val="2"/>
        <scheme val="minor"/>
      </rPr>
      <t>fillet</t>
    </r>
    <r>
      <rPr>
        <sz val="10"/>
        <color theme="1"/>
        <rFont val="Calibri"/>
        <family val="2"/>
        <scheme val="minor"/>
      </rPr>
      <t>*y</t>
    </r>
    <r>
      <rPr>
        <vertAlign val="subscript"/>
        <sz val="10"/>
        <color theme="1"/>
        <rFont val="Calibri"/>
        <family val="2"/>
        <scheme val="minor"/>
      </rPr>
      <t>4</t>
    </r>
  </si>
  <si>
    <r>
      <rPr>
        <sz val="10"/>
        <color theme="1"/>
        <rFont val="Calibri"/>
        <family val="2"/>
      </rPr>
      <t>∑</t>
    </r>
    <r>
      <rPr>
        <sz val="12"/>
        <color theme="1"/>
        <rFont val="Calibri"/>
        <family val="2"/>
      </rPr>
      <t>(</t>
    </r>
    <r>
      <rPr>
        <sz val="10"/>
        <color theme="1"/>
        <rFont val="Calibri"/>
        <family val="2"/>
        <scheme val="minor"/>
      </rPr>
      <t>A*y)</t>
    </r>
  </si>
  <si>
    <r>
      <t>d</t>
    </r>
    <r>
      <rPr>
        <vertAlign val="subscript"/>
        <sz val="10"/>
        <color theme="1"/>
        <rFont val="Calibri"/>
        <family val="2"/>
        <scheme val="minor"/>
      </rPr>
      <t>1</t>
    </r>
  </si>
  <si>
    <r>
      <t>d</t>
    </r>
    <r>
      <rPr>
        <vertAlign val="subscript"/>
        <sz val="10"/>
        <color theme="1"/>
        <rFont val="Calibri"/>
        <family val="2"/>
        <scheme val="minor"/>
      </rPr>
      <t>2</t>
    </r>
    <r>
      <rPr>
        <sz val="11"/>
        <color theme="1"/>
        <rFont val="Calibri"/>
        <family val="2"/>
        <scheme val="minor"/>
      </rPr>
      <t/>
    </r>
  </si>
  <si>
    <r>
      <t>d</t>
    </r>
    <r>
      <rPr>
        <vertAlign val="subscript"/>
        <sz val="10"/>
        <color theme="1"/>
        <rFont val="Calibri"/>
        <family val="2"/>
        <scheme val="minor"/>
      </rPr>
      <t>3</t>
    </r>
    <r>
      <rPr>
        <sz val="11"/>
        <color theme="1"/>
        <rFont val="Calibri"/>
        <family val="2"/>
        <scheme val="minor"/>
      </rPr>
      <t/>
    </r>
  </si>
  <si>
    <r>
      <t>d</t>
    </r>
    <r>
      <rPr>
        <vertAlign val="subscript"/>
        <sz val="10"/>
        <color theme="1"/>
        <rFont val="Calibri"/>
        <family val="2"/>
        <scheme val="minor"/>
      </rPr>
      <t>4</t>
    </r>
    <r>
      <rPr>
        <sz val="11"/>
        <color theme="1"/>
        <rFont val="Calibri"/>
        <family val="2"/>
        <scheme val="minor"/>
      </rPr>
      <t/>
    </r>
  </si>
  <si>
    <r>
      <t>d</t>
    </r>
    <r>
      <rPr>
        <vertAlign val="subscript"/>
        <sz val="10"/>
        <color theme="1"/>
        <rFont val="Calibri"/>
        <family val="2"/>
        <scheme val="minor"/>
      </rPr>
      <t>5</t>
    </r>
    <r>
      <rPr>
        <sz val="11"/>
        <color theme="1"/>
        <rFont val="Calibri"/>
        <family val="2"/>
        <scheme val="minor"/>
      </rPr>
      <t/>
    </r>
  </si>
  <si>
    <t>Distance from ENA to Bottom Flange Centroid</t>
  </si>
  <si>
    <t>Distance from ENA to Top Flange Centroid</t>
  </si>
  <si>
    <t>Distance from ENA to Web Centroid</t>
  </si>
  <si>
    <t>Distance from ENA to Bottom Fillet Centroid</t>
  </si>
  <si>
    <t>Distance from ENA to Top Fillet Centroid</t>
  </si>
  <si>
    <r>
      <t>A</t>
    </r>
    <r>
      <rPr>
        <vertAlign val="subscript"/>
        <sz val="10"/>
        <color theme="1"/>
        <rFont val="Calibri"/>
        <family val="2"/>
        <scheme val="minor"/>
      </rPr>
      <t>f2</t>
    </r>
    <r>
      <rPr>
        <sz val="10"/>
        <color theme="1"/>
        <rFont val="Calibri"/>
        <family val="2"/>
        <scheme val="minor"/>
      </rPr>
      <t>*d</t>
    </r>
    <r>
      <rPr>
        <vertAlign val="subscript"/>
        <sz val="10"/>
        <color theme="1"/>
        <rFont val="Calibri"/>
        <family val="2"/>
        <scheme val="minor"/>
      </rPr>
      <t>1</t>
    </r>
    <r>
      <rPr>
        <vertAlign val="superscript"/>
        <sz val="10"/>
        <color theme="1"/>
        <rFont val="Calibri"/>
        <family val="2"/>
        <scheme val="minor"/>
      </rPr>
      <t>2</t>
    </r>
  </si>
  <si>
    <r>
      <t>1/2*A</t>
    </r>
    <r>
      <rPr>
        <vertAlign val="subscript"/>
        <sz val="10"/>
        <color theme="1"/>
        <rFont val="Calibri"/>
        <family val="2"/>
        <scheme val="minor"/>
      </rPr>
      <t>fillet</t>
    </r>
    <r>
      <rPr>
        <sz val="10"/>
        <color theme="1"/>
        <rFont val="Calibri"/>
        <family val="2"/>
        <scheme val="minor"/>
      </rPr>
      <t>*d</t>
    </r>
    <r>
      <rPr>
        <vertAlign val="subscript"/>
        <sz val="10"/>
        <color theme="1"/>
        <rFont val="Calibri"/>
        <family val="2"/>
        <scheme val="minor"/>
      </rPr>
      <t>2</t>
    </r>
    <r>
      <rPr>
        <vertAlign val="superscript"/>
        <sz val="10"/>
        <color theme="1"/>
        <rFont val="Calibri"/>
        <family val="2"/>
        <scheme val="minor"/>
      </rPr>
      <t>2</t>
    </r>
  </si>
  <si>
    <r>
      <t>1/2*A</t>
    </r>
    <r>
      <rPr>
        <vertAlign val="subscript"/>
        <sz val="10"/>
        <color theme="1"/>
        <rFont val="Calibri"/>
        <family val="2"/>
        <scheme val="minor"/>
      </rPr>
      <t>fillet</t>
    </r>
    <r>
      <rPr>
        <sz val="10"/>
        <color theme="1"/>
        <rFont val="Calibri"/>
        <family val="2"/>
        <scheme val="minor"/>
      </rPr>
      <t>*d</t>
    </r>
    <r>
      <rPr>
        <vertAlign val="subscript"/>
        <sz val="10"/>
        <color theme="1"/>
        <rFont val="Calibri"/>
        <family val="2"/>
        <scheme val="minor"/>
      </rPr>
      <t>4</t>
    </r>
    <r>
      <rPr>
        <vertAlign val="superscript"/>
        <sz val="10"/>
        <color theme="1"/>
        <rFont val="Calibri"/>
        <family val="2"/>
        <scheme val="minor"/>
      </rPr>
      <t>2</t>
    </r>
  </si>
  <si>
    <r>
      <t>A</t>
    </r>
    <r>
      <rPr>
        <vertAlign val="subscript"/>
        <sz val="10"/>
        <color theme="1"/>
        <rFont val="Calibri"/>
        <family val="2"/>
        <scheme val="minor"/>
      </rPr>
      <t>w</t>
    </r>
    <r>
      <rPr>
        <sz val="10"/>
        <color theme="1"/>
        <rFont val="Calibri"/>
        <family val="2"/>
        <scheme val="minor"/>
      </rPr>
      <t>*d</t>
    </r>
    <r>
      <rPr>
        <vertAlign val="subscript"/>
        <sz val="10"/>
        <color theme="1"/>
        <rFont val="Calibri"/>
        <family val="2"/>
        <scheme val="minor"/>
      </rPr>
      <t>3</t>
    </r>
    <r>
      <rPr>
        <vertAlign val="superscript"/>
        <sz val="10"/>
        <color theme="1"/>
        <rFont val="Calibri"/>
        <family val="2"/>
        <scheme val="minor"/>
      </rPr>
      <t>2</t>
    </r>
  </si>
  <si>
    <r>
      <t>A</t>
    </r>
    <r>
      <rPr>
        <vertAlign val="subscript"/>
        <sz val="10"/>
        <color theme="1"/>
        <rFont val="Calibri"/>
        <family val="2"/>
        <scheme val="minor"/>
      </rPr>
      <t>f1</t>
    </r>
    <r>
      <rPr>
        <sz val="10"/>
        <color theme="1"/>
        <rFont val="Calibri"/>
        <family val="2"/>
        <scheme val="minor"/>
      </rPr>
      <t>*d</t>
    </r>
    <r>
      <rPr>
        <vertAlign val="subscript"/>
        <sz val="10"/>
        <color theme="1"/>
        <rFont val="Calibri"/>
        <family val="2"/>
        <scheme val="minor"/>
      </rPr>
      <t>5</t>
    </r>
    <r>
      <rPr>
        <vertAlign val="superscript"/>
        <sz val="10"/>
        <color theme="1"/>
        <rFont val="Calibri"/>
        <family val="2"/>
        <scheme val="minor"/>
      </rPr>
      <t>2</t>
    </r>
  </si>
  <si>
    <r>
      <rPr>
        <sz val="10"/>
        <color theme="1"/>
        <rFont val="Calibri"/>
        <family val="2"/>
      </rPr>
      <t>∑</t>
    </r>
    <r>
      <rPr>
        <sz val="12"/>
        <color theme="1"/>
        <rFont val="Calibri"/>
        <family val="2"/>
      </rPr>
      <t>(</t>
    </r>
    <r>
      <rPr>
        <sz val="10"/>
        <color theme="1"/>
        <rFont val="Calibri"/>
        <family val="2"/>
        <scheme val="minor"/>
      </rPr>
      <t>A*d</t>
    </r>
    <r>
      <rPr>
        <vertAlign val="superscript"/>
        <sz val="10"/>
        <color theme="1"/>
        <rFont val="Calibri"/>
        <family val="2"/>
        <scheme val="minor"/>
      </rPr>
      <t>2</t>
    </r>
    <r>
      <rPr>
        <sz val="10"/>
        <color theme="1"/>
        <rFont val="Calibri"/>
        <family val="2"/>
        <scheme val="minor"/>
      </rPr>
      <t>)</t>
    </r>
  </si>
  <si>
    <r>
      <t>I</t>
    </r>
    <r>
      <rPr>
        <vertAlign val="subscript"/>
        <sz val="10"/>
        <color theme="1"/>
        <rFont val="Calibri"/>
        <family val="2"/>
        <scheme val="minor"/>
      </rPr>
      <t>x2</t>
    </r>
    <r>
      <rPr>
        <sz val="11"/>
        <color theme="1"/>
        <rFont val="Calibri"/>
        <family val="2"/>
        <scheme val="minor"/>
      </rPr>
      <t/>
    </r>
  </si>
  <si>
    <r>
      <t>I</t>
    </r>
    <r>
      <rPr>
        <vertAlign val="subscript"/>
        <sz val="10"/>
        <color theme="1"/>
        <rFont val="Calibri"/>
        <family val="2"/>
        <scheme val="minor"/>
      </rPr>
      <t>x3</t>
    </r>
    <r>
      <rPr>
        <sz val="11"/>
        <color theme="1"/>
        <rFont val="Calibri"/>
        <family val="2"/>
        <scheme val="minor"/>
      </rPr>
      <t/>
    </r>
  </si>
  <si>
    <r>
      <t>I</t>
    </r>
    <r>
      <rPr>
        <vertAlign val="subscript"/>
        <sz val="10"/>
        <color theme="1"/>
        <rFont val="Calibri"/>
        <family val="2"/>
        <scheme val="minor"/>
      </rPr>
      <t>x4</t>
    </r>
    <r>
      <rPr>
        <sz val="11"/>
        <color theme="1"/>
        <rFont val="Calibri"/>
        <family val="2"/>
        <scheme val="minor"/>
      </rPr>
      <t/>
    </r>
  </si>
  <si>
    <r>
      <t>I</t>
    </r>
    <r>
      <rPr>
        <vertAlign val="subscript"/>
        <sz val="10"/>
        <color theme="1"/>
        <rFont val="Calibri"/>
        <family val="2"/>
        <scheme val="minor"/>
      </rPr>
      <t>x5</t>
    </r>
    <r>
      <rPr>
        <sz val="11"/>
        <color theme="1"/>
        <rFont val="Calibri"/>
        <family val="2"/>
        <scheme val="minor"/>
      </rPr>
      <t/>
    </r>
  </si>
  <si>
    <t>Bottom Fillet Moment of Inertia x-x</t>
  </si>
  <si>
    <t>Top Fillet Moment of Inertia x-x</t>
  </si>
  <si>
    <r>
      <rPr>
        <sz val="10"/>
        <color theme="1"/>
        <rFont val="Calibri"/>
        <family val="2"/>
      </rPr>
      <t>∑</t>
    </r>
    <r>
      <rPr>
        <sz val="12"/>
        <color theme="1"/>
        <rFont val="Calibri"/>
        <family val="2"/>
      </rPr>
      <t>(</t>
    </r>
    <r>
      <rPr>
        <sz val="10"/>
        <color theme="1"/>
        <rFont val="Calibri"/>
        <family val="2"/>
        <scheme val="minor"/>
      </rPr>
      <t>I</t>
    </r>
    <r>
      <rPr>
        <vertAlign val="subscript"/>
        <sz val="10"/>
        <color theme="1"/>
        <rFont val="Calibri"/>
        <family val="2"/>
        <scheme val="minor"/>
      </rPr>
      <t>xi</t>
    </r>
    <r>
      <rPr>
        <sz val="10"/>
        <color theme="1"/>
        <rFont val="Calibri"/>
        <family val="2"/>
        <scheme val="minor"/>
      </rPr>
      <t>)</t>
    </r>
  </si>
  <si>
    <r>
      <t>in</t>
    </r>
    <r>
      <rPr>
        <vertAlign val="superscript"/>
        <sz val="10"/>
        <color theme="1"/>
        <rFont val="Calibri"/>
        <family val="2"/>
        <scheme val="minor"/>
      </rPr>
      <t>5</t>
    </r>
    <r>
      <rPr>
        <sz val="11"/>
        <color theme="1"/>
        <rFont val="Calibri"/>
        <family val="2"/>
        <scheme val="minor"/>
      </rPr>
      <t/>
    </r>
  </si>
  <si>
    <t>Summation</t>
  </si>
  <si>
    <t>Plastic Neutral Axis distance from bottom</t>
  </si>
  <si>
    <t>Plastic Neutral Axis distance from top</t>
  </si>
  <si>
    <t>Depth of Web in Tension Area from bottom</t>
  </si>
  <si>
    <t>Depth of Web in Compression Area from top</t>
  </si>
  <si>
    <r>
      <t>d = PNA</t>
    </r>
    <r>
      <rPr>
        <vertAlign val="subscript"/>
        <sz val="10"/>
        <color theme="1"/>
        <rFont val="Calibri"/>
        <family val="2"/>
        <scheme val="minor"/>
      </rPr>
      <t xml:space="preserve">bot </t>
    </r>
    <r>
      <rPr>
        <sz val="10"/>
        <color theme="1"/>
        <rFont val="Calibri"/>
        <family val="2"/>
        <scheme val="minor"/>
      </rPr>
      <t>+ PNA</t>
    </r>
    <r>
      <rPr>
        <vertAlign val="subscript"/>
        <sz val="10"/>
        <color theme="1"/>
        <rFont val="Calibri"/>
        <family val="2"/>
        <scheme val="minor"/>
      </rPr>
      <t>top</t>
    </r>
  </si>
  <si>
    <t>Check</t>
  </si>
  <si>
    <r>
      <t>d = ENA</t>
    </r>
    <r>
      <rPr>
        <vertAlign val="subscript"/>
        <sz val="10"/>
        <color theme="1"/>
        <rFont val="Calibri"/>
        <family val="2"/>
        <scheme val="minor"/>
      </rPr>
      <t xml:space="preserve">bot </t>
    </r>
    <r>
      <rPr>
        <sz val="10"/>
        <color theme="1"/>
        <rFont val="Calibri"/>
        <family val="2"/>
        <scheme val="minor"/>
      </rPr>
      <t>+ ENA</t>
    </r>
    <r>
      <rPr>
        <vertAlign val="subscript"/>
        <sz val="10"/>
        <color theme="1"/>
        <rFont val="Calibri"/>
        <family val="2"/>
        <scheme val="minor"/>
      </rPr>
      <t>top</t>
    </r>
  </si>
  <si>
    <t>Web Area part of Tension Area</t>
  </si>
  <si>
    <t>Web Area part of Compression Area</t>
  </si>
  <si>
    <r>
      <t>A</t>
    </r>
    <r>
      <rPr>
        <vertAlign val="subscript"/>
        <sz val="10"/>
        <color theme="1"/>
        <rFont val="Calibri"/>
        <family val="2"/>
        <scheme val="minor"/>
      </rPr>
      <t>w2</t>
    </r>
    <r>
      <rPr>
        <sz val="10"/>
        <color theme="1"/>
        <rFont val="Calibri"/>
        <family val="2"/>
        <scheme val="minor"/>
      </rPr>
      <t>*y</t>
    </r>
    <r>
      <rPr>
        <vertAlign val="subscript"/>
        <sz val="10"/>
        <color theme="1"/>
        <rFont val="Calibri"/>
        <family val="2"/>
        <scheme val="minor"/>
      </rPr>
      <t>4</t>
    </r>
  </si>
  <si>
    <r>
      <t>A</t>
    </r>
    <r>
      <rPr>
        <vertAlign val="subscript"/>
        <sz val="10"/>
        <color theme="1"/>
        <rFont val="Calibri"/>
        <family val="2"/>
        <scheme val="minor"/>
      </rPr>
      <t>w1</t>
    </r>
    <r>
      <rPr>
        <sz val="10"/>
        <color theme="1"/>
        <rFont val="Calibri"/>
        <family val="2"/>
        <scheme val="minor"/>
      </rPr>
      <t>*y</t>
    </r>
    <r>
      <rPr>
        <vertAlign val="subscript"/>
        <sz val="10"/>
        <color theme="1"/>
        <rFont val="Calibri"/>
        <family val="2"/>
        <scheme val="minor"/>
      </rPr>
      <t>3</t>
    </r>
  </si>
  <si>
    <r>
      <t>1/2*A</t>
    </r>
    <r>
      <rPr>
        <vertAlign val="subscript"/>
        <sz val="10"/>
        <color theme="1"/>
        <rFont val="Calibri"/>
        <family val="2"/>
        <scheme val="minor"/>
      </rPr>
      <t>fillet</t>
    </r>
    <r>
      <rPr>
        <sz val="10"/>
        <color theme="1"/>
        <rFont val="Calibri"/>
        <family val="2"/>
        <scheme val="minor"/>
      </rPr>
      <t>*y</t>
    </r>
    <r>
      <rPr>
        <vertAlign val="subscript"/>
        <sz val="10"/>
        <color theme="1"/>
        <rFont val="Calibri"/>
        <family val="2"/>
        <scheme val="minor"/>
      </rPr>
      <t>5</t>
    </r>
  </si>
  <si>
    <r>
      <t>x</t>
    </r>
    <r>
      <rPr>
        <vertAlign val="subscript"/>
        <sz val="10"/>
        <rFont val="Calibri"/>
        <family val="2"/>
        <scheme val="minor"/>
      </rPr>
      <t>C</t>
    </r>
  </si>
  <si>
    <r>
      <t>x</t>
    </r>
    <r>
      <rPr>
        <vertAlign val="subscript"/>
        <sz val="10"/>
        <rFont val="Calibri"/>
        <family val="2"/>
        <scheme val="minor"/>
      </rPr>
      <t>T</t>
    </r>
  </si>
  <si>
    <r>
      <t>A</t>
    </r>
    <r>
      <rPr>
        <vertAlign val="subscript"/>
        <sz val="10"/>
        <color theme="1"/>
        <rFont val="Calibri"/>
        <family val="2"/>
        <scheme val="minor"/>
      </rPr>
      <t>Ty</t>
    </r>
    <r>
      <rPr>
        <sz val="10"/>
        <color theme="1"/>
        <rFont val="Calibri"/>
        <family val="2"/>
        <scheme val="minor"/>
      </rPr>
      <t>*x</t>
    </r>
    <r>
      <rPr>
        <vertAlign val="subscript"/>
        <sz val="10"/>
        <color theme="1"/>
        <rFont val="Calibri"/>
        <family val="2"/>
        <scheme val="minor"/>
      </rPr>
      <t>T</t>
    </r>
  </si>
  <si>
    <t>Tension Area Centroid y-y</t>
  </si>
  <si>
    <t>Compression Area Centroid y-y</t>
  </si>
  <si>
    <t>Compression Area for Plastic Neutral Axis</t>
  </si>
  <si>
    <t>Tension Area for Plastic Neutral Axis</t>
  </si>
  <si>
    <t>PNA Location (Web/Top Flange/Bottom Flange)</t>
  </si>
  <si>
    <t>Top Flange Area part of Compression Area</t>
  </si>
  <si>
    <t>Bottom Flange Area part of Compression Area</t>
  </si>
  <si>
    <r>
      <t>A</t>
    </r>
    <r>
      <rPr>
        <vertAlign val="subscript"/>
        <sz val="10"/>
        <color theme="1"/>
        <rFont val="Calibri"/>
        <family val="2"/>
        <scheme val="minor"/>
      </rPr>
      <t>f1C</t>
    </r>
  </si>
  <si>
    <r>
      <t>A</t>
    </r>
    <r>
      <rPr>
        <vertAlign val="subscript"/>
        <sz val="10"/>
        <color theme="1"/>
        <rFont val="Calibri"/>
        <family val="2"/>
        <scheme val="minor"/>
      </rPr>
      <t>f2T</t>
    </r>
  </si>
  <si>
    <r>
      <t>A</t>
    </r>
    <r>
      <rPr>
        <vertAlign val="subscript"/>
        <sz val="10"/>
        <color theme="1"/>
        <rFont val="Calibri"/>
        <family val="2"/>
        <scheme val="minor"/>
      </rPr>
      <t>wC</t>
    </r>
  </si>
  <si>
    <r>
      <t>d</t>
    </r>
    <r>
      <rPr>
        <vertAlign val="subscript"/>
        <sz val="10"/>
        <color theme="1"/>
        <rFont val="Calibri"/>
        <family val="2"/>
        <scheme val="minor"/>
      </rPr>
      <t>wC</t>
    </r>
  </si>
  <si>
    <r>
      <t>A</t>
    </r>
    <r>
      <rPr>
        <vertAlign val="subscript"/>
        <sz val="10"/>
        <color theme="1"/>
        <rFont val="Calibri"/>
        <family val="2"/>
        <scheme val="minor"/>
      </rPr>
      <t>wT</t>
    </r>
  </si>
  <si>
    <r>
      <t>d</t>
    </r>
    <r>
      <rPr>
        <vertAlign val="subscript"/>
        <sz val="10"/>
        <color theme="1"/>
        <rFont val="Calibri"/>
        <family val="2"/>
        <scheme val="minor"/>
      </rPr>
      <t>wT</t>
    </r>
  </si>
  <si>
    <t>Bottom Flange Area part of Tension Area</t>
  </si>
  <si>
    <t>Top Flange Area part of Tension Area</t>
  </si>
  <si>
    <r>
      <t>A</t>
    </r>
    <r>
      <rPr>
        <vertAlign val="subscript"/>
        <sz val="10"/>
        <color theme="1"/>
        <rFont val="Calibri"/>
        <family val="2"/>
        <scheme val="minor"/>
      </rPr>
      <t>f1T</t>
    </r>
  </si>
  <si>
    <r>
      <t>A</t>
    </r>
    <r>
      <rPr>
        <vertAlign val="subscript"/>
        <sz val="10"/>
        <color theme="1"/>
        <rFont val="Calibri"/>
        <family val="2"/>
        <scheme val="minor"/>
      </rPr>
      <t>f2C</t>
    </r>
  </si>
  <si>
    <t>Depth of Top Flange in Tension from bottom</t>
  </si>
  <si>
    <r>
      <t>d</t>
    </r>
    <r>
      <rPr>
        <vertAlign val="subscript"/>
        <sz val="10"/>
        <color theme="1"/>
        <rFont val="Calibri"/>
        <family val="2"/>
        <scheme val="minor"/>
      </rPr>
      <t>f2C</t>
    </r>
  </si>
  <si>
    <r>
      <t>d</t>
    </r>
    <r>
      <rPr>
        <vertAlign val="subscript"/>
        <sz val="10"/>
        <color theme="1"/>
        <rFont val="Calibri"/>
        <family val="2"/>
        <scheme val="minor"/>
      </rPr>
      <t>f1T</t>
    </r>
  </si>
  <si>
    <r>
      <t>y</t>
    </r>
    <r>
      <rPr>
        <vertAlign val="subscript"/>
        <sz val="10"/>
        <color theme="1"/>
        <rFont val="Calibri"/>
        <family val="2"/>
        <scheme val="minor"/>
      </rPr>
      <t>1T</t>
    </r>
  </si>
  <si>
    <r>
      <t>y</t>
    </r>
    <r>
      <rPr>
        <vertAlign val="subscript"/>
        <sz val="10"/>
        <color theme="1"/>
        <rFont val="Calibri"/>
        <family val="2"/>
        <scheme val="minor"/>
      </rPr>
      <t>1C</t>
    </r>
  </si>
  <si>
    <r>
      <t>y</t>
    </r>
    <r>
      <rPr>
        <vertAlign val="subscript"/>
        <sz val="10"/>
        <color theme="1"/>
        <rFont val="Calibri"/>
        <family val="2"/>
        <scheme val="minor"/>
      </rPr>
      <t>6C</t>
    </r>
  </si>
  <si>
    <r>
      <t>y</t>
    </r>
    <r>
      <rPr>
        <vertAlign val="subscript"/>
        <sz val="10"/>
        <color theme="1"/>
        <rFont val="Calibri"/>
        <family val="2"/>
        <scheme val="minor"/>
      </rPr>
      <t>6T</t>
    </r>
  </si>
  <si>
    <r>
      <t>A</t>
    </r>
    <r>
      <rPr>
        <vertAlign val="subscript"/>
        <sz val="10"/>
        <color theme="1"/>
        <rFont val="Calibri"/>
        <family val="2"/>
        <scheme val="minor"/>
      </rPr>
      <t>f2T</t>
    </r>
    <r>
      <rPr>
        <sz val="10"/>
        <color theme="1"/>
        <rFont val="Calibri"/>
        <family val="2"/>
        <scheme val="minor"/>
      </rPr>
      <t>*y</t>
    </r>
    <r>
      <rPr>
        <vertAlign val="subscript"/>
        <sz val="10"/>
        <color theme="1"/>
        <rFont val="Calibri"/>
        <family val="2"/>
        <scheme val="minor"/>
      </rPr>
      <t>6T</t>
    </r>
  </si>
  <si>
    <r>
      <t>A</t>
    </r>
    <r>
      <rPr>
        <vertAlign val="subscript"/>
        <sz val="10"/>
        <color theme="1"/>
        <rFont val="Calibri"/>
        <family val="2"/>
        <scheme val="minor"/>
      </rPr>
      <t>f1C</t>
    </r>
    <r>
      <rPr>
        <sz val="10"/>
        <color theme="1"/>
        <rFont val="Calibri"/>
        <family val="2"/>
        <scheme val="minor"/>
      </rPr>
      <t>*y</t>
    </r>
    <r>
      <rPr>
        <vertAlign val="subscript"/>
        <sz val="10"/>
        <color theme="1"/>
        <rFont val="Calibri"/>
        <family val="2"/>
        <scheme val="minor"/>
      </rPr>
      <t>1C</t>
    </r>
  </si>
  <si>
    <r>
      <t>A</t>
    </r>
    <r>
      <rPr>
        <vertAlign val="subscript"/>
        <sz val="10"/>
        <color theme="1"/>
        <rFont val="Calibri"/>
        <family val="2"/>
        <scheme val="minor"/>
      </rPr>
      <t>f2C</t>
    </r>
    <r>
      <rPr>
        <sz val="10"/>
        <color theme="1"/>
        <rFont val="Calibri"/>
        <family val="2"/>
        <scheme val="minor"/>
      </rPr>
      <t>*y</t>
    </r>
    <r>
      <rPr>
        <vertAlign val="subscript"/>
        <sz val="10"/>
        <color theme="1"/>
        <rFont val="Calibri"/>
        <family val="2"/>
        <scheme val="minor"/>
      </rPr>
      <t>6C</t>
    </r>
  </si>
  <si>
    <r>
      <t>A</t>
    </r>
    <r>
      <rPr>
        <vertAlign val="subscript"/>
        <sz val="10"/>
        <color theme="1"/>
        <rFont val="Calibri"/>
        <family val="2"/>
        <scheme val="minor"/>
      </rPr>
      <t>f1T</t>
    </r>
    <r>
      <rPr>
        <sz val="10"/>
        <color theme="1"/>
        <rFont val="Calibri"/>
        <family val="2"/>
        <scheme val="minor"/>
      </rPr>
      <t>*y</t>
    </r>
    <r>
      <rPr>
        <vertAlign val="subscript"/>
        <sz val="10"/>
        <color theme="1"/>
        <rFont val="Calibri"/>
        <family val="2"/>
        <scheme val="minor"/>
      </rPr>
      <t>1T</t>
    </r>
  </si>
  <si>
    <r>
      <t>A</t>
    </r>
    <r>
      <rPr>
        <vertAlign val="subscript"/>
        <sz val="10"/>
        <color rgb="FF0000FF"/>
        <rFont val="Calibri"/>
        <family val="2"/>
        <scheme val="minor"/>
      </rPr>
      <t>Cx</t>
    </r>
  </si>
  <si>
    <r>
      <t>A</t>
    </r>
    <r>
      <rPr>
        <vertAlign val="subscript"/>
        <sz val="10"/>
        <color rgb="FF0000FF"/>
        <rFont val="Calibri"/>
        <family val="2"/>
        <scheme val="minor"/>
      </rPr>
      <t>Tx</t>
    </r>
  </si>
  <si>
    <r>
      <t>PNA</t>
    </r>
    <r>
      <rPr>
        <vertAlign val="subscript"/>
        <sz val="10"/>
        <color rgb="FF0000FF"/>
        <rFont val="Calibri"/>
        <family val="2"/>
        <scheme val="minor"/>
      </rPr>
      <t>top</t>
    </r>
  </si>
  <si>
    <r>
      <t>PNA</t>
    </r>
    <r>
      <rPr>
        <vertAlign val="subscript"/>
        <sz val="10"/>
        <color rgb="FF0000FF"/>
        <rFont val="Calibri"/>
        <family val="2"/>
        <scheme val="minor"/>
      </rPr>
      <t>bot</t>
    </r>
  </si>
  <si>
    <r>
      <t>ENA</t>
    </r>
    <r>
      <rPr>
        <vertAlign val="subscript"/>
        <sz val="10"/>
        <color rgb="FF0000FF"/>
        <rFont val="Calibri"/>
        <family val="2"/>
        <scheme val="minor"/>
      </rPr>
      <t>bot</t>
    </r>
  </si>
  <si>
    <r>
      <t>ENA</t>
    </r>
    <r>
      <rPr>
        <vertAlign val="subscript"/>
        <sz val="10"/>
        <color rgb="FF0000FF"/>
        <rFont val="Calibri"/>
        <family val="2"/>
        <scheme val="minor"/>
      </rPr>
      <t>top</t>
    </r>
  </si>
  <si>
    <t>[E3/E4/E7] Available Compressive Strength</t>
  </si>
  <si>
    <t>Top Plate Thickness</t>
  </si>
  <si>
    <t>Top Plate Width</t>
  </si>
  <si>
    <t>Bottom Plate Thickness</t>
  </si>
  <si>
    <t>Bottom Plate Width</t>
  </si>
  <si>
    <t>Top Plate</t>
  </si>
  <si>
    <t>Bottom Plate</t>
  </si>
  <si>
    <t>Top Plate Area</t>
  </si>
  <si>
    <t>Bottom Plate Area</t>
  </si>
  <si>
    <t>R</t>
  </si>
  <si>
    <t>Beam Fillet Radius</t>
  </si>
  <si>
    <r>
      <t>D</t>
    </r>
    <r>
      <rPr>
        <vertAlign val="subscript"/>
        <sz val="10"/>
        <color theme="1"/>
        <rFont val="Calibri"/>
        <family val="2"/>
        <scheme val="minor"/>
      </rPr>
      <t>1</t>
    </r>
  </si>
  <si>
    <t>Flange Slender Limiting Ratio for Compression</t>
  </si>
  <si>
    <t>Flange Slender Limiting Ratio for Flexure</t>
  </si>
  <si>
    <t>Flange Noncompact Limiting Ratio for Flexure</t>
  </si>
  <si>
    <t>Web Noncompact Limiting Ratio for Flexure</t>
  </si>
  <si>
    <t>Web Slender Limiting Ratio for Flexure</t>
  </si>
  <si>
    <t>Web Slender Limiting Ratio for Compression</t>
  </si>
  <si>
    <t>AISC 360-22 Beam-Column Design Aid</t>
  </si>
  <si>
    <r>
      <t>λ</t>
    </r>
    <r>
      <rPr>
        <vertAlign val="subscript"/>
        <sz val="10"/>
        <color theme="1"/>
        <rFont val="Calibri"/>
        <family val="2"/>
        <scheme val="minor"/>
      </rPr>
      <t>w</t>
    </r>
    <r>
      <rPr>
        <sz val="10"/>
        <color theme="1"/>
        <rFont val="Calibri"/>
        <family val="2"/>
        <scheme val="minor"/>
      </rPr>
      <t>=h/t</t>
    </r>
    <r>
      <rPr>
        <vertAlign val="subscript"/>
        <sz val="10"/>
        <color theme="1"/>
        <rFont val="Calibri"/>
        <family val="2"/>
        <scheme val="minor"/>
      </rPr>
      <t>w</t>
    </r>
  </si>
  <si>
    <r>
      <t>λ</t>
    </r>
    <r>
      <rPr>
        <vertAlign val="subscript"/>
        <sz val="10"/>
        <color theme="1"/>
        <rFont val="Calibri"/>
        <family val="2"/>
        <scheme val="minor"/>
      </rPr>
      <t>rf_flange</t>
    </r>
  </si>
  <si>
    <r>
      <t>λ</t>
    </r>
    <r>
      <rPr>
        <vertAlign val="subscript"/>
        <sz val="10"/>
        <color theme="1"/>
        <rFont val="Calibri"/>
        <family val="2"/>
        <scheme val="minor"/>
      </rPr>
      <t>pf_flange</t>
    </r>
  </si>
  <si>
    <r>
      <t>λ</t>
    </r>
    <r>
      <rPr>
        <vertAlign val="subscript"/>
        <sz val="10"/>
        <color theme="1"/>
        <rFont val="Calibri"/>
        <family val="2"/>
        <scheme val="minor"/>
      </rPr>
      <t>pf_web</t>
    </r>
  </si>
  <si>
    <r>
      <t>λ</t>
    </r>
    <r>
      <rPr>
        <vertAlign val="subscript"/>
        <sz val="10"/>
        <color theme="1"/>
        <rFont val="Calibri"/>
        <family val="2"/>
        <scheme val="minor"/>
      </rPr>
      <t>rf_web</t>
    </r>
  </si>
  <si>
    <r>
      <t>λ</t>
    </r>
    <r>
      <rPr>
        <vertAlign val="subscript"/>
        <sz val="10"/>
        <color theme="1"/>
        <rFont val="Calibri"/>
        <family val="2"/>
        <scheme val="minor"/>
      </rPr>
      <t>rc_flange</t>
    </r>
  </si>
  <si>
    <r>
      <t>λ</t>
    </r>
    <r>
      <rPr>
        <vertAlign val="subscript"/>
        <sz val="10"/>
        <color theme="1"/>
        <rFont val="Calibri"/>
        <family val="2"/>
        <scheme val="minor"/>
      </rPr>
      <t>rc_web</t>
    </r>
  </si>
  <si>
    <r>
      <t>λ</t>
    </r>
    <r>
      <rPr>
        <vertAlign val="subscript"/>
        <sz val="10"/>
        <color theme="1"/>
        <rFont val="Calibri"/>
        <family val="2"/>
        <scheme val="minor"/>
      </rPr>
      <t>f</t>
    </r>
    <r>
      <rPr>
        <sz val="10"/>
        <color theme="1"/>
        <rFont val="Calibri"/>
        <family val="2"/>
        <scheme val="minor"/>
      </rPr>
      <t>=b</t>
    </r>
    <r>
      <rPr>
        <vertAlign val="subscript"/>
        <sz val="10"/>
        <color theme="1"/>
        <rFont val="Calibri"/>
        <family val="2"/>
        <scheme val="minor"/>
      </rPr>
      <t>fc</t>
    </r>
    <r>
      <rPr>
        <sz val="10"/>
        <color theme="1"/>
        <rFont val="Calibri"/>
        <family val="2"/>
        <scheme val="minor"/>
      </rPr>
      <t>/2t</t>
    </r>
    <r>
      <rPr>
        <vertAlign val="subscript"/>
        <sz val="10"/>
        <color theme="1"/>
        <rFont val="Calibri"/>
        <family val="2"/>
        <scheme val="minor"/>
      </rPr>
      <t>fc</t>
    </r>
  </si>
  <si>
    <t>Self-weight</t>
  </si>
  <si>
    <r>
      <t>M</t>
    </r>
    <r>
      <rPr>
        <vertAlign val="subscript"/>
        <sz val="10"/>
        <color theme="1"/>
        <rFont val="Calibri"/>
        <family val="2"/>
        <scheme val="minor"/>
      </rPr>
      <t>yc</t>
    </r>
    <r>
      <rPr>
        <sz val="10"/>
        <color theme="1"/>
        <rFont val="Calibri"/>
        <family val="2"/>
        <scheme val="minor"/>
      </rPr>
      <t>=F</t>
    </r>
    <r>
      <rPr>
        <vertAlign val="subscript"/>
        <sz val="10"/>
        <color theme="1"/>
        <rFont val="Calibri"/>
        <family val="2"/>
        <scheme val="minor"/>
      </rPr>
      <t>y</t>
    </r>
    <r>
      <rPr>
        <sz val="10"/>
        <color theme="1"/>
        <rFont val="Calibri"/>
        <family val="2"/>
        <scheme val="minor"/>
      </rPr>
      <t>*S</t>
    </r>
    <r>
      <rPr>
        <vertAlign val="subscript"/>
        <sz val="10"/>
        <color theme="1"/>
        <rFont val="Calibri"/>
        <family val="2"/>
        <scheme val="minor"/>
      </rPr>
      <t>xc</t>
    </r>
  </si>
  <si>
    <r>
      <t>λ</t>
    </r>
    <r>
      <rPr>
        <vertAlign val="subscript"/>
        <sz val="10"/>
        <color theme="1"/>
        <rFont val="Calibri"/>
        <family val="2"/>
        <scheme val="minor"/>
      </rPr>
      <t>w</t>
    </r>
    <r>
      <rPr>
        <sz val="10"/>
        <color theme="1"/>
        <rFont val="Calibri"/>
        <family val="2"/>
        <scheme val="minor"/>
      </rPr>
      <t>=h</t>
    </r>
    <r>
      <rPr>
        <vertAlign val="subscript"/>
        <sz val="10"/>
        <color theme="1"/>
        <rFont val="Calibri"/>
        <family val="2"/>
        <scheme val="minor"/>
      </rPr>
      <t>c</t>
    </r>
    <r>
      <rPr>
        <sz val="10"/>
        <color theme="1"/>
        <rFont val="Calibri"/>
        <family val="2"/>
        <scheme val="minor"/>
      </rPr>
      <t>/t</t>
    </r>
    <r>
      <rPr>
        <vertAlign val="subscript"/>
        <sz val="10"/>
        <color theme="1"/>
        <rFont val="Calibri"/>
        <family val="2"/>
        <scheme val="minor"/>
      </rPr>
      <t>w</t>
    </r>
  </si>
  <si>
    <t>Compression Flange Thickness</t>
  </si>
  <si>
    <t>Tension Flange Thickness</t>
  </si>
  <si>
    <t>Tension Flange Width</t>
  </si>
  <si>
    <r>
      <t>t</t>
    </r>
    <r>
      <rPr>
        <vertAlign val="subscript"/>
        <sz val="10"/>
        <rFont val="Calibri"/>
        <family val="2"/>
        <scheme val="minor"/>
      </rPr>
      <t>w</t>
    </r>
  </si>
  <si>
    <t>Minimum Yield Moment</t>
  </si>
  <si>
    <r>
      <t>M</t>
    </r>
    <r>
      <rPr>
        <vertAlign val="subscript"/>
        <sz val="10"/>
        <color theme="1"/>
        <rFont val="Calibri"/>
        <family val="2"/>
        <scheme val="minor"/>
      </rPr>
      <t>y</t>
    </r>
  </si>
  <si>
    <r>
      <t>h</t>
    </r>
    <r>
      <rPr>
        <vertAlign val="subscript"/>
        <sz val="10"/>
        <rFont val="Calibri"/>
        <family val="2"/>
        <scheme val="minor"/>
      </rPr>
      <t>o</t>
    </r>
  </si>
  <si>
    <r>
      <t>λ</t>
    </r>
    <r>
      <rPr>
        <vertAlign val="subscript"/>
        <sz val="10"/>
        <rFont val="Calibri"/>
        <family val="2"/>
        <scheme val="minor"/>
      </rPr>
      <t>pf_web</t>
    </r>
  </si>
  <si>
    <r>
      <t>F</t>
    </r>
    <r>
      <rPr>
        <vertAlign val="subscript"/>
        <sz val="10"/>
        <rFont val="Calibri"/>
        <family val="2"/>
        <scheme val="minor"/>
      </rPr>
      <t>L</t>
    </r>
  </si>
  <si>
    <r>
      <t>k</t>
    </r>
    <r>
      <rPr>
        <vertAlign val="subscript"/>
        <sz val="10"/>
        <rFont val="Calibri"/>
        <family val="2"/>
        <scheme val="minor"/>
      </rPr>
      <t>c</t>
    </r>
  </si>
  <si>
    <r>
      <t>ENA</t>
    </r>
    <r>
      <rPr>
        <vertAlign val="subscript"/>
        <sz val="10"/>
        <color theme="1"/>
        <rFont val="Calibri"/>
        <family val="2"/>
        <scheme val="minor"/>
      </rPr>
      <t>top</t>
    </r>
  </si>
  <si>
    <t>2x(PNA to Compression Flange Distance)</t>
  </si>
  <si>
    <t>2x(ENA to Compression Flange Distance)</t>
  </si>
  <si>
    <r>
      <t>PNA</t>
    </r>
    <r>
      <rPr>
        <vertAlign val="subscript"/>
        <sz val="10"/>
        <color theme="1"/>
        <rFont val="Calibri"/>
        <family val="2"/>
        <scheme val="minor"/>
      </rPr>
      <t>top</t>
    </r>
  </si>
  <si>
    <t>Distance to Plastic Neutral Axis (from top)</t>
  </si>
  <si>
    <t>Radius of Gyration for the Compression Flange</t>
  </si>
  <si>
    <t>Area of the Compression Flange</t>
  </si>
  <si>
    <r>
      <t>A</t>
    </r>
    <r>
      <rPr>
        <vertAlign val="subscript"/>
        <sz val="10"/>
        <color theme="1"/>
        <rFont val="Calibri"/>
        <family val="2"/>
        <scheme val="minor"/>
      </rPr>
      <t>fc</t>
    </r>
  </si>
  <si>
    <r>
      <t>I</t>
    </r>
    <r>
      <rPr>
        <vertAlign val="subscript"/>
        <sz val="10"/>
        <color theme="1"/>
        <rFont val="Calibri"/>
        <family val="2"/>
        <scheme val="minor"/>
      </rPr>
      <t>yc1</t>
    </r>
  </si>
  <si>
    <t>[F4-6a, F4-6b] Nominal Comp. Flange Stress</t>
  </si>
  <si>
    <r>
      <t>y</t>
    </r>
    <r>
      <rPr>
        <vertAlign val="subscript"/>
        <sz val="10"/>
        <color theme="1"/>
        <rFont val="Calibri"/>
        <family val="2"/>
        <scheme val="minor"/>
      </rPr>
      <t>o</t>
    </r>
  </si>
  <si>
    <r>
      <t>y</t>
    </r>
    <r>
      <rPr>
        <vertAlign val="subscript"/>
        <sz val="10"/>
        <color theme="1"/>
        <rFont val="Calibri"/>
        <family val="2"/>
        <scheme val="minor"/>
      </rPr>
      <t>stiff</t>
    </r>
  </si>
  <si>
    <t>Distance to Horizontal Web Stiffener (from top)</t>
  </si>
  <si>
    <r>
      <t>h</t>
    </r>
    <r>
      <rPr>
        <vertAlign val="subscript"/>
        <sz val="10"/>
        <color theme="1"/>
        <rFont val="Calibri"/>
        <family val="2"/>
        <scheme val="minor"/>
      </rPr>
      <t>stiff</t>
    </r>
  </si>
  <si>
    <t>[E4-8] Flexual Constant</t>
  </si>
  <si>
    <t>[E4-9] Polar Radius of Gyration about Shear Center</t>
  </si>
  <si>
    <r>
      <t>kip-in</t>
    </r>
    <r>
      <rPr>
        <vertAlign val="superscript"/>
        <sz val="10"/>
        <color theme="1"/>
        <rFont val="Calibri"/>
        <family val="2"/>
        <scheme val="minor"/>
      </rPr>
      <t>2</t>
    </r>
  </si>
  <si>
    <r>
      <t>F</t>
    </r>
    <r>
      <rPr>
        <vertAlign val="subscript"/>
        <sz val="10"/>
        <color theme="1"/>
        <rFont val="Calibri"/>
        <family val="2"/>
        <scheme val="minor"/>
      </rPr>
      <t>e1_WF</t>
    </r>
  </si>
  <si>
    <r>
      <t>F</t>
    </r>
    <r>
      <rPr>
        <vertAlign val="subscript"/>
        <sz val="10"/>
        <color theme="1"/>
        <rFont val="Calibri"/>
        <family val="2"/>
        <scheme val="minor"/>
      </rPr>
      <t>e1_Channel</t>
    </r>
  </si>
  <si>
    <t>Controlling Buckling Stress</t>
  </si>
  <si>
    <r>
      <t>F</t>
    </r>
    <r>
      <rPr>
        <vertAlign val="subscript"/>
        <sz val="10"/>
        <color theme="1"/>
        <rFont val="Calibri"/>
        <family val="2"/>
        <scheme val="minor"/>
      </rPr>
      <t>e1a</t>
    </r>
  </si>
  <si>
    <r>
      <t>F</t>
    </r>
    <r>
      <rPr>
        <vertAlign val="subscript"/>
        <sz val="10"/>
        <color theme="1"/>
        <rFont val="Calibri"/>
        <family val="2"/>
        <scheme val="minor"/>
      </rPr>
      <t>e1b</t>
    </r>
  </si>
  <si>
    <t>[E3-2, E3-3] Critical. Stress</t>
  </si>
  <si>
    <t>Effective Length Factor</t>
  </si>
  <si>
    <t>Distance to Elastic Neutral Axis (from top)</t>
  </si>
  <si>
    <r>
      <t>d</t>
    </r>
    <r>
      <rPr>
        <vertAlign val="subscript"/>
        <sz val="10"/>
        <color theme="1"/>
        <rFont val="Calibri"/>
        <family val="2"/>
        <scheme val="minor"/>
      </rPr>
      <t>shear</t>
    </r>
  </si>
  <si>
    <t>Client: x</t>
  </si>
  <si>
    <t>Date: x</t>
  </si>
  <si>
    <t>By: x</t>
  </si>
  <si>
    <r>
      <t xml:space="preserve">Simple-Span Beam Analysis: Reference AISC </t>
    </r>
    <r>
      <rPr>
        <i/>
        <sz val="10"/>
        <color theme="1"/>
        <rFont val="Calibri"/>
        <family val="2"/>
        <scheme val="minor"/>
      </rPr>
      <t>Steel Construction Manual</t>
    </r>
    <r>
      <rPr>
        <sz val="10"/>
        <color theme="1"/>
        <rFont val="Calibri"/>
        <family val="2"/>
        <scheme val="minor"/>
      </rPr>
      <t xml:space="preserve"> Table 3-23</t>
    </r>
  </si>
  <si>
    <t>Web Width-to-Thickness Ratio</t>
  </si>
  <si>
    <r>
      <t>F</t>
    </r>
    <r>
      <rPr>
        <vertAlign val="subscript"/>
        <sz val="10"/>
        <color theme="1"/>
        <rFont val="Calibri"/>
        <family val="2"/>
        <scheme val="minor"/>
      </rPr>
      <t>nc</t>
    </r>
  </si>
  <si>
    <t>Top Flange Width-to-Thickness Ratio</t>
  </si>
  <si>
    <r>
      <t>λ</t>
    </r>
    <r>
      <rPr>
        <vertAlign val="subscript"/>
        <sz val="10"/>
        <color theme="1"/>
        <rFont val="Calibri"/>
        <family val="2"/>
        <scheme val="minor"/>
      </rPr>
      <t>flange1</t>
    </r>
  </si>
  <si>
    <r>
      <t>λ</t>
    </r>
    <r>
      <rPr>
        <vertAlign val="subscript"/>
        <sz val="10"/>
        <color theme="1"/>
        <rFont val="Calibri"/>
        <family val="2"/>
        <scheme val="minor"/>
      </rPr>
      <t>web</t>
    </r>
  </si>
  <si>
    <t>Bottom Flange Width-to-Thickness Ratio</t>
  </si>
  <si>
    <r>
      <t>λ</t>
    </r>
    <r>
      <rPr>
        <vertAlign val="subscript"/>
        <sz val="10"/>
        <color theme="1"/>
        <rFont val="Calibri"/>
        <family val="2"/>
        <scheme val="minor"/>
      </rPr>
      <t>flange2</t>
    </r>
  </si>
  <si>
    <t>Bottom Flange Width</t>
  </si>
  <si>
    <t>Top Flange Width</t>
  </si>
  <si>
    <t>Effective Area of Bottom Flange</t>
  </si>
  <si>
    <t>Max Distance Between Horizontal Web Stiffeners</t>
  </si>
  <si>
    <t>16th</t>
  </si>
  <si>
    <t>W44X408</t>
  </si>
  <si>
    <t>W44X368</t>
  </si>
  <si>
    <t>W36X387</t>
  </si>
  <si>
    <t>W36X350</t>
  </si>
  <si>
    <t>W36X318</t>
  </si>
  <si>
    <t>W36X286</t>
  </si>
  <si>
    <t>WT22X204</t>
  </si>
  <si>
    <t>WT22X184</t>
  </si>
  <si>
    <t>WT18X193.5</t>
  </si>
  <si>
    <t>WT18X175</t>
  </si>
  <si>
    <t>WT18X159</t>
  </si>
  <si>
    <t>WT18X143</t>
  </si>
  <si>
    <t>Limiting Unbraced Length for Yielding</t>
  </si>
  <si>
    <t>Limiting Unbraced Length for Inelastic LTB</t>
  </si>
  <si>
    <t>Clear Distance Between Flanges, Less the Fillet</t>
  </si>
  <si>
    <r>
      <t>[F2-2] Elastic LTB (L</t>
    </r>
    <r>
      <rPr>
        <vertAlign val="subscript"/>
        <sz val="10"/>
        <rFont val="Calibri"/>
        <family val="2"/>
        <scheme val="minor"/>
      </rPr>
      <t>p</t>
    </r>
    <r>
      <rPr>
        <sz val="10"/>
        <rFont val="Calibri"/>
        <family val="2"/>
        <scheme val="minor"/>
      </rPr>
      <t xml:space="preserve"> &lt; L</t>
    </r>
    <r>
      <rPr>
        <vertAlign val="subscript"/>
        <sz val="10"/>
        <rFont val="Calibri"/>
        <family val="2"/>
        <scheme val="minor"/>
      </rPr>
      <t>b</t>
    </r>
    <r>
      <rPr>
        <sz val="10"/>
        <rFont val="Calibri"/>
        <family val="2"/>
        <scheme val="minor"/>
      </rPr>
      <t xml:space="preserve"> ≤ L</t>
    </r>
    <r>
      <rPr>
        <vertAlign val="subscript"/>
        <sz val="10"/>
        <rFont val="Calibri"/>
        <family val="2"/>
        <scheme val="minor"/>
      </rPr>
      <t>r</t>
    </r>
    <r>
      <rPr>
        <sz val="10"/>
        <rFont val="Calibri"/>
        <family val="2"/>
        <scheme val="minor"/>
      </rPr>
      <t>)</t>
    </r>
  </si>
  <si>
    <t>2. Lateral-Torsional Buckling (LTB)</t>
  </si>
  <si>
    <t>1. Lateral-Torsional Buckling (LTB)</t>
  </si>
  <si>
    <r>
      <t>[F2-3] Inelastic LTB (L</t>
    </r>
    <r>
      <rPr>
        <vertAlign val="subscript"/>
        <sz val="10"/>
        <rFont val="Calibri"/>
        <family val="2"/>
        <scheme val="minor"/>
      </rPr>
      <t>b</t>
    </r>
    <r>
      <rPr>
        <sz val="10"/>
        <rFont val="Calibri"/>
        <family val="2"/>
        <scheme val="minor"/>
      </rPr>
      <t xml:space="preserve"> &gt; L</t>
    </r>
    <r>
      <rPr>
        <vertAlign val="subscript"/>
        <sz val="10"/>
        <rFont val="Calibri"/>
        <family val="2"/>
        <scheme val="minor"/>
      </rPr>
      <t>r</t>
    </r>
    <r>
      <rPr>
        <sz val="10"/>
        <rFont val="Calibri"/>
        <family val="2"/>
        <scheme val="minor"/>
      </rPr>
      <t>)</t>
    </r>
  </si>
  <si>
    <t>[F4] Singly-Symmetric, Compact or Noncompact Web</t>
  </si>
  <si>
    <t>[F2] Doubly-Symmetric, Compact Flanges</t>
  </si>
  <si>
    <t>[F3] Doubly-Symmetric, Noncompact or Slender Flanges</t>
  </si>
  <si>
    <r>
      <t>M</t>
    </r>
    <r>
      <rPr>
        <vertAlign val="subscript"/>
        <sz val="10"/>
        <color rgb="FFC00000"/>
        <rFont val="Calibri"/>
        <family val="2"/>
        <scheme val="minor"/>
      </rPr>
      <t>nx-F2,F3</t>
    </r>
  </si>
  <si>
    <r>
      <t>M</t>
    </r>
    <r>
      <rPr>
        <vertAlign val="subscript"/>
        <sz val="10"/>
        <color rgb="FFC00000"/>
        <rFont val="Calibri"/>
        <family val="2"/>
        <scheme val="minor"/>
      </rPr>
      <t>nx-F4,F5</t>
    </r>
  </si>
  <si>
    <t>[F2 vs F3 vs F4 vs F5] Controlling Section</t>
  </si>
  <si>
    <t>Nominal Bending Strength x-x</t>
  </si>
  <si>
    <t>[F2/F3/F4/F5] Available Major Axis Bending Strength</t>
  </si>
  <si>
    <t>Reduced Cross-Sectional Area (Corrosion)</t>
  </si>
  <si>
    <t>Web Section/Thickness Reduction</t>
  </si>
  <si>
    <t>Compression Flange Remaining Thickness</t>
  </si>
  <si>
    <t>Web Remaining Thickness</t>
  </si>
  <si>
    <t>Tension Flange Remaining Thickness</t>
  </si>
  <si>
    <t>4. REDUCED (CORRODED) MEMBER STRENGTH</t>
  </si>
  <si>
    <t>Concentrated Load 1</t>
  </si>
  <si>
    <t>Concentrated Load 2</t>
  </si>
  <si>
    <t>Concentrated Load 3</t>
  </si>
  <si>
    <t>Concentrated Load 4</t>
  </si>
  <si>
    <t>Concentrated Load 5</t>
  </si>
  <si>
    <t>Concentrated Load 5 Location from Left End</t>
  </si>
  <si>
    <t>Concentrated Load 4 Location from Left End</t>
  </si>
  <si>
    <t>Concentrated Load 3 Location from Left End</t>
  </si>
  <si>
    <t>Concentrated Load 2 Location from Left End</t>
  </si>
  <si>
    <t>Concentrated Load 1 Location from Left End</t>
  </si>
  <si>
    <t>AISC Table 3-23.8 - Concentrated Load at Any Location Along Span</t>
  </si>
  <si>
    <t>5. REINFORCED (BUILT-UP) MEMBER STRENGTH</t>
  </si>
  <si>
    <t>[B4.1b-Case 15,16] Web Flexure Compactness</t>
  </si>
  <si>
    <t>[B4.1b-Case 10,11] Flange Flexure Compactness</t>
  </si>
  <si>
    <t>[B4.1a-Case 5] Web Compression Compactness</t>
  </si>
  <si>
    <t>[B4.1a-Case 1] Flange Compression Compactness</t>
  </si>
  <si>
    <t>[B4.1a-Case 1,2] Flange Compression Compactness</t>
  </si>
  <si>
    <t>[B4.1b-Case 10] Flange Flexure Compactness</t>
  </si>
  <si>
    <t>[B4.1b-Case 15] Web Flexure Compactness</t>
  </si>
  <si>
    <t>Tension Flange Moment of Inertia y-y</t>
  </si>
  <si>
    <t>Tension Flange Section/Thickness Reduction</t>
  </si>
  <si>
    <t>Compression Flange Section/Thickness Reduction</t>
  </si>
  <si>
    <t>L/#</t>
  </si>
  <si>
    <t>Distance Between Flange Centroids</t>
  </si>
  <si>
    <t>Clear Distance Between Fillets</t>
  </si>
  <si>
    <t>α</t>
  </si>
  <si>
    <r>
      <t xml:space="preserve">AISC. (2024), </t>
    </r>
    <r>
      <rPr>
        <i/>
        <sz val="10"/>
        <color theme="1"/>
        <rFont val="Calibri"/>
        <family val="2"/>
        <scheme val="minor"/>
      </rPr>
      <t>AISC Shapes Database v16.0.</t>
    </r>
    <r>
      <rPr>
        <sz val="10"/>
        <color theme="1"/>
        <rFont val="Calibri"/>
        <family val="2"/>
        <scheme val="minor"/>
      </rPr>
      <t>Retrieved from AISC 16th ed. Steel Construction Manual: https://www.aisc.org/publications/steel-construction-manual-resources/16th-ed-steel-construction-manual/aisc-shapes-database-v16.0/</t>
    </r>
  </si>
  <si>
    <t>(White &amp; Jung, 2003) Eq. (12)</t>
  </si>
  <si>
    <t>Warping Constant - (White &amp; Jung, 2003) Eq. (14)</t>
  </si>
  <si>
    <r>
      <t>I</t>
    </r>
    <r>
      <rPr>
        <vertAlign val="subscript"/>
        <sz val="10"/>
        <color theme="1"/>
        <rFont val="Calibri"/>
        <family val="2"/>
        <scheme val="minor"/>
      </rPr>
      <t>yt1</t>
    </r>
  </si>
  <si>
    <r>
      <t>I</t>
    </r>
    <r>
      <rPr>
        <vertAlign val="subscript"/>
        <sz val="10"/>
        <color theme="1"/>
        <rFont val="Calibri"/>
        <family val="2"/>
        <scheme val="minor"/>
      </rPr>
      <t>yt</t>
    </r>
  </si>
  <si>
    <r>
      <t>t</t>
    </r>
    <r>
      <rPr>
        <vertAlign val="subscript"/>
        <sz val="10"/>
        <rFont val="Calibri"/>
        <family val="2"/>
        <scheme val="minor"/>
      </rPr>
      <t>fc</t>
    </r>
  </si>
  <si>
    <r>
      <t>b</t>
    </r>
    <r>
      <rPr>
        <vertAlign val="subscript"/>
        <sz val="10"/>
        <color theme="1"/>
        <rFont val="Calibri"/>
        <family val="2"/>
        <scheme val="minor"/>
      </rPr>
      <t>fc</t>
    </r>
  </si>
  <si>
    <r>
      <t>t</t>
    </r>
    <r>
      <rPr>
        <vertAlign val="subscript"/>
        <sz val="10"/>
        <color theme="1"/>
        <rFont val="Calibri"/>
        <family val="2"/>
        <scheme val="minor"/>
      </rPr>
      <t>ft</t>
    </r>
  </si>
  <si>
    <r>
      <t>b</t>
    </r>
    <r>
      <rPr>
        <vertAlign val="subscript"/>
        <sz val="10"/>
        <color theme="1"/>
        <rFont val="Calibri"/>
        <family val="2"/>
        <scheme val="minor"/>
      </rPr>
      <t>ft</t>
    </r>
  </si>
  <si>
    <r>
      <t>A</t>
    </r>
    <r>
      <rPr>
        <vertAlign val="subscript"/>
        <sz val="10"/>
        <color theme="1"/>
        <rFont val="Calibri"/>
        <family val="2"/>
        <scheme val="minor"/>
      </rPr>
      <t>Cy</t>
    </r>
    <r>
      <rPr>
        <sz val="10"/>
        <color theme="1"/>
        <rFont val="Calibri"/>
        <family val="2"/>
        <scheme val="minor"/>
      </rPr>
      <t>*x</t>
    </r>
    <r>
      <rPr>
        <vertAlign val="subscript"/>
        <sz val="10"/>
        <color theme="1"/>
        <rFont val="Calibri"/>
        <family val="2"/>
        <scheme val="minor"/>
      </rPr>
      <t>C</t>
    </r>
  </si>
  <si>
    <r>
      <t>t</t>
    </r>
    <r>
      <rPr>
        <vertAlign val="subscript"/>
        <sz val="10"/>
        <color theme="1"/>
        <rFont val="Calibri"/>
        <family val="2"/>
        <scheme val="minor"/>
      </rPr>
      <t>fc</t>
    </r>
  </si>
  <si>
    <t>Vertical Shear Center Position w/ Respect to ENA - (White &amp; Jung, 2003) Eq. (11)</t>
  </si>
  <si>
    <t>(AISC Design Guide 9) Variable Eq. (C.20)</t>
  </si>
  <si>
    <t>(AISC Design Guide 9) Variable Eq. (C.21)</t>
  </si>
  <si>
    <r>
      <t>J</t>
    </r>
    <r>
      <rPr>
        <vertAlign val="subscript"/>
        <sz val="10"/>
        <color theme="1"/>
        <rFont val="Calibri"/>
        <family val="2"/>
      </rPr>
      <t>channel</t>
    </r>
  </si>
  <si>
    <t>(AISC Design Guide 9) Eq. (3.4) St. Venant Torsional Constant for Channels Only</t>
  </si>
  <si>
    <t>(AISC Design Guide 9) Eq. (C.19) St. Venant Torsional Constant for I-Shaped Members</t>
  </si>
  <si>
    <t>Fillet Distance (0 for Plate Girder)</t>
  </si>
  <si>
    <t>Available Shear Strength</t>
  </si>
  <si>
    <r>
      <t>V</t>
    </r>
    <r>
      <rPr>
        <vertAlign val="subscript"/>
        <sz val="10"/>
        <color theme="1"/>
        <rFont val="Calibri"/>
        <family val="2"/>
        <scheme val="minor"/>
      </rPr>
      <t>available</t>
    </r>
  </si>
  <si>
    <r>
      <t>M</t>
    </r>
    <r>
      <rPr>
        <vertAlign val="subscript"/>
        <sz val="10"/>
        <color theme="1"/>
        <rFont val="Calibri"/>
        <family val="2"/>
        <scheme val="minor"/>
      </rPr>
      <t>available</t>
    </r>
  </si>
  <si>
    <t>Available Bending Strength</t>
  </si>
  <si>
    <t>Required Bending Strength</t>
  </si>
  <si>
    <t>Note: Demands are not factored for load combinations. This must be done by the user.</t>
  </si>
  <si>
    <t>Demand Results</t>
  </si>
  <si>
    <t>AISC 360-22 Steel Beam-Column Design Aid - User Guide</t>
  </si>
  <si>
    <t>ASCE 7-22 Load Combinations</t>
  </si>
  <si>
    <t>2)</t>
  </si>
  <si>
    <t>3)</t>
  </si>
  <si>
    <t>4)</t>
  </si>
  <si>
    <t>5)</t>
  </si>
  <si>
    <t>1)</t>
  </si>
  <si>
    <r>
      <t>0.9D + 1.0(W or W</t>
    </r>
    <r>
      <rPr>
        <vertAlign val="subscript"/>
        <sz val="10"/>
        <color theme="1"/>
        <rFont val="Calibri"/>
        <family val="2"/>
        <scheme val="minor"/>
      </rPr>
      <t>T</t>
    </r>
    <r>
      <rPr>
        <sz val="10"/>
        <color theme="1"/>
        <rFont val="Calibri"/>
        <family val="2"/>
        <scheme val="minor"/>
      </rPr>
      <t>)</t>
    </r>
  </si>
  <si>
    <r>
      <t>1.2D + 1.0(W or W</t>
    </r>
    <r>
      <rPr>
        <vertAlign val="subscript"/>
        <sz val="10"/>
        <color theme="1"/>
        <rFont val="Calibri"/>
        <family val="2"/>
        <scheme val="minor"/>
      </rPr>
      <t>T</t>
    </r>
    <r>
      <rPr>
        <sz val="10"/>
        <color theme="1"/>
        <rFont val="Calibri"/>
        <family val="2"/>
        <scheme val="minor"/>
      </rPr>
      <t>) + L + (0.5L</t>
    </r>
    <r>
      <rPr>
        <vertAlign val="subscript"/>
        <sz val="10"/>
        <color theme="1"/>
        <rFont val="Calibri"/>
        <family val="2"/>
        <scheme val="minor"/>
      </rPr>
      <t>r</t>
    </r>
    <r>
      <rPr>
        <sz val="10"/>
        <color theme="1"/>
        <rFont val="Calibri"/>
        <family val="2"/>
        <scheme val="minor"/>
      </rPr>
      <t xml:space="preserve"> or 0.3S or 0.5R)</t>
    </r>
  </si>
  <si>
    <r>
      <t>1.2D + (1.6L</t>
    </r>
    <r>
      <rPr>
        <vertAlign val="subscript"/>
        <sz val="10"/>
        <color theme="1"/>
        <rFont val="Calibri"/>
        <family val="2"/>
        <scheme val="minor"/>
      </rPr>
      <t>r</t>
    </r>
    <r>
      <rPr>
        <sz val="10"/>
        <color theme="1"/>
        <rFont val="Calibri"/>
        <family val="2"/>
        <scheme val="minor"/>
      </rPr>
      <t xml:space="preserve"> or 1.0S or 1.6R) + (L or 0.5W)</t>
    </r>
  </si>
  <si>
    <r>
      <t>1.2D + 1.6L + (0.5L</t>
    </r>
    <r>
      <rPr>
        <vertAlign val="subscript"/>
        <sz val="10"/>
        <color theme="1"/>
        <rFont val="Calibri"/>
        <family val="2"/>
        <scheme val="minor"/>
      </rPr>
      <t>r</t>
    </r>
    <r>
      <rPr>
        <sz val="10"/>
        <color theme="1"/>
        <rFont val="Calibri"/>
        <family val="2"/>
        <scheme val="minor"/>
      </rPr>
      <t xml:space="preserve"> or 0.3S or 0.5R)</t>
    </r>
  </si>
  <si>
    <t>Allowable Stress Design (ASD)</t>
  </si>
  <si>
    <r>
      <t>D + (L</t>
    </r>
    <r>
      <rPr>
        <vertAlign val="subscript"/>
        <sz val="10"/>
        <color theme="1"/>
        <rFont val="Calibri"/>
        <family val="2"/>
        <scheme val="minor"/>
      </rPr>
      <t>r</t>
    </r>
    <r>
      <rPr>
        <sz val="10"/>
        <color theme="1"/>
        <rFont val="Calibri"/>
        <family val="2"/>
        <scheme val="minor"/>
      </rPr>
      <t xml:space="preserve"> or 0.7S or R)</t>
    </r>
  </si>
  <si>
    <r>
      <t>D + 0.75L + 0.75(L</t>
    </r>
    <r>
      <rPr>
        <vertAlign val="subscript"/>
        <sz val="10"/>
        <color theme="1"/>
        <rFont val="Calibri"/>
        <family val="2"/>
        <scheme val="minor"/>
      </rPr>
      <t>r</t>
    </r>
    <r>
      <rPr>
        <sz val="10"/>
        <color theme="1"/>
        <rFont val="Calibri"/>
        <family val="2"/>
        <scheme val="minor"/>
      </rPr>
      <t xml:space="preserve"> or 0.7S or R)</t>
    </r>
  </si>
  <si>
    <r>
      <t>D + 0.6(W or W</t>
    </r>
    <r>
      <rPr>
        <vertAlign val="subscript"/>
        <sz val="10"/>
        <color theme="1"/>
        <rFont val="Calibri"/>
        <family val="2"/>
        <scheme val="minor"/>
      </rPr>
      <t>T</t>
    </r>
    <r>
      <rPr>
        <sz val="10"/>
        <color theme="1"/>
        <rFont val="Calibri"/>
        <family val="2"/>
        <scheme val="minor"/>
      </rPr>
      <t>)</t>
    </r>
  </si>
  <si>
    <t>6)</t>
  </si>
  <si>
    <t>7)</t>
  </si>
  <si>
    <r>
      <t>D + 0.75L + 0.75(0.6(W or W</t>
    </r>
    <r>
      <rPr>
        <vertAlign val="subscript"/>
        <sz val="10"/>
        <color theme="1"/>
        <rFont val="Calibri"/>
        <family val="2"/>
        <scheme val="minor"/>
      </rPr>
      <t>T</t>
    </r>
    <r>
      <rPr>
        <sz val="10"/>
        <color theme="1"/>
        <rFont val="Calibri"/>
        <family val="2"/>
        <scheme val="minor"/>
      </rPr>
      <t>)) + 0.75(L</t>
    </r>
    <r>
      <rPr>
        <vertAlign val="subscript"/>
        <sz val="10"/>
        <color theme="1"/>
        <rFont val="Calibri"/>
        <family val="2"/>
        <scheme val="minor"/>
      </rPr>
      <t>r</t>
    </r>
    <r>
      <rPr>
        <sz val="10"/>
        <color theme="1"/>
        <rFont val="Calibri"/>
        <family val="2"/>
        <scheme val="minor"/>
      </rPr>
      <t xml:space="preserve"> or 0.7S or R)</t>
    </r>
  </si>
  <si>
    <r>
      <t>0.6D + 0.6(W or W</t>
    </r>
    <r>
      <rPr>
        <vertAlign val="subscript"/>
        <sz val="10"/>
        <color theme="1"/>
        <rFont val="Calibri"/>
        <family val="2"/>
        <scheme val="minor"/>
      </rPr>
      <t>T</t>
    </r>
    <r>
      <rPr>
        <sz val="10"/>
        <color theme="1"/>
        <rFont val="Calibri"/>
        <family val="2"/>
        <scheme val="minor"/>
      </rPr>
      <t>)</t>
    </r>
  </si>
  <si>
    <t>ASCE 7-16 Load Combinations</t>
  </si>
  <si>
    <r>
      <t>1.2D + 1.6L + 0.5(L</t>
    </r>
    <r>
      <rPr>
        <vertAlign val="subscript"/>
        <sz val="10"/>
        <rFont val="Calibri"/>
        <family val="2"/>
        <scheme val="minor"/>
      </rPr>
      <t>r</t>
    </r>
    <r>
      <rPr>
        <sz val="10"/>
        <rFont val="Calibri"/>
        <family val="2"/>
        <scheme val="minor"/>
      </rPr>
      <t xml:space="preserve"> or S or R)</t>
    </r>
  </si>
  <si>
    <r>
      <t>1.2D + 1.6(L</t>
    </r>
    <r>
      <rPr>
        <vertAlign val="subscript"/>
        <sz val="10"/>
        <rFont val="Calibri"/>
        <family val="2"/>
        <scheme val="minor"/>
      </rPr>
      <t>r</t>
    </r>
    <r>
      <rPr>
        <sz val="10"/>
        <rFont val="Calibri"/>
        <family val="2"/>
        <scheme val="minor"/>
      </rPr>
      <t xml:space="preserve"> or S or R) + (L or 0.5W)</t>
    </r>
  </si>
  <si>
    <r>
      <t>1.2D + W + L + 0.5(L</t>
    </r>
    <r>
      <rPr>
        <vertAlign val="subscript"/>
        <sz val="10"/>
        <rFont val="Calibri"/>
        <family val="2"/>
        <scheme val="minor"/>
      </rPr>
      <t>r</t>
    </r>
    <r>
      <rPr>
        <sz val="10"/>
        <rFont val="Calibri"/>
        <family val="2"/>
        <scheme val="minor"/>
      </rPr>
      <t xml:space="preserve"> or S or R)</t>
    </r>
  </si>
  <si>
    <r>
      <t>D + (L</t>
    </r>
    <r>
      <rPr>
        <vertAlign val="subscript"/>
        <sz val="10"/>
        <rFont val="Calibri"/>
        <family val="2"/>
        <scheme val="minor"/>
      </rPr>
      <t>r</t>
    </r>
    <r>
      <rPr>
        <sz val="10"/>
        <rFont val="Calibri"/>
        <family val="2"/>
        <scheme val="minor"/>
      </rPr>
      <t xml:space="preserve"> or S or R)</t>
    </r>
  </si>
  <si>
    <r>
      <t>D + 0.75L + 0.75(L</t>
    </r>
    <r>
      <rPr>
        <vertAlign val="subscript"/>
        <sz val="10"/>
        <rFont val="Calibri"/>
        <family val="2"/>
        <scheme val="minor"/>
      </rPr>
      <t>r</t>
    </r>
    <r>
      <rPr>
        <sz val="10"/>
        <rFont val="Calibri"/>
        <family val="2"/>
        <scheme val="minor"/>
      </rPr>
      <t xml:space="preserve"> or S or R)</t>
    </r>
  </si>
  <si>
    <r>
      <t>D + 0.75L + 0.75(0.6W) + 0.75(L</t>
    </r>
    <r>
      <rPr>
        <vertAlign val="subscript"/>
        <sz val="10"/>
        <rFont val="Calibri"/>
        <family val="2"/>
        <scheme val="minor"/>
      </rPr>
      <t>r</t>
    </r>
    <r>
      <rPr>
        <sz val="10"/>
        <rFont val="Calibri"/>
        <family val="2"/>
        <scheme val="minor"/>
      </rPr>
      <t xml:space="preserve"> or S or R)</t>
    </r>
  </si>
  <si>
    <t>Max Shear Demand (LRFD vs. ASD)</t>
  </si>
  <si>
    <t>Max Moment Demand (LRFD vs. ASD)</t>
  </si>
  <si>
    <t>ASCE 7-16</t>
  </si>
  <si>
    <t>Roof Live or Rain Load</t>
  </si>
  <si>
    <t>Roof Live or Rain Load Shear</t>
  </si>
  <si>
    <r>
      <t>V</t>
    </r>
    <r>
      <rPr>
        <vertAlign val="subscript"/>
        <sz val="10"/>
        <color theme="1"/>
        <rFont val="Calibri"/>
        <family val="2"/>
        <scheme val="minor"/>
      </rPr>
      <t>Lr or R</t>
    </r>
  </si>
  <si>
    <r>
      <t>P</t>
    </r>
    <r>
      <rPr>
        <vertAlign val="subscript"/>
        <sz val="10"/>
        <color theme="1"/>
        <rFont val="Calibri"/>
        <family val="2"/>
        <scheme val="minor"/>
      </rPr>
      <t>Lr or R</t>
    </r>
  </si>
  <si>
    <t>Concentrated Roof Live or Rain Load</t>
  </si>
  <si>
    <r>
      <t>V</t>
    </r>
    <r>
      <rPr>
        <vertAlign val="subscript"/>
        <sz val="10"/>
        <color theme="1"/>
        <rFont val="Calibri"/>
        <family val="2"/>
        <scheme val="minor"/>
      </rPr>
      <t>S</t>
    </r>
  </si>
  <si>
    <t>Snow Load Shear</t>
  </si>
  <si>
    <t>Snow Load</t>
  </si>
  <si>
    <r>
      <t>M</t>
    </r>
    <r>
      <rPr>
        <vertAlign val="subscript"/>
        <sz val="10"/>
        <color theme="1"/>
        <rFont val="Calibri"/>
        <family val="2"/>
        <scheme val="minor"/>
      </rPr>
      <t>Lr or R</t>
    </r>
  </si>
  <si>
    <t>Roof Live or Rain Load Moment</t>
  </si>
  <si>
    <t>Snow Load Moment</t>
  </si>
  <si>
    <r>
      <t>P</t>
    </r>
    <r>
      <rPr>
        <vertAlign val="subscript"/>
        <sz val="10"/>
        <color theme="1"/>
        <rFont val="Calibri"/>
        <family val="2"/>
        <scheme val="minor"/>
      </rPr>
      <t>S</t>
    </r>
  </si>
  <si>
    <t>Concentrated Snow Load</t>
  </si>
  <si>
    <t>Distributed  Roof Live or Rain Load</t>
  </si>
  <si>
    <r>
      <t>w</t>
    </r>
    <r>
      <rPr>
        <vertAlign val="subscript"/>
        <sz val="10"/>
        <color theme="1"/>
        <rFont val="Calibri"/>
        <family val="2"/>
        <scheme val="minor"/>
      </rPr>
      <t>Lr or R</t>
    </r>
  </si>
  <si>
    <r>
      <t>w</t>
    </r>
    <r>
      <rPr>
        <vertAlign val="subscript"/>
        <sz val="10"/>
        <color theme="1"/>
        <rFont val="Calibri"/>
        <family val="2"/>
        <scheme val="minor"/>
      </rPr>
      <t>S</t>
    </r>
  </si>
  <si>
    <t>Distributed Snow Load</t>
  </si>
  <si>
    <r>
      <t>M</t>
    </r>
    <r>
      <rPr>
        <vertAlign val="subscript"/>
        <sz val="10"/>
        <color theme="1"/>
        <rFont val="Calibri"/>
        <family val="2"/>
        <scheme val="minor"/>
      </rPr>
      <t>S</t>
    </r>
  </si>
  <si>
    <r>
      <rPr>
        <b/>
        <sz val="10"/>
        <color theme="1"/>
        <rFont val="Calibri"/>
        <family val="2"/>
        <scheme val="minor"/>
      </rPr>
      <t>[7-16]</t>
    </r>
    <r>
      <rPr>
        <sz val="10"/>
        <color theme="1"/>
        <rFont val="Calibri"/>
        <family val="2"/>
        <scheme val="minor"/>
      </rPr>
      <t xml:space="preserve"> D + 0.75L + 0.75(Lr or S or R)
</t>
    </r>
    <r>
      <rPr>
        <b/>
        <sz val="10"/>
        <color theme="1"/>
        <rFont val="Calibri"/>
        <family val="2"/>
        <scheme val="minor"/>
      </rPr>
      <t>[7-22]</t>
    </r>
    <r>
      <rPr>
        <sz val="10"/>
        <color theme="1"/>
        <rFont val="Calibri"/>
        <family val="2"/>
        <scheme val="minor"/>
      </rPr>
      <t xml:space="preserve"> D + 0.75L + 0.75(Lr or 0.7S or R)</t>
    </r>
  </si>
  <si>
    <r>
      <rPr>
        <b/>
        <sz val="10"/>
        <color theme="1"/>
        <rFont val="Calibri"/>
        <family val="2"/>
        <scheme val="minor"/>
      </rPr>
      <t>[7-16]</t>
    </r>
    <r>
      <rPr>
        <sz val="10"/>
        <color theme="1"/>
        <rFont val="Calibri"/>
        <family val="2"/>
        <scheme val="minor"/>
      </rPr>
      <t xml:space="preserve"> D + 0.75L + 0.75(0.6W) + 0.75(Lr or S or R)
</t>
    </r>
    <r>
      <rPr>
        <b/>
        <sz val="10"/>
        <color theme="1"/>
        <rFont val="Calibri"/>
        <family val="2"/>
        <scheme val="minor"/>
      </rPr>
      <t>[7-22]</t>
    </r>
    <r>
      <rPr>
        <sz val="10"/>
        <color theme="1"/>
        <rFont val="Calibri"/>
        <family val="2"/>
        <scheme val="minor"/>
      </rPr>
      <t xml:space="preserve"> D + 0.75L + 0.75(0.6W) + 0.75(Lr or 0.7S or R)</t>
    </r>
  </si>
  <si>
    <r>
      <rPr>
        <b/>
        <sz val="10"/>
        <color theme="1"/>
        <rFont val="Calibri"/>
        <family val="2"/>
        <scheme val="minor"/>
      </rPr>
      <t>[7-16]</t>
    </r>
    <r>
      <rPr>
        <sz val="10"/>
        <color theme="1"/>
        <rFont val="Calibri"/>
        <family val="2"/>
        <scheme val="minor"/>
      </rPr>
      <t xml:space="preserve"> D + (Lr or S or R)
</t>
    </r>
    <r>
      <rPr>
        <b/>
        <sz val="10"/>
        <color theme="1"/>
        <rFont val="Calibri"/>
        <family val="2"/>
        <scheme val="minor"/>
      </rPr>
      <t>[7-22]</t>
    </r>
    <r>
      <rPr>
        <sz val="10"/>
        <color theme="1"/>
        <rFont val="Calibri"/>
        <family val="2"/>
        <scheme val="minor"/>
      </rPr>
      <t xml:space="preserve"> D + (Lr or 0.7S or R)</t>
    </r>
  </si>
  <si>
    <r>
      <rPr>
        <b/>
        <sz val="10"/>
        <color theme="1"/>
        <rFont val="Calibri"/>
        <family val="2"/>
        <scheme val="minor"/>
      </rPr>
      <t>[7-16]</t>
    </r>
    <r>
      <rPr>
        <sz val="10"/>
        <color theme="1"/>
        <rFont val="Calibri"/>
        <family val="2"/>
        <scheme val="minor"/>
      </rPr>
      <t xml:space="preserve"> 1.2D + 1.6L + 0.5(Lr or S or R)
</t>
    </r>
    <r>
      <rPr>
        <b/>
        <sz val="10"/>
        <color theme="1"/>
        <rFont val="Calibri"/>
        <family val="2"/>
        <scheme val="minor"/>
      </rPr>
      <t>[7-22]</t>
    </r>
    <r>
      <rPr>
        <sz val="10"/>
        <color theme="1"/>
        <rFont val="Calibri"/>
        <family val="2"/>
        <scheme val="minor"/>
      </rPr>
      <t xml:space="preserve"> 1.2D + 1.6L + (0.5Lr or 0.3S or 0.5R)</t>
    </r>
  </si>
  <si>
    <r>
      <rPr>
        <b/>
        <sz val="10"/>
        <color theme="1"/>
        <rFont val="Calibri"/>
        <family val="2"/>
        <scheme val="minor"/>
      </rPr>
      <t>[7-16]</t>
    </r>
    <r>
      <rPr>
        <sz val="10"/>
        <color theme="1"/>
        <rFont val="Calibri"/>
        <family val="2"/>
        <scheme val="minor"/>
      </rPr>
      <t xml:space="preserve"> 1.2D + 1.6(Lr or S or R) + (L or 0.5W)
</t>
    </r>
    <r>
      <rPr>
        <b/>
        <sz val="10"/>
        <color theme="1"/>
        <rFont val="Calibri"/>
        <family val="2"/>
        <scheme val="minor"/>
      </rPr>
      <t>[7-22]</t>
    </r>
    <r>
      <rPr>
        <sz val="10"/>
        <color theme="1"/>
        <rFont val="Calibri"/>
        <family val="2"/>
        <scheme val="minor"/>
      </rPr>
      <t xml:space="preserve"> 1.2D + (1.6Lr or 1.0S or 1.6R) + (L or 0.5W)</t>
    </r>
  </si>
  <si>
    <r>
      <rPr>
        <b/>
        <sz val="10"/>
        <color theme="1"/>
        <rFont val="Calibri"/>
        <family val="2"/>
        <scheme val="minor"/>
      </rPr>
      <t>[7-16]</t>
    </r>
    <r>
      <rPr>
        <sz val="10"/>
        <color theme="1"/>
        <rFont val="Calibri"/>
        <family val="2"/>
        <scheme val="minor"/>
      </rPr>
      <t xml:space="preserve"> 1.2D + W + L + 0.5(Lr or S or R)
</t>
    </r>
    <r>
      <rPr>
        <b/>
        <sz val="10"/>
        <color theme="1"/>
        <rFont val="Calibri"/>
        <family val="2"/>
        <scheme val="minor"/>
      </rPr>
      <t>[7-22]</t>
    </r>
    <r>
      <rPr>
        <sz val="10"/>
        <color theme="1"/>
        <rFont val="Calibri"/>
        <family val="2"/>
        <scheme val="minor"/>
      </rPr>
      <t xml:space="preserve"> 1.2D + W + L + (0.5Lr or 0.3S or 0.5R)</t>
    </r>
  </si>
  <si>
    <t>ASCE 7 Edition</t>
  </si>
  <si>
    <t>Superimposed Required Demand (Unfactored)</t>
  </si>
  <si>
    <t>Maximum Required Demand (Factored)</t>
  </si>
  <si>
    <t>Fillet Distance</t>
  </si>
  <si>
    <t>Load Distance from Each End</t>
  </si>
  <si>
    <r>
      <t>y</t>
    </r>
    <r>
      <rPr>
        <vertAlign val="subscript"/>
        <sz val="10"/>
        <color theme="1"/>
        <rFont val="Calibri"/>
        <family val="2"/>
        <scheme val="minor"/>
      </rPr>
      <t>r</t>
    </r>
  </si>
  <si>
    <r>
      <t>A</t>
    </r>
    <r>
      <rPr>
        <vertAlign val="subscript"/>
        <sz val="10"/>
        <color theme="1"/>
        <rFont val="Calibri"/>
        <family val="2"/>
        <scheme val="minor"/>
      </rPr>
      <t>gr</t>
    </r>
  </si>
  <si>
    <r>
      <t>y</t>
    </r>
    <r>
      <rPr>
        <vertAlign val="subscript"/>
        <sz val="10"/>
        <color theme="1"/>
        <rFont val="Calibri"/>
        <family val="2"/>
        <scheme val="minor"/>
      </rPr>
      <t>built-up</t>
    </r>
  </si>
  <si>
    <t>Q</t>
  </si>
  <si>
    <r>
      <t>MQ/I</t>
    </r>
    <r>
      <rPr>
        <vertAlign val="subscript"/>
        <sz val="10"/>
        <color theme="1"/>
        <rFont val="Calibri"/>
        <family val="2"/>
        <scheme val="minor"/>
      </rPr>
      <t>x</t>
    </r>
  </si>
  <si>
    <t>kip/in</t>
  </si>
  <si>
    <t>Fillet Weld Size in Sixteenths of an Inch</t>
  </si>
  <si>
    <t>Theoretical Cutoff Moment</t>
  </si>
  <si>
    <r>
      <t>M</t>
    </r>
    <r>
      <rPr>
        <vertAlign val="subscript"/>
        <sz val="10"/>
        <color theme="1"/>
        <rFont val="Calibri"/>
        <family val="2"/>
        <scheme val="minor"/>
      </rPr>
      <t>cutoff</t>
    </r>
  </si>
  <si>
    <r>
      <t>F</t>
    </r>
    <r>
      <rPr>
        <vertAlign val="subscript"/>
        <sz val="10"/>
        <color theme="1"/>
        <rFont val="Calibri"/>
        <family val="2"/>
        <scheme val="minor"/>
      </rPr>
      <t>r1</t>
    </r>
  </si>
  <si>
    <r>
      <t>Required Anchor Force from Axial Load (P</t>
    </r>
    <r>
      <rPr>
        <vertAlign val="subscript"/>
        <sz val="10"/>
        <color theme="1"/>
        <rFont val="Calibri"/>
        <family val="2"/>
        <scheme val="minor"/>
      </rPr>
      <t>r</t>
    </r>
    <r>
      <rPr>
        <sz val="10"/>
        <color theme="1"/>
        <rFont val="Calibri"/>
        <family val="2"/>
        <scheme val="minor"/>
      </rPr>
      <t>(A</t>
    </r>
    <r>
      <rPr>
        <vertAlign val="subscript"/>
        <sz val="10"/>
        <color theme="1"/>
        <rFont val="Calibri"/>
        <family val="2"/>
        <scheme val="minor"/>
      </rPr>
      <t>gr</t>
    </r>
    <r>
      <rPr>
        <sz val="10"/>
        <color theme="1"/>
        <rFont val="Calibri"/>
        <family val="2"/>
        <scheme val="minor"/>
      </rPr>
      <t>/A</t>
    </r>
    <r>
      <rPr>
        <vertAlign val="subscript"/>
        <sz val="10"/>
        <color theme="1"/>
        <rFont val="Calibri"/>
        <family val="2"/>
        <scheme val="minor"/>
      </rPr>
      <t>g</t>
    </r>
    <r>
      <rPr>
        <sz val="10"/>
        <color theme="1"/>
        <rFont val="Calibri"/>
        <family val="2"/>
        <scheme val="minor"/>
      </rPr>
      <t>))</t>
    </r>
  </si>
  <si>
    <r>
      <t>F</t>
    </r>
    <r>
      <rPr>
        <vertAlign val="subscript"/>
        <sz val="10"/>
        <color theme="1"/>
        <rFont val="Calibri"/>
        <family val="2"/>
        <scheme val="minor"/>
      </rPr>
      <t>r2</t>
    </r>
  </si>
  <si>
    <t>Total Required End Anchor Force</t>
  </si>
  <si>
    <r>
      <t>v</t>
    </r>
    <r>
      <rPr>
        <vertAlign val="subscript"/>
        <sz val="10"/>
        <color theme="1"/>
        <rFont val="Calibri"/>
        <family val="2"/>
        <scheme val="minor"/>
      </rPr>
      <t>r</t>
    </r>
  </si>
  <si>
    <r>
      <t>Required Shear Flow (VQ/I</t>
    </r>
    <r>
      <rPr>
        <vertAlign val="subscript"/>
        <sz val="10"/>
        <color theme="1"/>
        <rFont val="Calibri"/>
        <family val="2"/>
        <scheme val="minor"/>
      </rPr>
      <t>x</t>
    </r>
    <r>
      <rPr>
        <sz val="10"/>
        <color theme="1"/>
        <rFont val="Calibri"/>
        <family val="2"/>
        <scheme val="minor"/>
      </rPr>
      <t>)</t>
    </r>
  </si>
  <si>
    <t>First Moment of Area of the Reinforcement Shape</t>
  </si>
  <si>
    <t>Reinforcement Cross-Sectional Area</t>
  </si>
  <si>
    <t>Distance between Reinforcement &amp; Main Centroids</t>
  </si>
  <si>
    <t>Reinforcement Centroid Distance from Outer Edge</t>
  </si>
  <si>
    <t>Available Yield Moment of Built-Up Shape</t>
  </si>
  <si>
    <t>Tensile Yield Strength of Reinforcement Shape</t>
  </si>
  <si>
    <r>
      <t>F</t>
    </r>
    <r>
      <rPr>
        <vertAlign val="subscript"/>
        <sz val="10"/>
        <color theme="1"/>
        <rFont val="Calibri"/>
        <family val="2"/>
        <scheme val="minor"/>
      </rPr>
      <t>y</t>
    </r>
    <r>
      <rPr>
        <sz val="10"/>
        <color theme="1"/>
        <rFont val="Calibri"/>
        <family val="2"/>
        <scheme val="minor"/>
      </rPr>
      <t>A</t>
    </r>
    <r>
      <rPr>
        <vertAlign val="subscript"/>
        <sz val="10"/>
        <color theme="1"/>
        <rFont val="Calibri"/>
        <family val="2"/>
        <scheme val="minor"/>
      </rPr>
      <t>gr</t>
    </r>
  </si>
  <si>
    <t>Required Anchor Force from Elastic Distribution</t>
  </si>
  <si>
    <t>Required Anchor Force from Moment</t>
  </si>
  <si>
    <t>Is there a weld across the end of the cover plate?</t>
  </si>
  <si>
    <t>Y/N</t>
  </si>
  <si>
    <t>No</t>
  </si>
  <si>
    <r>
      <t>D</t>
    </r>
    <r>
      <rPr>
        <vertAlign val="subscript"/>
        <sz val="10"/>
        <color theme="1"/>
        <rFont val="Calibri"/>
        <family val="2"/>
        <scheme val="minor"/>
      </rPr>
      <t>w</t>
    </r>
    <r>
      <rPr>
        <sz val="10"/>
        <color theme="1"/>
        <rFont val="Calibri"/>
        <family val="2"/>
        <scheme val="minor"/>
      </rPr>
      <t>/16</t>
    </r>
  </si>
  <si>
    <t>Strength of 1" Long Fillet Weld</t>
  </si>
  <si>
    <r>
      <t>l</t>
    </r>
    <r>
      <rPr>
        <vertAlign val="subscript"/>
        <sz val="10"/>
        <color theme="1"/>
        <rFont val="Calibri"/>
        <family val="2"/>
        <scheme val="minor"/>
      </rPr>
      <t>w</t>
    </r>
  </si>
  <si>
    <r>
      <t>l</t>
    </r>
    <r>
      <rPr>
        <vertAlign val="subscript"/>
        <sz val="10"/>
        <color theme="1"/>
        <rFont val="Calibri"/>
        <family val="2"/>
        <scheme val="minor"/>
      </rPr>
      <t>w_req1</t>
    </r>
  </si>
  <si>
    <r>
      <t>l</t>
    </r>
    <r>
      <rPr>
        <vertAlign val="subscript"/>
        <sz val="10"/>
        <color theme="1"/>
        <rFont val="Calibri"/>
        <family val="2"/>
        <scheme val="minor"/>
      </rPr>
      <t>w_req</t>
    </r>
  </si>
  <si>
    <r>
      <t>l</t>
    </r>
    <r>
      <rPr>
        <vertAlign val="subscript"/>
        <sz val="10"/>
        <color theme="1"/>
        <rFont val="Calibri"/>
        <family val="2"/>
        <scheme val="minor"/>
      </rPr>
      <t>w_req2</t>
    </r>
  </si>
  <si>
    <t>Required Weld Length for Strength</t>
  </si>
  <si>
    <t>Available End Anchor Weld Strength of Both Sides</t>
  </si>
  <si>
    <t>p</t>
  </si>
  <si>
    <t>Intermittent Weld Pitch</t>
  </si>
  <si>
    <r>
      <t>l</t>
    </r>
    <r>
      <rPr>
        <vertAlign val="subscript"/>
        <sz val="10"/>
        <color theme="1"/>
        <rFont val="Calibri"/>
        <family val="2"/>
        <scheme val="minor"/>
      </rPr>
      <t>wi</t>
    </r>
  </si>
  <si>
    <t>in/in</t>
  </si>
  <si>
    <t>Actual Intermittent Weld Ratio (Length/Pitch)</t>
  </si>
  <si>
    <t>Required Intermittent Weld Ratio (Length/Pitch)</t>
  </si>
  <si>
    <t>Intermittent Weld Strength Utilization</t>
  </si>
  <si>
    <t>Theoretical Cutoff Point Location from Member End</t>
  </si>
  <si>
    <r>
      <t>x</t>
    </r>
    <r>
      <rPr>
        <vertAlign val="subscript"/>
        <sz val="10"/>
        <color theme="1"/>
        <rFont val="Calibri"/>
        <family val="2"/>
        <scheme val="minor"/>
      </rPr>
      <t>cutoff</t>
    </r>
  </si>
  <si>
    <t>End Anchor Weld Strength Utilization</t>
  </si>
  <si>
    <t>t</t>
  </si>
  <si>
    <t>Thickness of Cover Plate / Reinforcement Shape</t>
  </si>
  <si>
    <t>[F13.3(e)] Required Weld Length for Shear Lag</t>
  </si>
  <si>
    <r>
      <t>F</t>
    </r>
    <r>
      <rPr>
        <vertAlign val="subscript"/>
        <sz val="10"/>
        <color theme="1"/>
        <rFont val="Calibri"/>
        <family val="2"/>
        <scheme val="minor"/>
      </rPr>
      <t>r</t>
    </r>
  </si>
  <si>
    <r>
      <t>l</t>
    </r>
    <r>
      <rPr>
        <vertAlign val="subscript"/>
        <sz val="10"/>
        <color theme="1"/>
        <rFont val="Calibri"/>
        <family val="2"/>
        <scheme val="minor"/>
      </rPr>
      <t>wi</t>
    </r>
    <r>
      <rPr>
        <sz val="10"/>
        <color theme="1"/>
        <rFont val="Calibri"/>
        <family val="2"/>
        <scheme val="minor"/>
      </rPr>
      <t>/p</t>
    </r>
  </si>
  <si>
    <r>
      <t>(l</t>
    </r>
    <r>
      <rPr>
        <vertAlign val="subscript"/>
        <sz val="10"/>
        <color theme="1"/>
        <rFont val="Calibri"/>
        <family val="2"/>
        <scheme val="minor"/>
      </rPr>
      <t>wi</t>
    </r>
    <r>
      <rPr>
        <sz val="10"/>
        <color theme="1"/>
        <rFont val="Calibri"/>
        <family val="2"/>
        <scheme val="minor"/>
      </rPr>
      <t>/p)</t>
    </r>
    <r>
      <rPr>
        <vertAlign val="subscript"/>
        <sz val="10"/>
        <color theme="1"/>
        <rFont val="Calibri"/>
        <family val="2"/>
        <scheme val="minor"/>
      </rPr>
      <t>req</t>
    </r>
  </si>
  <si>
    <t>St. Venant Torsional Constant - (White &amp; Jung, 2003) Eq. (17)</t>
  </si>
  <si>
    <r>
      <t xml:space="preserve">White, D.W. and Jung, S. (2003) </t>
    </r>
    <r>
      <rPr>
        <i/>
        <sz val="10"/>
        <color theme="1"/>
        <rFont val="Calibri"/>
        <family val="2"/>
        <scheme val="minor"/>
      </rPr>
      <t>Simplified Lateral-Torsional Buckling Equations for Singly-Symmetric I-Section Members</t>
    </r>
    <r>
      <rPr>
        <sz val="10"/>
        <color theme="1"/>
        <rFont val="Calibri"/>
        <family val="2"/>
        <scheme val="minor"/>
      </rPr>
      <t>. Atlanta, GA: School of Civil and Environmental Engineering, Georgia Institute of Technology.</t>
    </r>
  </si>
  <si>
    <t>Add new shapes above line for VLOOKUP</t>
  </si>
  <si>
    <r>
      <rPr>
        <u/>
        <sz val="10"/>
        <rFont val="Calibri"/>
        <family val="2"/>
        <scheme val="minor"/>
      </rPr>
      <t>Note</t>
    </r>
    <r>
      <rPr>
        <sz val="10"/>
        <rFont val="Calibri"/>
        <family val="2"/>
        <scheme val="minor"/>
      </rPr>
      <t xml:space="preserve">: Section property values in </t>
    </r>
    <r>
      <rPr>
        <b/>
        <sz val="10"/>
        <color rgb="FF0000FF"/>
        <rFont val="Calibri"/>
        <family val="2"/>
        <scheme val="minor"/>
      </rPr>
      <t>blue</t>
    </r>
    <r>
      <rPr>
        <sz val="10"/>
        <rFont val="Calibri"/>
        <family val="2"/>
        <scheme val="minor"/>
      </rPr>
      <t xml:space="preserve"> (below) were missing from the original AISC databases (aisc.org) but were calculated separately and added.</t>
    </r>
  </si>
  <si>
    <t>=A#</t>
  </si>
  <si>
    <r>
      <t xml:space="preserve">ASCE. (2016). </t>
    </r>
    <r>
      <rPr>
        <i/>
        <sz val="10"/>
        <color theme="1"/>
        <rFont val="Calibri"/>
        <family val="2"/>
        <scheme val="minor"/>
      </rPr>
      <t>Minimum Design Loads and Associated Criteria for Buildings and Other Structures, ASCE/SEI 7-16.</t>
    </r>
    <r>
      <rPr>
        <sz val="10"/>
        <color theme="1"/>
        <rFont val="Calibri"/>
        <family val="2"/>
        <scheme val="minor"/>
      </rPr>
      <t xml:space="preserve"> Reston, VA: American Society of Civil Engineers.</t>
    </r>
  </si>
  <si>
    <r>
      <t xml:space="preserve">ASCE. (2022). </t>
    </r>
    <r>
      <rPr>
        <i/>
        <sz val="10"/>
        <color theme="1"/>
        <rFont val="Calibri"/>
        <family val="2"/>
        <scheme val="minor"/>
      </rPr>
      <t>Minimum Design Loads and Associated Criteria for Buildings and Other Structures, ASCE/SEI 7-22.</t>
    </r>
    <r>
      <rPr>
        <sz val="10"/>
        <color theme="1"/>
        <rFont val="Calibri"/>
        <family val="2"/>
        <scheme val="minor"/>
      </rPr>
      <t xml:space="preserve"> Reston, VA: American Society of Civil Engineers.</t>
    </r>
  </si>
  <si>
    <r>
      <t xml:space="preserve">Dowswell, B. (2013, November 14). </t>
    </r>
    <r>
      <rPr>
        <i/>
        <sz val="10"/>
        <color theme="1"/>
        <rFont val="Calibri"/>
        <family val="2"/>
        <scheme val="minor"/>
      </rPr>
      <t>Design of Reinforcement for Steel Members - Part 1</t>
    </r>
    <r>
      <rPr>
        <sz val="10"/>
        <color theme="1"/>
        <rFont val="Calibri"/>
        <family val="2"/>
        <scheme val="minor"/>
      </rPr>
      <t>. Retrieved from AISC - Education Archives: https://www.aisc.org/education/continuingeducation/education-archives/design-of-reinforcement-for-steel-members---part-1/</t>
    </r>
  </si>
  <si>
    <r>
      <t xml:space="preserve">Dowswell, B. (2016, October 20). </t>
    </r>
    <r>
      <rPr>
        <i/>
        <sz val="10"/>
        <color theme="1"/>
        <rFont val="Calibri"/>
        <family val="2"/>
        <scheme val="minor"/>
      </rPr>
      <t>Design of Reinforcement for Steel Members - Part 2</t>
    </r>
    <r>
      <rPr>
        <sz val="10"/>
        <color theme="1"/>
        <rFont val="Calibri"/>
        <family val="2"/>
        <scheme val="minor"/>
      </rPr>
      <t>. Retrieved from AISC - Education Archives: https://www.aisc.org/education/continuingeducation/education-archives/design-of-reinforcement-for-steel-members---part-2</t>
    </r>
  </si>
  <si>
    <r>
      <t xml:space="preserve">AISC. (2022), </t>
    </r>
    <r>
      <rPr>
        <i/>
        <sz val="10"/>
        <color theme="1"/>
        <rFont val="Calibri"/>
        <family val="2"/>
        <scheme val="minor"/>
      </rPr>
      <t>Specification for Structural Steel Buildings, ANSI/AISC 360-22</t>
    </r>
    <r>
      <rPr>
        <sz val="10"/>
        <color theme="1"/>
        <rFont val="Calibri"/>
        <family val="2"/>
        <scheme val="minor"/>
      </rPr>
      <t>. Chicago, IL: American Institute of Steel Construction.</t>
    </r>
  </si>
  <si>
    <r>
      <t xml:space="preserve">AISC. (2023), </t>
    </r>
    <r>
      <rPr>
        <i/>
        <sz val="10"/>
        <color theme="1"/>
        <rFont val="Calibri"/>
        <family val="2"/>
        <scheme val="minor"/>
      </rPr>
      <t>Steel Construction Manual, 16th Ed.</t>
    </r>
    <r>
      <rPr>
        <sz val="10"/>
        <color theme="1"/>
        <rFont val="Calibri"/>
        <family val="2"/>
        <scheme val="minor"/>
      </rPr>
      <t xml:space="preserve"> Chicago, IL: American Institute of Steel Construction.</t>
    </r>
  </si>
  <si>
    <r>
      <t xml:space="preserve">Reinforcement Shape on </t>
    </r>
    <r>
      <rPr>
        <b/>
        <u/>
        <sz val="10"/>
        <color rgb="FFCC00CC"/>
        <rFont val="Calibri"/>
        <family val="2"/>
        <scheme val="minor"/>
      </rPr>
      <t>Bottom (Tension) Flange</t>
    </r>
  </si>
  <si>
    <r>
      <t xml:space="preserve">Reinforcement Shape on </t>
    </r>
    <r>
      <rPr>
        <b/>
        <u/>
        <sz val="10"/>
        <color rgb="FFCC00CC"/>
        <rFont val="Calibri"/>
        <family val="2"/>
        <scheme val="minor"/>
      </rPr>
      <t>Top (Compression) Flange</t>
    </r>
  </si>
  <si>
    <t>Flange Width-to-Thickness Ratio</t>
  </si>
  <si>
    <r>
      <t>A</t>
    </r>
    <r>
      <rPr>
        <vertAlign val="subscript"/>
        <sz val="10"/>
        <color rgb="FF0000FF"/>
        <rFont val="Calibri"/>
        <family val="2"/>
        <scheme val="minor"/>
      </rPr>
      <t>ef2</t>
    </r>
  </si>
  <si>
    <r>
      <t>in</t>
    </r>
    <r>
      <rPr>
        <vertAlign val="superscript"/>
        <sz val="10"/>
        <color rgb="FF0000FF"/>
        <rFont val="Calibri"/>
        <family val="2"/>
        <scheme val="minor"/>
      </rPr>
      <t>2</t>
    </r>
  </si>
  <si>
    <r>
      <t>A</t>
    </r>
    <r>
      <rPr>
        <vertAlign val="subscript"/>
        <sz val="10"/>
        <color rgb="FF0000FF"/>
        <rFont val="Calibri"/>
        <family val="2"/>
        <scheme val="minor"/>
      </rPr>
      <t>ew</t>
    </r>
  </si>
  <si>
    <r>
      <t>A</t>
    </r>
    <r>
      <rPr>
        <vertAlign val="subscript"/>
        <sz val="10"/>
        <color rgb="FF0000FF"/>
        <rFont val="Calibri"/>
        <family val="2"/>
        <scheme val="minor"/>
      </rPr>
      <t>ef1</t>
    </r>
  </si>
  <si>
    <t>Total Gross Area</t>
  </si>
  <si>
    <t>Yes</t>
  </si>
  <si>
    <r>
      <t>d</t>
    </r>
    <r>
      <rPr>
        <vertAlign val="subscript"/>
        <sz val="10"/>
        <color theme="1"/>
        <rFont val="Calibri"/>
        <family val="2"/>
        <scheme val="minor"/>
      </rPr>
      <t>we</t>
    </r>
  </si>
  <si>
    <r>
      <t>b</t>
    </r>
    <r>
      <rPr>
        <vertAlign val="subscript"/>
        <sz val="10"/>
        <color theme="1"/>
        <rFont val="Calibri"/>
        <family val="2"/>
        <scheme val="minor"/>
      </rPr>
      <t>f2</t>
    </r>
  </si>
  <si>
    <r>
      <t>b</t>
    </r>
    <r>
      <rPr>
        <vertAlign val="subscript"/>
        <sz val="10"/>
        <color theme="1"/>
        <rFont val="Calibri"/>
        <family val="2"/>
        <scheme val="minor"/>
      </rPr>
      <t>f1</t>
    </r>
  </si>
  <si>
    <r>
      <t>b</t>
    </r>
    <r>
      <rPr>
        <vertAlign val="subscript"/>
        <sz val="10"/>
        <color theme="1"/>
        <rFont val="Calibri"/>
        <family val="2"/>
        <scheme val="minor"/>
      </rPr>
      <t>f1e</t>
    </r>
  </si>
  <si>
    <r>
      <t>b</t>
    </r>
    <r>
      <rPr>
        <vertAlign val="subscript"/>
        <sz val="10"/>
        <color theme="1"/>
        <rFont val="Calibri"/>
        <family val="2"/>
        <scheme val="minor"/>
      </rPr>
      <t>f2e</t>
    </r>
  </si>
  <si>
    <r>
      <t>b</t>
    </r>
    <r>
      <rPr>
        <vertAlign val="subscript"/>
        <sz val="10"/>
        <color theme="1"/>
        <rFont val="Calibri"/>
        <family val="2"/>
        <scheme val="minor"/>
      </rPr>
      <t>fe</t>
    </r>
  </si>
  <si>
    <t>Maximum Width of Flange or Reinforcement Shape</t>
  </si>
  <si>
    <r>
      <t>L</t>
    </r>
    <r>
      <rPr>
        <vertAlign val="subscript"/>
        <sz val="10"/>
        <color theme="1"/>
        <rFont val="Calibri"/>
        <family val="2"/>
        <scheme val="minor"/>
      </rPr>
      <t>reinf_top</t>
    </r>
  </si>
  <si>
    <r>
      <t>L</t>
    </r>
    <r>
      <rPr>
        <vertAlign val="subscript"/>
        <sz val="10"/>
        <color theme="1"/>
        <rFont val="Calibri"/>
        <family val="2"/>
        <scheme val="minor"/>
      </rPr>
      <t>reinf_bottom</t>
    </r>
  </si>
  <si>
    <r>
      <t>l</t>
    </r>
    <r>
      <rPr>
        <vertAlign val="subscript"/>
        <sz val="10"/>
        <color theme="1"/>
        <rFont val="Calibri"/>
        <family val="2"/>
        <scheme val="minor"/>
      </rPr>
      <t>dev_top</t>
    </r>
  </si>
  <si>
    <r>
      <t>l</t>
    </r>
    <r>
      <rPr>
        <vertAlign val="subscript"/>
        <sz val="10"/>
        <color theme="1"/>
        <rFont val="Calibri"/>
        <family val="2"/>
        <scheme val="minor"/>
      </rPr>
      <t>dev_bottom</t>
    </r>
  </si>
  <si>
    <r>
      <t xml:space="preserve">Required </t>
    </r>
    <r>
      <rPr>
        <u/>
        <sz val="10"/>
        <color theme="1"/>
        <rFont val="Calibri"/>
        <family val="2"/>
        <scheme val="minor"/>
      </rPr>
      <t>Top</t>
    </r>
    <r>
      <rPr>
        <sz val="10"/>
        <color theme="1"/>
        <rFont val="Calibri"/>
        <family val="2"/>
        <scheme val="minor"/>
      </rPr>
      <t xml:space="preserve"> Reinforcement Length (Centered)</t>
    </r>
  </si>
  <si>
    <r>
      <t xml:space="preserve">Required </t>
    </r>
    <r>
      <rPr>
        <u/>
        <sz val="10"/>
        <color theme="1"/>
        <rFont val="Calibri"/>
        <family val="2"/>
        <scheme val="minor"/>
      </rPr>
      <t>Bottom</t>
    </r>
    <r>
      <rPr>
        <sz val="10"/>
        <color theme="1"/>
        <rFont val="Calibri"/>
        <family val="2"/>
        <scheme val="minor"/>
      </rPr>
      <t xml:space="preserve"> Reinforcement Length (Centered)</t>
    </r>
  </si>
  <si>
    <r>
      <rPr>
        <u/>
        <sz val="10"/>
        <color theme="1"/>
        <rFont val="Calibri"/>
        <family val="2"/>
        <scheme val="minor"/>
      </rPr>
      <t>Bottom</t>
    </r>
    <r>
      <rPr>
        <sz val="10"/>
        <color theme="1"/>
        <rFont val="Calibri"/>
        <family val="2"/>
        <scheme val="minor"/>
      </rPr>
      <t xml:space="preserve"> Reinforcement Development Length</t>
    </r>
  </si>
  <si>
    <r>
      <rPr>
        <u/>
        <sz val="10"/>
        <color theme="1"/>
        <rFont val="Calibri"/>
        <family val="2"/>
        <scheme val="minor"/>
      </rPr>
      <t>Top</t>
    </r>
    <r>
      <rPr>
        <sz val="10"/>
        <color theme="1"/>
        <rFont val="Calibri"/>
        <family val="2"/>
        <scheme val="minor"/>
      </rPr>
      <t xml:space="preserve"> Reinforcement Development Length</t>
    </r>
  </si>
  <si>
    <t>Available Intermittent Weld Strength of Both Sides</t>
  </si>
  <si>
    <r>
      <t>Total Required Shear Flow (VQ/I</t>
    </r>
    <r>
      <rPr>
        <vertAlign val="subscript"/>
        <sz val="10"/>
        <color theme="1"/>
        <rFont val="Calibri"/>
        <family val="2"/>
        <scheme val="minor"/>
      </rPr>
      <t>x</t>
    </r>
    <r>
      <rPr>
        <sz val="10"/>
        <color theme="1"/>
        <rFont val="Calibri"/>
        <family val="2"/>
        <scheme val="minor"/>
      </rPr>
      <t>)</t>
    </r>
  </si>
  <si>
    <t>Weld Design (Assumes Fillet Weld on Both Sides)</t>
  </si>
  <si>
    <r>
      <t>A</t>
    </r>
    <r>
      <rPr>
        <vertAlign val="subscript"/>
        <sz val="10"/>
        <color theme="1"/>
        <rFont val="Calibri"/>
        <family val="2"/>
        <scheme val="minor"/>
      </rPr>
      <t>extra</t>
    </r>
  </si>
  <si>
    <t>Extra Area from Reinforcement</t>
  </si>
  <si>
    <r>
      <t>A</t>
    </r>
    <r>
      <rPr>
        <vertAlign val="subscript"/>
        <sz val="10"/>
        <color rgb="FF0000FF"/>
        <rFont val="Calibri"/>
        <family val="2"/>
        <scheme val="minor"/>
      </rPr>
      <t>e</t>
    </r>
  </si>
  <si>
    <t>A/L</t>
  </si>
  <si>
    <t>No Data</t>
  </si>
  <si>
    <t>A / L</t>
  </si>
  <si>
    <t>Length of Reinforcement</t>
  </si>
  <si>
    <t>Parameter</t>
  </si>
  <si>
    <t>Reference:</t>
  </si>
  <si>
    <t>Centered Reinforcement:</t>
  </si>
  <si>
    <t>Figure 1 (Dalal, 1969)</t>
  </si>
  <si>
    <t>Figure 2 (Dalal, 1969)</t>
  </si>
  <si>
    <t>Offset Reinforcement:</t>
  </si>
  <si>
    <t>Reinforced Section Moment of Inertia</t>
  </si>
  <si>
    <t>Unreinforced Section Moment of Inertia</t>
  </si>
  <si>
    <t>Total Length</t>
  </si>
  <si>
    <t>Offset Reinforcement Effective Length Factor</t>
  </si>
  <si>
    <t>Centered Reinforcement Effective Length Factor</t>
  </si>
  <si>
    <t>1. DESIGN INPUTS</t>
  </si>
  <si>
    <r>
      <t>I</t>
    </r>
    <r>
      <rPr>
        <vertAlign val="subscript"/>
        <sz val="10"/>
        <color theme="1"/>
        <rFont val="Calibri"/>
        <family val="2"/>
        <scheme val="minor"/>
      </rPr>
      <t>2</t>
    </r>
    <r>
      <rPr>
        <sz val="10"/>
        <color theme="1"/>
        <rFont val="Calibri"/>
        <family val="2"/>
        <scheme val="minor"/>
      </rPr>
      <t xml:space="preserve"> / I</t>
    </r>
    <r>
      <rPr>
        <vertAlign val="subscript"/>
        <sz val="10"/>
        <color theme="1"/>
        <rFont val="Calibri"/>
        <family val="2"/>
        <scheme val="minor"/>
      </rPr>
      <t>1</t>
    </r>
  </si>
  <si>
    <t>Reinforcement Length to Total Length Ratio</t>
  </si>
  <si>
    <t>Design of Compession Members with Partial-Length Reinforcement</t>
  </si>
  <si>
    <t>[F5-5] LTB Unbraced Length Limit</t>
  </si>
  <si>
    <r>
      <t>d</t>
    </r>
    <r>
      <rPr>
        <vertAlign val="subscript"/>
        <sz val="10"/>
        <color theme="1"/>
        <rFont val="Calibri"/>
        <family val="2"/>
        <scheme val="minor"/>
      </rPr>
      <t>r</t>
    </r>
  </si>
  <si>
    <t>Reinforcement Setback Distance (Equally Spaced)</t>
  </si>
  <si>
    <t>Unreinforced Compression Elastic Section Modulus</t>
  </si>
  <si>
    <t>Reinforced Compression Elastic Section Modulus</t>
  </si>
  <si>
    <t>[F4-5] Elastic LTB Critical Stress</t>
  </si>
  <si>
    <r>
      <rPr>
        <sz val="10"/>
        <color theme="1"/>
        <rFont val="Aptos Narrow"/>
        <family val="2"/>
      </rPr>
      <t>β</t>
    </r>
    <r>
      <rPr>
        <vertAlign val="subscript"/>
        <sz val="10"/>
        <color theme="1"/>
        <rFont val="Calibri"/>
        <family val="2"/>
        <scheme val="minor"/>
      </rPr>
      <t>LTB</t>
    </r>
  </si>
  <si>
    <t>Unreinforced Section Elastic LTB Moment</t>
  </si>
  <si>
    <t>Reinforced Section Elastic LTB Moment</t>
  </si>
  <si>
    <t>Partial-Length Reinforcement</t>
  </si>
  <si>
    <r>
      <t>M</t>
    </r>
    <r>
      <rPr>
        <vertAlign val="subscript"/>
        <sz val="10"/>
        <color rgb="FF0000FF"/>
        <rFont val="Calibri"/>
        <family val="2"/>
        <scheme val="minor"/>
      </rPr>
      <t>er</t>
    </r>
  </si>
  <si>
    <r>
      <t>M</t>
    </r>
    <r>
      <rPr>
        <vertAlign val="subscript"/>
        <sz val="10"/>
        <color rgb="FF0000FF"/>
        <rFont val="Calibri"/>
        <family val="2"/>
        <scheme val="minor"/>
      </rPr>
      <t>e0</t>
    </r>
  </si>
  <si>
    <r>
      <t>[F5-2] R</t>
    </r>
    <r>
      <rPr>
        <vertAlign val="subscript"/>
        <sz val="10"/>
        <color theme="1"/>
        <rFont val="Calibri"/>
        <family val="2"/>
        <scheme val="minor"/>
      </rPr>
      <t>pg</t>
    </r>
    <r>
      <rPr>
        <sz val="10"/>
        <color theme="1"/>
        <rFont val="Calibri"/>
        <family val="2"/>
        <scheme val="minor"/>
      </rPr>
      <t>*S</t>
    </r>
    <r>
      <rPr>
        <vertAlign val="subscript"/>
        <sz val="10"/>
        <color theme="1"/>
        <rFont val="Calibri"/>
        <family val="2"/>
        <scheme val="minor"/>
      </rPr>
      <t>xc</t>
    </r>
    <r>
      <rPr>
        <sz val="10"/>
        <color theme="1"/>
        <rFont val="Calibri"/>
        <family val="2"/>
        <scheme val="minor"/>
      </rPr>
      <t>*F</t>
    </r>
    <r>
      <rPr>
        <vertAlign val="subscript"/>
        <sz val="10"/>
        <color theme="1"/>
        <rFont val="Calibri"/>
        <family val="2"/>
        <scheme val="minor"/>
      </rPr>
      <t>cr</t>
    </r>
  </si>
  <si>
    <t>[F5-4] Critical Stress</t>
  </si>
  <si>
    <r>
      <t>[F4-3] Elastic LTB Moment S</t>
    </r>
    <r>
      <rPr>
        <vertAlign val="subscript"/>
        <sz val="10"/>
        <color theme="1"/>
        <rFont val="Calibri"/>
        <family val="2"/>
        <scheme val="minor"/>
      </rPr>
      <t>xc</t>
    </r>
    <r>
      <rPr>
        <sz val="10"/>
        <color theme="1"/>
        <rFont val="Calibri"/>
        <family val="2"/>
        <scheme val="minor"/>
      </rPr>
      <t>*F</t>
    </r>
    <r>
      <rPr>
        <vertAlign val="subscript"/>
        <sz val="10"/>
        <color theme="1"/>
        <rFont val="Calibri"/>
        <family val="2"/>
        <scheme val="minor"/>
      </rPr>
      <t>cr</t>
    </r>
    <r>
      <rPr>
        <sz val="10"/>
        <color theme="1"/>
        <rFont val="Calibri"/>
        <family val="2"/>
        <scheme val="minor"/>
      </rPr>
      <t xml:space="preserve"> &lt;= R</t>
    </r>
    <r>
      <rPr>
        <vertAlign val="subscript"/>
        <sz val="10"/>
        <color theme="1"/>
        <rFont val="Calibri"/>
        <family val="2"/>
        <scheme val="minor"/>
      </rPr>
      <t>pc</t>
    </r>
    <r>
      <rPr>
        <sz val="10"/>
        <color theme="1"/>
        <rFont val="Calibri"/>
        <family val="2"/>
        <scheme val="minor"/>
      </rPr>
      <t>*M</t>
    </r>
    <r>
      <rPr>
        <vertAlign val="subscript"/>
        <sz val="10"/>
        <color theme="1"/>
        <rFont val="Calibri"/>
        <family val="2"/>
        <scheme val="minor"/>
      </rPr>
      <t xml:space="preserve">yc </t>
    </r>
  </si>
  <si>
    <r>
      <t>M</t>
    </r>
    <r>
      <rPr>
        <vertAlign val="subscript"/>
        <sz val="10"/>
        <color theme="1"/>
        <rFont val="Calibri"/>
        <family val="2"/>
        <scheme val="minor"/>
      </rPr>
      <t>n(F4-3)</t>
    </r>
  </si>
  <si>
    <r>
      <t>M</t>
    </r>
    <r>
      <rPr>
        <vertAlign val="subscript"/>
        <sz val="10"/>
        <color theme="1"/>
        <rFont val="Calibri"/>
        <family val="2"/>
        <scheme val="minor"/>
      </rPr>
      <t>n(F5-2)</t>
    </r>
  </si>
  <si>
    <r>
      <t>F</t>
    </r>
    <r>
      <rPr>
        <vertAlign val="subscript"/>
        <sz val="10"/>
        <color theme="1"/>
        <rFont val="Calibri"/>
        <family val="2"/>
        <scheme val="minor"/>
      </rPr>
      <t>cr(F4-5)</t>
    </r>
  </si>
  <si>
    <r>
      <t>F</t>
    </r>
    <r>
      <rPr>
        <vertAlign val="subscript"/>
        <sz val="10"/>
        <color theme="1"/>
        <rFont val="Calibri"/>
        <family val="2"/>
        <scheme val="minor"/>
      </rPr>
      <t>cr(F5-2)</t>
    </r>
  </si>
  <si>
    <t>(Stepped Column)</t>
  </si>
  <si>
    <t>(Stepped Beam)</t>
  </si>
  <si>
    <t>LTB Modification Factor for Built-Up Shape</t>
  </si>
  <si>
    <t>Effective Length Factor for Built-Up Shape</t>
  </si>
  <si>
    <t>[J2-1p Weld Effective Length</t>
  </si>
  <si>
    <t>β</t>
  </si>
  <si>
    <t>Least Radius of Gyration</t>
  </si>
  <si>
    <r>
      <t>r</t>
    </r>
    <r>
      <rPr>
        <vertAlign val="subscript"/>
        <sz val="10"/>
        <color theme="1"/>
        <rFont val="Calibri"/>
        <family val="2"/>
        <scheme val="minor"/>
      </rPr>
      <t>i</t>
    </r>
  </si>
  <si>
    <r>
      <t xml:space="preserve">Intermittent Weld Length on Each Side </t>
    </r>
    <r>
      <rPr>
        <sz val="10"/>
        <color rgb="FFC00000"/>
        <rFont val="Calibri"/>
        <family val="2"/>
        <scheme val="minor"/>
      </rPr>
      <t>(Min. 1.5")</t>
    </r>
  </si>
  <si>
    <t>KL/r</t>
  </si>
  <si>
    <t>Maximum Slenderness Ratio of Reinforced Shape</t>
  </si>
  <si>
    <t>[E6.2] Max. Weld Pitch for Compression Members</t>
  </si>
  <si>
    <t>[J3.5] Max. Weld Pitch for Flexural Members</t>
  </si>
  <si>
    <t>[E6.2/J3.5] Max. Intermittent Weld Pitch</t>
  </si>
  <si>
    <r>
      <t>p</t>
    </r>
    <r>
      <rPr>
        <vertAlign val="subscript"/>
        <sz val="10"/>
        <color theme="1"/>
        <rFont val="Calibri"/>
        <family val="2"/>
        <scheme val="minor"/>
      </rPr>
      <t>max</t>
    </r>
  </si>
  <si>
    <r>
      <t>p</t>
    </r>
    <r>
      <rPr>
        <vertAlign val="subscript"/>
        <sz val="10"/>
        <color theme="1"/>
        <rFont val="Calibri"/>
        <family val="2"/>
        <scheme val="minor"/>
      </rPr>
      <t>max2</t>
    </r>
  </si>
  <si>
    <r>
      <t>p</t>
    </r>
    <r>
      <rPr>
        <vertAlign val="subscript"/>
        <sz val="10"/>
        <color theme="1"/>
        <rFont val="Calibri"/>
        <family val="2"/>
        <scheme val="minor"/>
      </rPr>
      <t>max1</t>
    </r>
  </si>
  <si>
    <r>
      <t>r</t>
    </r>
    <r>
      <rPr>
        <vertAlign val="subscript"/>
        <sz val="10"/>
        <color theme="1"/>
        <rFont val="Calibri"/>
        <family val="2"/>
        <scheme val="minor"/>
      </rPr>
      <t>t0</t>
    </r>
  </si>
  <si>
    <r>
      <t>r</t>
    </r>
    <r>
      <rPr>
        <vertAlign val="subscript"/>
        <sz val="10"/>
        <color theme="1"/>
        <rFont val="Calibri"/>
        <family val="2"/>
        <scheme val="minor"/>
      </rPr>
      <t>tr</t>
    </r>
  </si>
  <si>
    <t>Unreinforced Compression Flange Radius of Gyration</t>
  </si>
  <si>
    <t>Reinforced Compression Flange Radius of Gyration</t>
  </si>
  <si>
    <r>
      <t>0.85*r</t>
    </r>
    <r>
      <rPr>
        <vertAlign val="subscript"/>
        <sz val="10"/>
        <color theme="1"/>
        <rFont val="Calibri"/>
        <family val="2"/>
        <scheme val="minor"/>
      </rPr>
      <t>t0</t>
    </r>
  </si>
  <si>
    <r>
      <t>0.85*Unreinforced r</t>
    </r>
    <r>
      <rPr>
        <vertAlign val="subscript"/>
        <sz val="10"/>
        <color theme="1"/>
        <rFont val="Calibri"/>
        <family val="2"/>
        <scheme val="minor"/>
      </rPr>
      <t>t</t>
    </r>
  </si>
  <si>
    <r>
      <t>C</t>
    </r>
    <r>
      <rPr>
        <vertAlign val="subscript"/>
        <sz val="10"/>
        <color theme="1"/>
        <rFont val="Calibri"/>
        <family val="2"/>
        <scheme val="minor"/>
      </rPr>
      <t>v2</t>
    </r>
  </si>
  <si>
    <t>1.37*sqrt(kv*E/Fy)</t>
  </si>
  <si>
    <t>[G6] Available Minor Axis Shear Strength</t>
  </si>
  <si>
    <t>[G2] Available Major Axis Shear Strength</t>
  </si>
  <si>
    <t>[G2-1] Nominal Major Axis Shear Strength</t>
  </si>
  <si>
    <r>
      <t>λ</t>
    </r>
    <r>
      <rPr>
        <vertAlign val="subscript"/>
        <sz val="10"/>
        <color theme="1"/>
        <rFont val="Calibri"/>
        <family val="2"/>
        <scheme val="minor"/>
      </rPr>
      <t>f</t>
    </r>
    <r>
      <rPr>
        <sz val="10"/>
        <color theme="1"/>
        <rFont val="Calibri"/>
        <family val="2"/>
        <scheme val="minor"/>
      </rPr>
      <t>=b/t</t>
    </r>
    <r>
      <rPr>
        <vertAlign val="subscript"/>
        <sz val="10"/>
        <color theme="1"/>
        <rFont val="Calibri"/>
        <family val="2"/>
        <scheme val="minor"/>
      </rPr>
      <t>f</t>
    </r>
  </si>
  <si>
    <t xml:space="preserve"> [G2-3, G2-4] Web Shear Strength Factor</t>
  </si>
  <si>
    <t>kv=1.2</t>
  </si>
  <si>
    <t>kv=5.34</t>
  </si>
  <si>
    <r>
      <t>V</t>
    </r>
    <r>
      <rPr>
        <vertAlign val="subscript"/>
        <sz val="10"/>
        <color theme="1"/>
        <rFont val="Calibri"/>
        <family val="2"/>
        <scheme val="minor"/>
      </rPr>
      <t>n-y</t>
    </r>
  </si>
  <si>
    <r>
      <t>V</t>
    </r>
    <r>
      <rPr>
        <vertAlign val="subscript"/>
        <sz val="10"/>
        <color theme="1"/>
        <rFont val="Calibri"/>
        <family val="2"/>
        <scheme val="minor"/>
      </rPr>
      <t>n-x</t>
    </r>
  </si>
  <si>
    <t>[G6-1] Nominal Minor Axis Shear Strength</t>
  </si>
  <si>
    <t>[G2] Major Axis Shear Utilization</t>
  </si>
  <si>
    <t>[G6] Minor Axis Shear Utilization</t>
  </si>
  <si>
    <t>Required Major Axis Shear Strength</t>
  </si>
  <si>
    <t>Required Minor Axis Shear Strength</t>
  </si>
  <si>
    <t>[G2-9 - G2-11] Shear Buckling Factor</t>
  </si>
  <si>
    <t>[G2-9 - G2-11] Shear Buckling Factor - Top Flange</t>
  </si>
  <si>
    <t>[G2-9 - G2-11] Shear Buckling Factor - Bottom Flange</t>
  </si>
  <si>
    <r>
      <t>λ</t>
    </r>
    <r>
      <rPr>
        <vertAlign val="subscript"/>
        <sz val="10"/>
        <color theme="1"/>
        <rFont val="Calibri"/>
        <family val="2"/>
        <scheme val="minor"/>
      </rPr>
      <t>f</t>
    </r>
    <r>
      <rPr>
        <sz val="10"/>
        <color theme="1"/>
        <rFont val="Calibri"/>
        <family val="2"/>
        <scheme val="minor"/>
      </rPr>
      <t>=b</t>
    </r>
    <r>
      <rPr>
        <vertAlign val="subscript"/>
        <sz val="10"/>
        <color theme="1"/>
        <rFont val="Calibri"/>
        <family val="2"/>
        <scheme val="minor"/>
      </rPr>
      <t>c</t>
    </r>
    <r>
      <rPr>
        <sz val="10"/>
        <color theme="1"/>
        <rFont val="Calibri"/>
        <family val="2"/>
        <scheme val="minor"/>
      </rPr>
      <t>/t</t>
    </r>
    <r>
      <rPr>
        <vertAlign val="subscript"/>
        <sz val="10"/>
        <color theme="1"/>
        <rFont val="Calibri"/>
        <family val="2"/>
        <scheme val="minor"/>
      </rPr>
      <t>fc</t>
    </r>
  </si>
  <si>
    <r>
      <t>λ</t>
    </r>
    <r>
      <rPr>
        <vertAlign val="subscript"/>
        <sz val="10"/>
        <color theme="1"/>
        <rFont val="Calibri"/>
        <family val="2"/>
        <scheme val="minor"/>
      </rPr>
      <t>f1</t>
    </r>
  </si>
  <si>
    <r>
      <t>λ</t>
    </r>
    <r>
      <rPr>
        <vertAlign val="subscript"/>
        <sz val="10"/>
        <color theme="1"/>
        <rFont val="Calibri"/>
        <family val="2"/>
        <scheme val="minor"/>
      </rPr>
      <t>f2</t>
    </r>
  </si>
  <si>
    <t>Compression Flange Width-to-Thickness Ratio</t>
  </si>
  <si>
    <t>User Input Custom Load Demands</t>
  </si>
  <si>
    <t>Reinforced to Unreinforced Moment of Inertia Ratio</t>
  </si>
  <si>
    <t>Reinforcement Length</t>
  </si>
  <si>
    <t>Required Weld Length Each Side of Reinforcement</t>
  </si>
  <si>
    <t>End Weld Length Each Side of Reinforcement</t>
  </si>
  <si>
    <t>6. REINFORCEMENT ATTACHMENT DESIGN</t>
  </si>
  <si>
    <t>2. LOADS &amp; DEFLECTION CRITERIA</t>
  </si>
  <si>
    <t>Optional Inputs:</t>
  </si>
  <si>
    <t>Total Required Strength (Superimposed)</t>
  </si>
  <si>
    <t>Partial-Length Flexural Reinforcement:</t>
  </si>
  <si>
    <r>
      <t xml:space="preserve">Partial-Length Compression Reinforcement:
</t>
    </r>
    <r>
      <rPr>
        <sz val="10"/>
        <color rgb="FF0000FF"/>
        <rFont val="Calibri"/>
        <family val="2"/>
        <scheme val="minor"/>
      </rPr>
      <t>(Go to "Stepped Column - Modified K" tab)</t>
    </r>
  </si>
  <si>
    <t>References</t>
  </si>
  <si>
    <t>Design Aid Limitations</t>
  </si>
  <si>
    <t>Torsional demands or requirements.</t>
  </si>
  <si>
    <t>Historic design methods, such as allowable stress design.</t>
  </si>
  <si>
    <t>Asymmetric cross-sections.</t>
  </si>
  <si>
    <t xml:space="preserve">Composite members (structural steel and concrete acting together). </t>
  </si>
  <si>
    <t>Load combinations with editions of ASCE 7 prior to ASCE 7-16 and 7-22.</t>
  </si>
  <si>
    <t>Metric units.</t>
  </si>
  <si>
    <t>Steel shapes or standards outside of those used in the USA.</t>
  </si>
  <si>
    <t>Design for concentrated forces per AISC 360-22 Section J10.</t>
  </si>
  <si>
    <t>Structural analysis methods that include stiffness reduction and notional loads, such as the direct analysis method, effective length method, and first-order analysis method. Second-order effects are also not considered. These methods must be completed outside the design aid.</t>
  </si>
  <si>
    <t>Steel connection design.</t>
  </si>
  <si>
    <t>Design of steel shapes outside of I-shaped (W, S, M, HP, etc.) and C-shaped (C and MC) members. Design of plates, HSS, pipes, angles, and tee shapes is not included.</t>
  </si>
  <si>
    <t>ASCE 7 Load Combinations</t>
  </si>
  <si>
    <t>Soil, hydrostatic, ice, tornado, tsunami, flood, explosion, or impact loads.</t>
  </si>
  <si>
    <t>Differing material yield strength within a single cross-section. The lesser yield strength of two materials is used in reinforced (built-up) member design.</t>
  </si>
  <si>
    <t>Cell</t>
  </si>
  <si>
    <t>Description</t>
  </si>
  <si>
    <t>Load and Resistance Factor Design, or Strength Design (LRFD)</t>
  </si>
  <si>
    <t>where:</t>
  </si>
  <si>
    <t>= Dead Load</t>
  </si>
  <si>
    <t>= Live Load</t>
  </si>
  <si>
    <t>= Roof Live Load</t>
  </si>
  <si>
    <t>= Snow Load</t>
  </si>
  <si>
    <t>= Rain Load</t>
  </si>
  <si>
    <t>= Wind Load</t>
  </si>
  <si>
    <r>
      <t xml:space="preserve">For reference, below are the LRFD and ASD load combinations from </t>
    </r>
    <r>
      <rPr>
        <i/>
        <sz val="10"/>
        <color theme="1"/>
        <rFont val="Calibri"/>
        <family val="2"/>
        <scheme val="minor"/>
      </rPr>
      <t>Minimum Design Loads and Associated Criteria for Buildings and Other Structures</t>
    </r>
    <r>
      <rPr>
        <sz val="10"/>
        <color theme="1"/>
        <rFont val="Calibri"/>
        <family val="2"/>
        <scheme val="minor"/>
      </rPr>
      <t>, ASCE 7-22 and ASCE 7-16:</t>
    </r>
  </si>
  <si>
    <t>= Tornado Load</t>
  </si>
  <si>
    <t>Chapter B: Design Requirements</t>
  </si>
  <si>
    <t>Chapter D: Design of Members for Tension</t>
  </si>
  <si>
    <t>Chapter E: Design of Members for Compression</t>
  </si>
  <si>
    <t>Chapter F: Design of Members for Flexure</t>
  </si>
  <si>
    <t>Chapter G: Design of Members for Shear</t>
  </si>
  <si>
    <t>Chapter H: Design of Members for Combined Forces and Torsion</t>
  </si>
  <si>
    <t>Chapter J: Design of Connections</t>
  </si>
  <si>
    <r>
      <t>I</t>
    </r>
    <r>
      <rPr>
        <vertAlign val="subscript"/>
        <sz val="10"/>
        <color theme="1"/>
        <rFont val="Calibri"/>
        <family val="2"/>
        <scheme val="minor"/>
      </rPr>
      <t>2</t>
    </r>
  </si>
  <si>
    <r>
      <t>I</t>
    </r>
    <r>
      <rPr>
        <vertAlign val="subscript"/>
        <sz val="10"/>
        <color theme="1"/>
        <rFont val="Calibri"/>
        <family val="2"/>
        <scheme val="minor"/>
      </rPr>
      <t>1</t>
    </r>
  </si>
  <si>
    <r>
      <t>K</t>
    </r>
    <r>
      <rPr>
        <vertAlign val="subscript"/>
        <sz val="10"/>
        <color theme="1"/>
        <rFont val="Calibri"/>
        <family val="2"/>
        <scheme val="minor"/>
      </rPr>
      <t>center</t>
    </r>
  </si>
  <si>
    <r>
      <t>K</t>
    </r>
    <r>
      <rPr>
        <vertAlign val="subscript"/>
        <sz val="10"/>
        <color theme="1"/>
        <rFont val="Calibri"/>
        <family val="2"/>
        <scheme val="minor"/>
      </rPr>
      <t>offset</t>
    </r>
  </si>
  <si>
    <r>
      <t>I</t>
    </r>
    <r>
      <rPr>
        <b/>
        <vertAlign val="subscript"/>
        <sz val="10"/>
        <color theme="1"/>
        <rFont val="Calibri"/>
        <family val="2"/>
        <scheme val="minor"/>
      </rPr>
      <t>2</t>
    </r>
    <r>
      <rPr>
        <b/>
        <sz val="10"/>
        <color theme="1"/>
        <rFont val="Calibri"/>
        <family val="2"/>
        <scheme val="minor"/>
      </rPr>
      <t>/I</t>
    </r>
    <r>
      <rPr>
        <b/>
        <vertAlign val="subscript"/>
        <sz val="10"/>
        <color theme="1"/>
        <rFont val="Calibri"/>
        <family val="2"/>
        <scheme val="minor"/>
      </rPr>
      <t>1</t>
    </r>
  </si>
  <si>
    <r>
      <t>K (L</t>
    </r>
    <r>
      <rPr>
        <b/>
        <vertAlign val="subscript"/>
        <sz val="10"/>
        <color theme="1"/>
        <rFont val="Calibri"/>
        <family val="2"/>
        <scheme val="minor"/>
      </rPr>
      <t>eff</t>
    </r>
    <r>
      <rPr>
        <b/>
        <sz val="10"/>
        <color theme="1"/>
        <rFont val="Calibri"/>
        <family val="2"/>
        <scheme val="minor"/>
      </rPr>
      <t>/L) Centered Reinforcement</t>
    </r>
  </si>
  <si>
    <r>
      <t>K (L</t>
    </r>
    <r>
      <rPr>
        <b/>
        <vertAlign val="subscript"/>
        <sz val="10"/>
        <color theme="1"/>
        <rFont val="Calibri"/>
        <family val="2"/>
        <scheme val="minor"/>
      </rPr>
      <t>eff</t>
    </r>
    <r>
      <rPr>
        <b/>
        <sz val="10"/>
        <color theme="1"/>
        <rFont val="Calibri"/>
        <family val="2"/>
        <scheme val="minor"/>
      </rPr>
      <t>/L) Offset Reinforcement</t>
    </r>
  </si>
  <si>
    <t>General Provisions</t>
  </si>
  <si>
    <t>Doubly Symmetric Compact I-Shaped Members and Channels Bent About their Major Axis</t>
  </si>
  <si>
    <t>Doubly Symmetric I-Shaped Members with Compact Webs and Noncompact or Slender Flanges Bent About their Major Axis</t>
  </si>
  <si>
    <t>Doubly Symmetric and Singly Symmetric I-Shaped Members with Slender Webs Bent About their Major Axis</t>
  </si>
  <si>
    <t>I-Shaped Members and Channels Bent About their Minor Axis</t>
  </si>
  <si>
    <t>Proportions of Beams and Girders</t>
  </si>
  <si>
    <t>Tensile Strength</t>
  </si>
  <si>
    <t>Effective Net Area</t>
  </si>
  <si>
    <t>Built-Up Members</t>
  </si>
  <si>
    <t>D3.1 - Shear Lag Factors for Connections to Tension Members</t>
  </si>
  <si>
    <t>Loads and Load Combinations</t>
  </si>
  <si>
    <t>Design Basis</t>
  </si>
  <si>
    <t>Member Properties</t>
  </si>
  <si>
    <t>B4.1a - Width-to-Thickness Ratios: Compression Elements - Members Subject to Axial Compression</t>
  </si>
  <si>
    <t>B4.1b - Width-to-Thickness Ratios: Compression Elements - Members Subject to Flexure</t>
  </si>
  <si>
    <t>Chapter A: General Provisions</t>
  </si>
  <si>
    <t>Scope</t>
  </si>
  <si>
    <t>Material</t>
  </si>
  <si>
    <t>Effective Length</t>
  </si>
  <si>
    <t>Flexural Buckling of Members without Slender Elements</t>
  </si>
  <si>
    <t>Torsional and Flexural-Torsional Buckling of Single Angles and Members without Slender Elements</t>
  </si>
  <si>
    <t>Members with Slender Elements</t>
  </si>
  <si>
    <t>Weak-Axis Shear in Doubly Symmetric and Singly Symmetric Shapes</t>
  </si>
  <si>
    <t>I-Shaped Members and Channels</t>
  </si>
  <si>
    <t>Doubly and Singly Symmetric Members Subject to Flexure and Axial Force</t>
  </si>
  <si>
    <t>Welds</t>
  </si>
  <si>
    <t>Bolts and Threaded Parts</t>
  </si>
  <si>
    <t>Chapter L: Design for Serviceability</t>
  </si>
  <si>
    <t>Deflections</t>
  </si>
  <si>
    <t>Design Aid Organization</t>
  </si>
  <si>
    <t>Design of bridge structures.</t>
  </si>
  <si>
    <r>
      <t>α</t>
    </r>
    <r>
      <rPr>
        <vertAlign val="subscript"/>
        <sz val="10"/>
        <color theme="1"/>
        <rFont val="Calibri"/>
        <family val="2"/>
      </rPr>
      <t>1</t>
    </r>
  </si>
  <si>
    <r>
      <t>in</t>
    </r>
    <r>
      <rPr>
        <vertAlign val="superscript"/>
        <sz val="10"/>
        <color theme="1"/>
        <rFont val="Calibri"/>
        <family val="2"/>
        <scheme val="minor"/>
      </rPr>
      <t>3</t>
    </r>
    <r>
      <rPr>
        <sz val="11"/>
        <color theme="1"/>
        <rFont val="Calibri"/>
        <family val="2"/>
        <scheme val="minor"/>
      </rPr>
      <t/>
    </r>
  </si>
  <si>
    <r>
      <t>ENA</t>
    </r>
    <r>
      <rPr>
        <vertAlign val="subscript"/>
        <sz val="10"/>
        <rFont val="Calibri"/>
        <family val="2"/>
        <scheme val="minor"/>
      </rPr>
      <t>bot</t>
    </r>
  </si>
  <si>
    <t>Area</t>
  </si>
  <si>
    <t>Sum</t>
  </si>
  <si>
    <t>Width</t>
  </si>
  <si>
    <t>Add up depths</t>
  </si>
  <si>
    <t>1a</t>
  </si>
  <si>
    <t>1b</t>
  </si>
  <si>
    <t>2a</t>
  </si>
  <si>
    <t>2b</t>
  </si>
  <si>
    <t>3a</t>
  </si>
  <si>
    <t>3b</t>
  </si>
  <si>
    <t>4a</t>
  </si>
  <si>
    <t>4b</t>
  </si>
  <si>
    <t>5a</t>
  </si>
  <si>
    <t>5b</t>
  </si>
  <si>
    <t>y</t>
  </si>
  <si>
    <t>1. Top Plate</t>
  </si>
  <si>
    <t>2. Top Flange</t>
  </si>
  <si>
    <t>4. Bottom Flange</t>
  </si>
  <si>
    <t>5. Bottom Plate</t>
  </si>
  <si>
    <r>
      <t>ENA</t>
    </r>
    <r>
      <rPr>
        <vertAlign val="subscript"/>
        <sz val="10"/>
        <rFont val="Calibri"/>
        <family val="2"/>
        <scheme val="minor"/>
      </rPr>
      <t>y</t>
    </r>
  </si>
  <si>
    <t>Compression Flange Area</t>
  </si>
  <si>
    <t>Tension Flange Max Width</t>
  </si>
  <si>
    <t>Compression Flange Max Width</t>
  </si>
  <si>
    <t>Built-Up Properties Summary</t>
  </si>
  <si>
    <r>
      <t>in</t>
    </r>
    <r>
      <rPr>
        <vertAlign val="superscript"/>
        <sz val="10"/>
        <color theme="1"/>
        <rFont val="Calibri"/>
        <family val="2"/>
        <scheme val="minor"/>
      </rPr>
      <t>3</t>
    </r>
    <r>
      <rPr>
        <sz val="11"/>
        <color theme="1"/>
        <rFont val="Calibri"/>
        <family val="2"/>
        <scheme val="minor"/>
      </rPr>
      <t/>
    </r>
  </si>
  <si>
    <r>
      <rPr>
        <sz val="10"/>
        <color theme="1"/>
        <rFont val="Calibri"/>
        <family val="2"/>
      </rPr>
      <t>∑(</t>
    </r>
    <r>
      <rPr>
        <sz val="10"/>
        <color theme="1"/>
        <rFont val="Calibri"/>
        <family val="2"/>
        <scheme val="minor"/>
      </rPr>
      <t>A*y)</t>
    </r>
  </si>
  <si>
    <t>Original I-Shape</t>
  </si>
  <si>
    <t>Distance to Shape Centroid from Top Datum</t>
  </si>
  <si>
    <t>First Moment of Area</t>
  </si>
  <si>
    <r>
      <t>I</t>
    </r>
    <r>
      <rPr>
        <vertAlign val="subscript"/>
        <sz val="10"/>
        <color theme="1"/>
        <rFont val="Calibri"/>
        <family val="2"/>
        <scheme val="minor"/>
      </rPr>
      <t>x2</t>
    </r>
    <r>
      <rPr>
        <sz val="11"/>
        <color theme="1"/>
        <rFont val="Calibri"/>
        <family val="2"/>
        <scheme val="minor"/>
      </rPr>
      <t/>
    </r>
  </si>
  <si>
    <r>
      <t>I</t>
    </r>
    <r>
      <rPr>
        <vertAlign val="subscript"/>
        <sz val="10"/>
        <color theme="1"/>
        <rFont val="Calibri"/>
        <family val="2"/>
        <scheme val="minor"/>
      </rPr>
      <t>x3</t>
    </r>
    <r>
      <rPr>
        <sz val="11"/>
        <color theme="1"/>
        <rFont val="Calibri"/>
        <family val="2"/>
        <scheme val="minor"/>
      </rPr>
      <t/>
    </r>
  </si>
  <si>
    <r>
      <t>I</t>
    </r>
    <r>
      <rPr>
        <vertAlign val="subscript"/>
        <sz val="10"/>
        <color theme="1"/>
        <rFont val="Calibri"/>
        <family val="2"/>
        <scheme val="minor"/>
      </rPr>
      <t>x4</t>
    </r>
    <r>
      <rPr>
        <sz val="11"/>
        <color theme="1"/>
        <rFont val="Calibri"/>
        <family val="2"/>
        <scheme val="minor"/>
      </rPr>
      <t/>
    </r>
  </si>
  <si>
    <r>
      <t>I</t>
    </r>
    <r>
      <rPr>
        <vertAlign val="subscript"/>
        <sz val="10"/>
        <color theme="1"/>
        <rFont val="Calibri"/>
        <family val="2"/>
        <scheme val="minor"/>
      </rPr>
      <t>x5</t>
    </r>
    <r>
      <rPr>
        <sz val="11"/>
        <color theme="1"/>
        <rFont val="Calibri"/>
        <family val="2"/>
        <scheme val="minor"/>
      </rPr>
      <t/>
    </r>
  </si>
  <si>
    <r>
      <t>∑I</t>
    </r>
    <r>
      <rPr>
        <vertAlign val="subscript"/>
        <sz val="10"/>
        <color theme="1"/>
        <rFont val="Calibri"/>
        <family val="2"/>
      </rPr>
      <t>x</t>
    </r>
  </si>
  <si>
    <r>
      <t>y</t>
    </r>
    <r>
      <rPr>
        <vertAlign val="subscript"/>
        <sz val="10"/>
        <color theme="1"/>
        <rFont val="Calibri"/>
        <family val="2"/>
        <scheme val="minor"/>
      </rPr>
      <t>2</t>
    </r>
    <r>
      <rPr>
        <sz val="11"/>
        <color theme="1"/>
        <rFont val="Calibri"/>
        <family val="2"/>
        <scheme val="minor"/>
      </rPr>
      <t/>
    </r>
  </si>
  <si>
    <r>
      <t>y</t>
    </r>
    <r>
      <rPr>
        <vertAlign val="subscript"/>
        <sz val="10"/>
        <color theme="1"/>
        <rFont val="Calibri"/>
        <family val="2"/>
        <scheme val="minor"/>
      </rPr>
      <t>3</t>
    </r>
    <r>
      <rPr>
        <sz val="11"/>
        <color theme="1"/>
        <rFont val="Calibri"/>
        <family val="2"/>
        <scheme val="minor"/>
      </rPr>
      <t/>
    </r>
  </si>
  <si>
    <r>
      <t>y</t>
    </r>
    <r>
      <rPr>
        <vertAlign val="subscript"/>
        <sz val="10"/>
        <color theme="1"/>
        <rFont val="Calibri"/>
        <family val="2"/>
        <scheme val="minor"/>
      </rPr>
      <t>4</t>
    </r>
    <r>
      <rPr>
        <sz val="11"/>
        <color theme="1"/>
        <rFont val="Calibri"/>
        <family val="2"/>
        <scheme val="minor"/>
      </rPr>
      <t/>
    </r>
  </si>
  <si>
    <r>
      <t>y</t>
    </r>
    <r>
      <rPr>
        <vertAlign val="subscript"/>
        <sz val="10"/>
        <color theme="1"/>
        <rFont val="Calibri"/>
        <family val="2"/>
        <scheme val="minor"/>
      </rPr>
      <t>5</t>
    </r>
    <r>
      <rPr>
        <sz val="11"/>
        <color theme="1"/>
        <rFont val="Calibri"/>
        <family val="2"/>
        <scheme val="minor"/>
      </rPr>
      <t/>
    </r>
  </si>
  <si>
    <r>
      <t>A</t>
    </r>
    <r>
      <rPr>
        <vertAlign val="subscript"/>
        <sz val="10"/>
        <color theme="1"/>
        <rFont val="Calibri"/>
        <family val="2"/>
        <scheme val="minor"/>
      </rPr>
      <t>1</t>
    </r>
  </si>
  <si>
    <r>
      <t>A</t>
    </r>
    <r>
      <rPr>
        <vertAlign val="subscript"/>
        <sz val="10"/>
        <color theme="1"/>
        <rFont val="Calibri"/>
        <family val="2"/>
        <scheme val="minor"/>
      </rPr>
      <t>2</t>
    </r>
    <r>
      <rPr>
        <sz val="11"/>
        <color theme="1"/>
        <rFont val="Calibri"/>
        <family val="2"/>
        <scheme val="minor"/>
      </rPr>
      <t/>
    </r>
  </si>
  <si>
    <r>
      <t>A</t>
    </r>
    <r>
      <rPr>
        <vertAlign val="subscript"/>
        <sz val="10"/>
        <color theme="1"/>
        <rFont val="Calibri"/>
        <family val="2"/>
        <scheme val="minor"/>
      </rPr>
      <t>3</t>
    </r>
    <r>
      <rPr>
        <sz val="11"/>
        <color theme="1"/>
        <rFont val="Calibri"/>
        <family val="2"/>
        <scheme val="minor"/>
      </rPr>
      <t/>
    </r>
  </si>
  <si>
    <r>
      <t>A</t>
    </r>
    <r>
      <rPr>
        <vertAlign val="subscript"/>
        <sz val="10"/>
        <color theme="1"/>
        <rFont val="Calibri"/>
        <family val="2"/>
        <scheme val="minor"/>
      </rPr>
      <t>4</t>
    </r>
    <r>
      <rPr>
        <sz val="11"/>
        <color theme="1"/>
        <rFont val="Calibri"/>
        <family val="2"/>
        <scheme val="minor"/>
      </rPr>
      <t/>
    </r>
  </si>
  <si>
    <r>
      <t>A</t>
    </r>
    <r>
      <rPr>
        <vertAlign val="subscript"/>
        <sz val="10"/>
        <color theme="1"/>
        <rFont val="Calibri"/>
        <family val="2"/>
        <scheme val="minor"/>
      </rPr>
      <t>5</t>
    </r>
    <r>
      <rPr>
        <sz val="11"/>
        <color theme="1"/>
        <rFont val="Calibri"/>
        <family val="2"/>
        <scheme val="minor"/>
      </rPr>
      <t/>
    </r>
  </si>
  <si>
    <r>
      <t>b</t>
    </r>
    <r>
      <rPr>
        <vertAlign val="subscript"/>
        <sz val="10"/>
        <color theme="1"/>
        <rFont val="Calibri"/>
        <family val="2"/>
        <scheme val="minor"/>
      </rPr>
      <t>1</t>
    </r>
  </si>
  <si>
    <r>
      <t>b</t>
    </r>
    <r>
      <rPr>
        <vertAlign val="subscript"/>
        <sz val="10"/>
        <color theme="1"/>
        <rFont val="Calibri"/>
        <family val="2"/>
        <scheme val="minor"/>
      </rPr>
      <t>2</t>
    </r>
    <r>
      <rPr>
        <sz val="11"/>
        <color theme="1"/>
        <rFont val="Calibri"/>
        <family val="2"/>
        <scheme val="minor"/>
      </rPr>
      <t/>
    </r>
  </si>
  <si>
    <r>
      <t>b</t>
    </r>
    <r>
      <rPr>
        <vertAlign val="subscript"/>
        <sz val="10"/>
        <color theme="1"/>
        <rFont val="Calibri"/>
        <family val="2"/>
        <scheme val="minor"/>
      </rPr>
      <t>3</t>
    </r>
    <r>
      <rPr>
        <sz val="11"/>
        <color theme="1"/>
        <rFont val="Calibri"/>
        <family val="2"/>
        <scheme val="minor"/>
      </rPr>
      <t/>
    </r>
  </si>
  <si>
    <r>
      <t>b</t>
    </r>
    <r>
      <rPr>
        <vertAlign val="subscript"/>
        <sz val="10"/>
        <color theme="1"/>
        <rFont val="Calibri"/>
        <family val="2"/>
        <scheme val="minor"/>
      </rPr>
      <t>4</t>
    </r>
    <r>
      <rPr>
        <sz val="11"/>
        <color theme="1"/>
        <rFont val="Calibri"/>
        <family val="2"/>
        <scheme val="minor"/>
      </rPr>
      <t/>
    </r>
  </si>
  <si>
    <r>
      <t>b</t>
    </r>
    <r>
      <rPr>
        <vertAlign val="subscript"/>
        <sz val="10"/>
        <color theme="1"/>
        <rFont val="Calibri"/>
        <family val="2"/>
        <scheme val="minor"/>
      </rPr>
      <t>5</t>
    </r>
    <r>
      <rPr>
        <sz val="11"/>
        <color theme="1"/>
        <rFont val="Calibri"/>
        <family val="2"/>
        <scheme val="minor"/>
      </rPr>
      <t/>
    </r>
  </si>
  <si>
    <r>
      <t>t</t>
    </r>
    <r>
      <rPr>
        <vertAlign val="subscript"/>
        <sz val="10"/>
        <color theme="1"/>
        <rFont val="Calibri"/>
        <family val="2"/>
        <scheme val="minor"/>
      </rPr>
      <t>1</t>
    </r>
  </si>
  <si>
    <r>
      <t>t</t>
    </r>
    <r>
      <rPr>
        <vertAlign val="subscript"/>
        <sz val="10"/>
        <color theme="1"/>
        <rFont val="Calibri"/>
        <family val="2"/>
        <scheme val="minor"/>
      </rPr>
      <t>2</t>
    </r>
    <r>
      <rPr>
        <sz val="11"/>
        <color theme="1"/>
        <rFont val="Calibri"/>
        <family val="2"/>
        <scheme val="minor"/>
      </rPr>
      <t/>
    </r>
  </si>
  <si>
    <r>
      <t>t</t>
    </r>
    <r>
      <rPr>
        <vertAlign val="subscript"/>
        <sz val="10"/>
        <color theme="1"/>
        <rFont val="Calibri"/>
        <family val="2"/>
        <scheme val="minor"/>
      </rPr>
      <t>3</t>
    </r>
    <r>
      <rPr>
        <sz val="11"/>
        <color theme="1"/>
        <rFont val="Calibri"/>
        <family val="2"/>
        <scheme val="minor"/>
      </rPr>
      <t/>
    </r>
  </si>
  <si>
    <r>
      <t>t</t>
    </r>
    <r>
      <rPr>
        <vertAlign val="subscript"/>
        <sz val="10"/>
        <color theme="1"/>
        <rFont val="Calibri"/>
        <family val="2"/>
        <scheme val="minor"/>
      </rPr>
      <t>4</t>
    </r>
    <r>
      <rPr>
        <sz val="11"/>
        <color theme="1"/>
        <rFont val="Calibri"/>
        <family val="2"/>
        <scheme val="minor"/>
      </rPr>
      <t/>
    </r>
  </si>
  <si>
    <r>
      <t>t</t>
    </r>
    <r>
      <rPr>
        <vertAlign val="subscript"/>
        <sz val="10"/>
        <color theme="1"/>
        <rFont val="Calibri"/>
        <family val="2"/>
        <scheme val="minor"/>
      </rPr>
      <t>5</t>
    </r>
    <r>
      <rPr>
        <sz val="11"/>
        <color theme="1"/>
        <rFont val="Calibri"/>
        <family val="2"/>
        <scheme val="minor"/>
      </rPr>
      <t/>
    </r>
  </si>
  <si>
    <r>
      <t>A</t>
    </r>
    <r>
      <rPr>
        <vertAlign val="subscript"/>
        <sz val="10"/>
        <color theme="1"/>
        <rFont val="Calibri"/>
        <family val="2"/>
        <scheme val="minor"/>
      </rPr>
      <t>1</t>
    </r>
    <r>
      <rPr>
        <sz val="10"/>
        <color theme="1"/>
        <rFont val="Calibri"/>
        <family val="2"/>
        <scheme val="minor"/>
      </rPr>
      <t>*y</t>
    </r>
    <r>
      <rPr>
        <vertAlign val="subscript"/>
        <sz val="10"/>
        <color theme="1"/>
        <rFont val="Calibri"/>
        <family val="2"/>
        <scheme val="minor"/>
      </rPr>
      <t>1</t>
    </r>
  </si>
  <si>
    <r>
      <t>A</t>
    </r>
    <r>
      <rPr>
        <vertAlign val="subscript"/>
        <sz val="10"/>
        <color theme="1"/>
        <rFont val="Calibri"/>
        <family val="2"/>
        <scheme val="minor"/>
      </rPr>
      <t>2</t>
    </r>
    <r>
      <rPr>
        <sz val="10"/>
        <color theme="1"/>
        <rFont val="Calibri"/>
        <family val="2"/>
        <scheme val="minor"/>
      </rPr>
      <t>*y</t>
    </r>
    <r>
      <rPr>
        <vertAlign val="subscript"/>
        <sz val="10"/>
        <color theme="1"/>
        <rFont val="Calibri"/>
        <family val="2"/>
        <scheme val="minor"/>
      </rPr>
      <t>2</t>
    </r>
  </si>
  <si>
    <r>
      <t>A</t>
    </r>
    <r>
      <rPr>
        <vertAlign val="subscript"/>
        <sz val="10"/>
        <color theme="1"/>
        <rFont val="Calibri"/>
        <family val="2"/>
        <scheme val="minor"/>
      </rPr>
      <t>3</t>
    </r>
    <r>
      <rPr>
        <sz val="10"/>
        <color theme="1"/>
        <rFont val="Calibri"/>
        <family val="2"/>
        <scheme val="minor"/>
      </rPr>
      <t>*y</t>
    </r>
    <r>
      <rPr>
        <vertAlign val="subscript"/>
        <sz val="10"/>
        <color theme="1"/>
        <rFont val="Calibri"/>
        <family val="2"/>
        <scheme val="minor"/>
      </rPr>
      <t>3</t>
    </r>
  </si>
  <si>
    <r>
      <t>A</t>
    </r>
    <r>
      <rPr>
        <vertAlign val="subscript"/>
        <sz val="10"/>
        <color theme="1"/>
        <rFont val="Calibri"/>
        <family val="2"/>
        <scheme val="minor"/>
      </rPr>
      <t>4</t>
    </r>
    <r>
      <rPr>
        <sz val="10"/>
        <color theme="1"/>
        <rFont val="Calibri"/>
        <family val="2"/>
        <scheme val="minor"/>
      </rPr>
      <t>*y</t>
    </r>
    <r>
      <rPr>
        <vertAlign val="subscript"/>
        <sz val="10"/>
        <color theme="1"/>
        <rFont val="Calibri"/>
        <family val="2"/>
        <scheme val="minor"/>
      </rPr>
      <t>4</t>
    </r>
  </si>
  <si>
    <r>
      <t>A</t>
    </r>
    <r>
      <rPr>
        <vertAlign val="subscript"/>
        <sz val="10"/>
        <color theme="1"/>
        <rFont val="Calibri"/>
        <family val="2"/>
        <scheme val="minor"/>
      </rPr>
      <t>5</t>
    </r>
    <r>
      <rPr>
        <sz val="10"/>
        <color theme="1"/>
        <rFont val="Calibri"/>
        <family val="2"/>
        <scheme val="minor"/>
      </rPr>
      <t>*y</t>
    </r>
    <r>
      <rPr>
        <vertAlign val="subscript"/>
        <sz val="10"/>
        <color theme="1"/>
        <rFont val="Calibri"/>
        <family val="2"/>
        <scheme val="minor"/>
      </rPr>
      <t>5</t>
    </r>
  </si>
  <si>
    <r>
      <t>Distance Between Shape Centroid and ENA</t>
    </r>
    <r>
      <rPr>
        <b/>
        <vertAlign val="subscript"/>
        <sz val="10"/>
        <color theme="1"/>
        <rFont val="Calibri"/>
        <family val="2"/>
        <scheme val="minor"/>
      </rPr>
      <t>top</t>
    </r>
  </si>
  <si>
    <r>
      <t>d</t>
    </r>
    <r>
      <rPr>
        <vertAlign val="subscript"/>
        <sz val="10"/>
        <color theme="1"/>
        <rFont val="Calibri"/>
        <family val="2"/>
        <scheme val="minor"/>
      </rPr>
      <t>2</t>
    </r>
    <r>
      <rPr>
        <sz val="11"/>
        <color theme="1"/>
        <rFont val="Calibri"/>
        <family val="2"/>
        <scheme val="minor"/>
      </rPr>
      <t/>
    </r>
  </si>
  <si>
    <r>
      <t>d</t>
    </r>
    <r>
      <rPr>
        <vertAlign val="subscript"/>
        <sz val="10"/>
        <color theme="1"/>
        <rFont val="Calibri"/>
        <family val="2"/>
        <scheme val="minor"/>
      </rPr>
      <t>3</t>
    </r>
    <r>
      <rPr>
        <sz val="11"/>
        <color theme="1"/>
        <rFont val="Calibri"/>
        <family val="2"/>
        <scheme val="minor"/>
      </rPr>
      <t/>
    </r>
  </si>
  <si>
    <r>
      <t>d</t>
    </r>
    <r>
      <rPr>
        <vertAlign val="subscript"/>
        <sz val="10"/>
        <color theme="1"/>
        <rFont val="Calibri"/>
        <family val="2"/>
        <scheme val="minor"/>
      </rPr>
      <t>4</t>
    </r>
    <r>
      <rPr>
        <sz val="11"/>
        <color theme="1"/>
        <rFont val="Calibri"/>
        <family val="2"/>
        <scheme val="minor"/>
      </rPr>
      <t/>
    </r>
  </si>
  <si>
    <r>
      <t>d</t>
    </r>
    <r>
      <rPr>
        <vertAlign val="subscript"/>
        <sz val="10"/>
        <color theme="1"/>
        <rFont val="Calibri"/>
        <family val="2"/>
        <scheme val="minor"/>
      </rPr>
      <t>5</t>
    </r>
    <r>
      <rPr>
        <sz val="11"/>
        <color theme="1"/>
        <rFont val="Calibri"/>
        <family val="2"/>
        <scheme val="minor"/>
      </rPr>
      <t/>
    </r>
  </si>
  <si>
    <t>Individual Shape Moment of Inertia x-x</t>
  </si>
  <si>
    <r>
      <t>∑(Ad</t>
    </r>
    <r>
      <rPr>
        <vertAlign val="superscript"/>
        <sz val="10"/>
        <color theme="1"/>
        <rFont val="Calibri"/>
        <family val="2"/>
        <scheme val="minor"/>
      </rPr>
      <t>2</t>
    </r>
    <r>
      <rPr>
        <sz val="10"/>
        <color theme="1"/>
        <rFont val="Calibri"/>
        <family val="2"/>
        <scheme val="minor"/>
      </rPr>
      <t>)</t>
    </r>
  </si>
  <si>
    <t>Parallel Axis Theorem</t>
  </si>
  <si>
    <r>
      <t>I</t>
    </r>
    <r>
      <rPr>
        <vertAlign val="subscript"/>
        <sz val="10"/>
        <color theme="1"/>
        <rFont val="Calibri"/>
        <family val="2"/>
        <scheme val="minor"/>
      </rPr>
      <t>x1</t>
    </r>
    <r>
      <rPr>
        <sz val="10"/>
        <color theme="1"/>
        <rFont val="Calibri"/>
        <family val="2"/>
        <scheme val="minor"/>
      </rPr>
      <t>+A</t>
    </r>
    <r>
      <rPr>
        <vertAlign val="subscript"/>
        <sz val="10"/>
        <color theme="1"/>
        <rFont val="Calibri"/>
        <family val="2"/>
        <scheme val="minor"/>
      </rPr>
      <t>1</t>
    </r>
    <r>
      <rPr>
        <sz val="10"/>
        <color theme="1"/>
        <rFont val="Calibri"/>
        <family val="2"/>
        <scheme val="minor"/>
      </rPr>
      <t>d</t>
    </r>
    <r>
      <rPr>
        <vertAlign val="subscript"/>
        <sz val="10"/>
        <color theme="1"/>
        <rFont val="Calibri"/>
        <family val="2"/>
        <scheme val="minor"/>
      </rPr>
      <t>1</t>
    </r>
    <r>
      <rPr>
        <vertAlign val="superscript"/>
        <sz val="10"/>
        <color theme="1"/>
        <rFont val="Calibri"/>
        <family val="2"/>
        <scheme val="minor"/>
      </rPr>
      <t>2</t>
    </r>
  </si>
  <si>
    <r>
      <t>A</t>
    </r>
    <r>
      <rPr>
        <vertAlign val="subscript"/>
        <sz val="10"/>
        <color theme="1"/>
        <rFont val="Calibri"/>
        <family val="2"/>
        <scheme val="minor"/>
      </rPr>
      <t>5</t>
    </r>
    <r>
      <rPr>
        <sz val="10"/>
        <color theme="1"/>
        <rFont val="Calibri"/>
        <family val="2"/>
        <scheme val="minor"/>
      </rPr>
      <t>d</t>
    </r>
    <r>
      <rPr>
        <vertAlign val="subscript"/>
        <sz val="10"/>
        <color theme="1"/>
        <rFont val="Calibri"/>
        <family val="2"/>
        <scheme val="minor"/>
      </rPr>
      <t>5</t>
    </r>
    <r>
      <rPr>
        <vertAlign val="superscript"/>
        <sz val="10"/>
        <color theme="1"/>
        <rFont val="Calibri"/>
        <family val="2"/>
        <scheme val="minor"/>
      </rPr>
      <t>2</t>
    </r>
  </si>
  <si>
    <r>
      <t>A</t>
    </r>
    <r>
      <rPr>
        <vertAlign val="subscript"/>
        <sz val="10"/>
        <color theme="1"/>
        <rFont val="Calibri"/>
        <family val="2"/>
        <scheme val="minor"/>
      </rPr>
      <t>4</t>
    </r>
    <r>
      <rPr>
        <sz val="10"/>
        <color theme="1"/>
        <rFont val="Calibri"/>
        <family val="2"/>
        <scheme val="minor"/>
      </rPr>
      <t>d</t>
    </r>
    <r>
      <rPr>
        <vertAlign val="subscript"/>
        <sz val="10"/>
        <color theme="1"/>
        <rFont val="Calibri"/>
        <family val="2"/>
        <scheme val="minor"/>
      </rPr>
      <t>4</t>
    </r>
    <r>
      <rPr>
        <vertAlign val="superscript"/>
        <sz val="10"/>
        <color theme="1"/>
        <rFont val="Calibri"/>
        <family val="2"/>
        <scheme val="minor"/>
      </rPr>
      <t>2</t>
    </r>
  </si>
  <si>
    <r>
      <t>A</t>
    </r>
    <r>
      <rPr>
        <vertAlign val="subscript"/>
        <sz val="10"/>
        <color theme="1"/>
        <rFont val="Calibri"/>
        <family val="2"/>
        <scheme val="minor"/>
      </rPr>
      <t>3</t>
    </r>
    <r>
      <rPr>
        <sz val="10"/>
        <color theme="1"/>
        <rFont val="Calibri"/>
        <family val="2"/>
        <scheme val="minor"/>
      </rPr>
      <t>d</t>
    </r>
    <r>
      <rPr>
        <vertAlign val="subscript"/>
        <sz val="10"/>
        <color theme="1"/>
        <rFont val="Calibri"/>
        <family val="2"/>
        <scheme val="minor"/>
      </rPr>
      <t>3</t>
    </r>
    <r>
      <rPr>
        <vertAlign val="superscript"/>
        <sz val="10"/>
        <color theme="1"/>
        <rFont val="Calibri"/>
        <family val="2"/>
        <scheme val="minor"/>
      </rPr>
      <t>2</t>
    </r>
  </si>
  <si>
    <r>
      <t>A</t>
    </r>
    <r>
      <rPr>
        <vertAlign val="subscript"/>
        <sz val="10"/>
        <color theme="1"/>
        <rFont val="Calibri"/>
        <family val="2"/>
        <scheme val="minor"/>
      </rPr>
      <t>2</t>
    </r>
    <r>
      <rPr>
        <sz val="10"/>
        <color theme="1"/>
        <rFont val="Calibri"/>
        <family val="2"/>
        <scheme val="minor"/>
      </rPr>
      <t>d</t>
    </r>
    <r>
      <rPr>
        <vertAlign val="subscript"/>
        <sz val="10"/>
        <color theme="1"/>
        <rFont val="Calibri"/>
        <family val="2"/>
        <scheme val="minor"/>
      </rPr>
      <t>2</t>
    </r>
    <r>
      <rPr>
        <vertAlign val="superscript"/>
        <sz val="10"/>
        <color theme="1"/>
        <rFont val="Calibri"/>
        <family val="2"/>
        <scheme val="minor"/>
      </rPr>
      <t>2</t>
    </r>
  </si>
  <si>
    <r>
      <t>A</t>
    </r>
    <r>
      <rPr>
        <vertAlign val="subscript"/>
        <sz val="10"/>
        <color theme="1"/>
        <rFont val="Calibri"/>
        <family val="2"/>
        <scheme val="minor"/>
      </rPr>
      <t>1</t>
    </r>
    <r>
      <rPr>
        <sz val="10"/>
        <color theme="1"/>
        <rFont val="Calibri"/>
        <family val="2"/>
        <scheme val="minor"/>
      </rPr>
      <t>d</t>
    </r>
    <r>
      <rPr>
        <vertAlign val="subscript"/>
        <sz val="10"/>
        <color theme="1"/>
        <rFont val="Calibri"/>
        <family val="2"/>
        <scheme val="minor"/>
      </rPr>
      <t>1</t>
    </r>
    <r>
      <rPr>
        <vertAlign val="superscript"/>
        <sz val="10"/>
        <color theme="1"/>
        <rFont val="Calibri"/>
        <family val="2"/>
        <scheme val="minor"/>
      </rPr>
      <t>2</t>
    </r>
  </si>
  <si>
    <r>
      <t>I</t>
    </r>
    <r>
      <rPr>
        <vertAlign val="subscript"/>
        <sz val="10"/>
        <color theme="1"/>
        <rFont val="Calibri"/>
        <family val="2"/>
        <scheme val="minor"/>
      </rPr>
      <t>x5</t>
    </r>
    <r>
      <rPr>
        <sz val="10"/>
        <color theme="1"/>
        <rFont val="Calibri"/>
        <family val="2"/>
        <scheme val="minor"/>
      </rPr>
      <t>+A</t>
    </r>
    <r>
      <rPr>
        <vertAlign val="subscript"/>
        <sz val="10"/>
        <color theme="1"/>
        <rFont val="Calibri"/>
        <family val="2"/>
        <scheme val="minor"/>
      </rPr>
      <t>5</t>
    </r>
    <r>
      <rPr>
        <sz val="10"/>
        <color theme="1"/>
        <rFont val="Calibri"/>
        <family val="2"/>
        <scheme val="minor"/>
      </rPr>
      <t>d</t>
    </r>
    <r>
      <rPr>
        <vertAlign val="subscript"/>
        <sz val="10"/>
        <color theme="1"/>
        <rFont val="Calibri"/>
        <family val="2"/>
        <scheme val="minor"/>
      </rPr>
      <t>5</t>
    </r>
    <r>
      <rPr>
        <vertAlign val="superscript"/>
        <sz val="10"/>
        <color theme="1"/>
        <rFont val="Calibri"/>
        <family val="2"/>
        <scheme val="minor"/>
      </rPr>
      <t>2</t>
    </r>
  </si>
  <si>
    <r>
      <t>I</t>
    </r>
    <r>
      <rPr>
        <vertAlign val="subscript"/>
        <sz val="10"/>
        <color theme="1"/>
        <rFont val="Calibri"/>
        <family val="2"/>
        <scheme val="minor"/>
      </rPr>
      <t>x4</t>
    </r>
    <r>
      <rPr>
        <sz val="10"/>
        <color theme="1"/>
        <rFont val="Calibri"/>
        <family val="2"/>
        <scheme val="minor"/>
      </rPr>
      <t>+A</t>
    </r>
    <r>
      <rPr>
        <vertAlign val="subscript"/>
        <sz val="10"/>
        <color theme="1"/>
        <rFont val="Calibri"/>
        <family val="2"/>
        <scheme val="minor"/>
      </rPr>
      <t>4</t>
    </r>
    <r>
      <rPr>
        <sz val="10"/>
        <color theme="1"/>
        <rFont val="Calibri"/>
        <family val="2"/>
        <scheme val="minor"/>
      </rPr>
      <t>d</t>
    </r>
    <r>
      <rPr>
        <vertAlign val="subscript"/>
        <sz val="10"/>
        <color theme="1"/>
        <rFont val="Calibri"/>
        <family val="2"/>
        <scheme val="minor"/>
      </rPr>
      <t>4</t>
    </r>
    <r>
      <rPr>
        <vertAlign val="superscript"/>
        <sz val="10"/>
        <color theme="1"/>
        <rFont val="Calibri"/>
        <family val="2"/>
        <scheme val="minor"/>
      </rPr>
      <t>2</t>
    </r>
  </si>
  <si>
    <r>
      <t>I</t>
    </r>
    <r>
      <rPr>
        <vertAlign val="subscript"/>
        <sz val="10"/>
        <color theme="1"/>
        <rFont val="Calibri"/>
        <family val="2"/>
        <scheme val="minor"/>
      </rPr>
      <t>x3</t>
    </r>
    <r>
      <rPr>
        <sz val="10"/>
        <color theme="1"/>
        <rFont val="Calibri"/>
        <family val="2"/>
        <scheme val="minor"/>
      </rPr>
      <t>+A</t>
    </r>
    <r>
      <rPr>
        <vertAlign val="subscript"/>
        <sz val="10"/>
        <color theme="1"/>
        <rFont val="Calibri"/>
        <family val="2"/>
        <scheme val="minor"/>
      </rPr>
      <t>3</t>
    </r>
    <r>
      <rPr>
        <sz val="10"/>
        <color theme="1"/>
        <rFont val="Calibri"/>
        <family val="2"/>
        <scheme val="minor"/>
      </rPr>
      <t>d</t>
    </r>
    <r>
      <rPr>
        <vertAlign val="subscript"/>
        <sz val="10"/>
        <color theme="1"/>
        <rFont val="Calibri"/>
        <family val="2"/>
        <scheme val="minor"/>
      </rPr>
      <t>3</t>
    </r>
    <r>
      <rPr>
        <vertAlign val="superscript"/>
        <sz val="10"/>
        <color theme="1"/>
        <rFont val="Calibri"/>
        <family val="2"/>
        <scheme val="minor"/>
      </rPr>
      <t>2</t>
    </r>
  </si>
  <si>
    <r>
      <t>I</t>
    </r>
    <r>
      <rPr>
        <vertAlign val="subscript"/>
        <sz val="10"/>
        <color theme="1"/>
        <rFont val="Calibri"/>
        <family val="2"/>
        <scheme val="minor"/>
      </rPr>
      <t>x2</t>
    </r>
    <r>
      <rPr>
        <sz val="10"/>
        <color theme="1"/>
        <rFont val="Calibri"/>
        <family val="2"/>
        <scheme val="minor"/>
      </rPr>
      <t>+A</t>
    </r>
    <r>
      <rPr>
        <vertAlign val="subscript"/>
        <sz val="10"/>
        <color theme="1"/>
        <rFont val="Calibri"/>
        <family val="2"/>
        <scheme val="minor"/>
      </rPr>
      <t>2</t>
    </r>
    <r>
      <rPr>
        <sz val="10"/>
        <color theme="1"/>
        <rFont val="Calibri"/>
        <family val="2"/>
        <scheme val="minor"/>
      </rPr>
      <t>d</t>
    </r>
    <r>
      <rPr>
        <vertAlign val="subscript"/>
        <sz val="10"/>
        <color theme="1"/>
        <rFont val="Calibri"/>
        <family val="2"/>
        <scheme val="minor"/>
      </rPr>
      <t>2</t>
    </r>
    <r>
      <rPr>
        <vertAlign val="superscript"/>
        <sz val="10"/>
        <color theme="1"/>
        <rFont val="Calibri"/>
        <family val="2"/>
        <scheme val="minor"/>
      </rPr>
      <t>2</t>
    </r>
  </si>
  <si>
    <t>Moment of Inertia x-x - Sum</t>
  </si>
  <si>
    <r>
      <t>∑(I</t>
    </r>
    <r>
      <rPr>
        <vertAlign val="subscript"/>
        <sz val="10"/>
        <color rgb="FF0000FF"/>
        <rFont val="Calibri"/>
        <family val="2"/>
        <scheme val="minor"/>
      </rPr>
      <t>x</t>
    </r>
    <r>
      <rPr>
        <sz val="10"/>
        <color rgb="FF0000FF"/>
        <rFont val="Calibri"/>
        <family val="2"/>
        <scheme val="minor"/>
      </rPr>
      <t>+Ad</t>
    </r>
    <r>
      <rPr>
        <vertAlign val="superscript"/>
        <sz val="10"/>
        <color rgb="FF0000FF"/>
        <rFont val="Calibri"/>
        <family val="2"/>
        <scheme val="minor"/>
      </rPr>
      <t>2</t>
    </r>
    <r>
      <rPr>
        <sz val="10"/>
        <color rgb="FF0000FF"/>
        <rFont val="Calibri"/>
        <family val="2"/>
        <scheme val="minor"/>
      </rPr>
      <t>)</t>
    </r>
  </si>
  <si>
    <r>
      <t>in</t>
    </r>
    <r>
      <rPr>
        <vertAlign val="superscript"/>
        <sz val="10"/>
        <color rgb="FF0000FF"/>
        <rFont val="Calibri"/>
        <family val="2"/>
        <scheme val="minor"/>
      </rPr>
      <t>4</t>
    </r>
  </si>
  <si>
    <r>
      <t>A</t>
    </r>
    <r>
      <rPr>
        <vertAlign val="subscript"/>
        <sz val="10"/>
        <color rgb="FF0000FF"/>
        <rFont val="Calibri"/>
        <family val="2"/>
        <scheme val="minor"/>
      </rPr>
      <t>g</t>
    </r>
  </si>
  <si>
    <t>Area - Sum</t>
  </si>
  <si>
    <r>
      <t>d</t>
    </r>
    <r>
      <rPr>
        <vertAlign val="subscript"/>
        <sz val="10"/>
        <color rgb="FF0000FF"/>
        <rFont val="Calibri"/>
        <family val="2"/>
        <scheme val="minor"/>
      </rPr>
      <t>total</t>
    </r>
  </si>
  <si>
    <t>Total Depth - Sum</t>
  </si>
  <si>
    <t>Built-Up Shape Moment of Inertia x-x</t>
  </si>
  <si>
    <t>Built-Up Shape Moment of Inertia y-y</t>
  </si>
  <si>
    <t>Moment of Inertia y-y - Sum</t>
  </si>
  <si>
    <t>Elastic Neutral Axis y-y</t>
  </si>
  <si>
    <r>
      <t>J</t>
    </r>
    <r>
      <rPr>
        <vertAlign val="subscript"/>
        <sz val="10"/>
        <color theme="1"/>
        <rFont val="Calibri"/>
        <family val="2"/>
        <scheme val="minor"/>
      </rPr>
      <t>1</t>
    </r>
  </si>
  <si>
    <r>
      <t>J</t>
    </r>
    <r>
      <rPr>
        <vertAlign val="subscript"/>
        <sz val="10"/>
        <color theme="1"/>
        <rFont val="Calibri"/>
        <family val="2"/>
        <scheme val="minor"/>
      </rPr>
      <t>2</t>
    </r>
    <r>
      <rPr>
        <sz val="11"/>
        <color theme="1"/>
        <rFont val="Calibri"/>
        <family val="2"/>
        <scheme val="minor"/>
      </rPr>
      <t/>
    </r>
  </si>
  <si>
    <r>
      <t>J</t>
    </r>
    <r>
      <rPr>
        <vertAlign val="subscript"/>
        <sz val="10"/>
        <color theme="1"/>
        <rFont val="Calibri"/>
        <family val="2"/>
        <scheme val="minor"/>
      </rPr>
      <t>3</t>
    </r>
    <r>
      <rPr>
        <sz val="11"/>
        <color theme="1"/>
        <rFont val="Calibri"/>
        <family val="2"/>
        <scheme val="minor"/>
      </rPr>
      <t/>
    </r>
  </si>
  <si>
    <r>
      <t>J</t>
    </r>
    <r>
      <rPr>
        <vertAlign val="subscript"/>
        <sz val="10"/>
        <color theme="1"/>
        <rFont val="Calibri"/>
        <family val="2"/>
        <scheme val="minor"/>
      </rPr>
      <t>4</t>
    </r>
    <r>
      <rPr>
        <sz val="11"/>
        <color theme="1"/>
        <rFont val="Calibri"/>
        <family val="2"/>
        <scheme val="minor"/>
      </rPr>
      <t/>
    </r>
  </si>
  <si>
    <r>
      <t>J</t>
    </r>
    <r>
      <rPr>
        <vertAlign val="subscript"/>
        <sz val="10"/>
        <color theme="1"/>
        <rFont val="Calibri"/>
        <family val="2"/>
        <scheme val="minor"/>
      </rPr>
      <t>5</t>
    </r>
    <r>
      <rPr>
        <sz val="11"/>
        <color theme="1"/>
        <rFont val="Calibri"/>
        <family val="2"/>
        <scheme val="minor"/>
      </rPr>
      <t/>
    </r>
  </si>
  <si>
    <t>∑J</t>
  </si>
  <si>
    <t>St. Venant Torsional Constant - Sum</t>
  </si>
  <si>
    <r>
      <t>in</t>
    </r>
    <r>
      <rPr>
        <vertAlign val="superscript"/>
        <sz val="10"/>
        <color rgb="FF0000FF"/>
        <rFont val="Calibri"/>
        <family val="2"/>
        <scheme val="minor"/>
      </rPr>
      <t>3</t>
    </r>
  </si>
  <si>
    <t>Plastic Section Modulus y-y - Sum</t>
  </si>
  <si>
    <r>
      <t>∑Z</t>
    </r>
    <r>
      <rPr>
        <vertAlign val="subscript"/>
        <sz val="10"/>
        <color rgb="FF0000FF"/>
        <rFont val="Calibri"/>
        <family val="2"/>
        <scheme val="minor"/>
      </rPr>
      <t>y</t>
    </r>
  </si>
  <si>
    <r>
      <t>Z</t>
    </r>
    <r>
      <rPr>
        <vertAlign val="subscript"/>
        <sz val="10"/>
        <color theme="1"/>
        <rFont val="Calibri"/>
        <family val="2"/>
        <scheme val="minor"/>
      </rPr>
      <t>y1</t>
    </r>
  </si>
  <si>
    <r>
      <t>Z</t>
    </r>
    <r>
      <rPr>
        <vertAlign val="subscript"/>
        <sz val="10"/>
        <color theme="1"/>
        <rFont val="Calibri"/>
        <family val="2"/>
        <scheme val="minor"/>
      </rPr>
      <t>y2</t>
    </r>
    <r>
      <rPr>
        <sz val="11"/>
        <color theme="1"/>
        <rFont val="Calibri"/>
        <family val="2"/>
        <scheme val="minor"/>
      </rPr>
      <t/>
    </r>
  </si>
  <si>
    <r>
      <t>Z</t>
    </r>
    <r>
      <rPr>
        <vertAlign val="subscript"/>
        <sz val="10"/>
        <color theme="1"/>
        <rFont val="Calibri"/>
        <family val="2"/>
        <scheme val="minor"/>
      </rPr>
      <t>y3</t>
    </r>
    <r>
      <rPr>
        <sz val="11"/>
        <color theme="1"/>
        <rFont val="Calibri"/>
        <family val="2"/>
        <scheme val="minor"/>
      </rPr>
      <t/>
    </r>
  </si>
  <si>
    <r>
      <t>Z</t>
    </r>
    <r>
      <rPr>
        <vertAlign val="subscript"/>
        <sz val="10"/>
        <color theme="1"/>
        <rFont val="Calibri"/>
        <family val="2"/>
        <scheme val="minor"/>
      </rPr>
      <t>y4</t>
    </r>
    <r>
      <rPr>
        <sz val="11"/>
        <color theme="1"/>
        <rFont val="Calibri"/>
        <family val="2"/>
        <scheme val="minor"/>
      </rPr>
      <t/>
    </r>
  </si>
  <si>
    <r>
      <t>Z</t>
    </r>
    <r>
      <rPr>
        <vertAlign val="subscript"/>
        <sz val="10"/>
        <color theme="1"/>
        <rFont val="Calibri"/>
        <family val="2"/>
        <scheme val="minor"/>
      </rPr>
      <t>y5</t>
    </r>
    <r>
      <rPr>
        <sz val="11"/>
        <color theme="1"/>
        <rFont val="Calibri"/>
        <family val="2"/>
        <scheme val="minor"/>
      </rPr>
      <t/>
    </r>
  </si>
  <si>
    <r>
      <t>C</t>
    </r>
    <r>
      <rPr>
        <vertAlign val="subscript"/>
        <sz val="10"/>
        <color rgb="FF0000FF"/>
        <rFont val="Calibri"/>
        <family val="2"/>
        <scheme val="minor"/>
      </rPr>
      <t>w</t>
    </r>
  </si>
  <si>
    <r>
      <t>in</t>
    </r>
    <r>
      <rPr>
        <vertAlign val="superscript"/>
        <sz val="10"/>
        <color rgb="FF0000FF"/>
        <rFont val="Calibri"/>
        <family val="2"/>
        <scheme val="minor"/>
      </rPr>
      <t>6</t>
    </r>
  </si>
  <si>
    <t>Plastic Neutral Axis (PNA)</t>
  </si>
  <si>
    <t>Start at 0</t>
  </si>
  <si>
    <t>Shape Areas to Subtract</t>
  </si>
  <si>
    <r>
      <t>A</t>
    </r>
    <r>
      <rPr>
        <vertAlign val="subscript"/>
        <sz val="10"/>
        <color theme="1"/>
        <rFont val="Calibri"/>
        <family val="2"/>
        <scheme val="minor"/>
      </rPr>
      <t>g</t>
    </r>
    <r>
      <rPr>
        <sz val="10"/>
        <color theme="1"/>
        <rFont val="Calibri"/>
        <family val="2"/>
        <scheme val="minor"/>
      </rPr>
      <t>/2</t>
    </r>
  </si>
  <si>
    <t>Half of Total Built-Up Area</t>
  </si>
  <si>
    <t>Remaining Area Balance after Subtraction</t>
  </si>
  <si>
    <t>Balance1</t>
  </si>
  <si>
    <t>Balance2</t>
  </si>
  <si>
    <t>Balance3</t>
  </si>
  <si>
    <t>Balance4</t>
  </si>
  <si>
    <t>Balance5</t>
  </si>
  <si>
    <t>Depth1</t>
  </si>
  <si>
    <t>Depth2</t>
  </si>
  <si>
    <t>Depth3</t>
  </si>
  <si>
    <t>Depth4</t>
  </si>
  <si>
    <t>Depth5</t>
  </si>
  <si>
    <t>Area Balance Divided by Shape Width</t>
  </si>
  <si>
    <t>Plastic Neutral Axis (PNA) from Top</t>
  </si>
  <si>
    <t>Elastic Neutral Axis (Centroid) from Top</t>
  </si>
  <si>
    <t>Elastic Neutral Axis (Centroid) from Bottom</t>
  </si>
  <si>
    <t>Cumulative Depths for Possible PNA Locations</t>
  </si>
  <si>
    <t>PNA1</t>
  </si>
  <si>
    <t>PNA2</t>
  </si>
  <si>
    <t>PNA3</t>
  </si>
  <si>
    <t>PNA4</t>
  </si>
  <si>
    <t>PNA5</t>
  </si>
  <si>
    <t>Plastic Neutral Axis (PNA) from Bottom</t>
  </si>
  <si>
    <r>
      <t>PNA</t>
    </r>
    <r>
      <rPr>
        <vertAlign val="subscript"/>
        <sz val="10"/>
        <rFont val="Calibri"/>
        <family val="2"/>
        <scheme val="minor"/>
      </rPr>
      <t>bot</t>
    </r>
  </si>
  <si>
    <t>Possible PNA Locations</t>
  </si>
  <si>
    <t>Top Plate 1a</t>
  </si>
  <si>
    <t>Top Flange 2a</t>
  </si>
  <si>
    <t>Bottom Flange 4a</t>
  </si>
  <si>
    <t>Bottom Plate 5a</t>
  </si>
  <si>
    <t>PNA minus Depth</t>
  </si>
  <si>
    <t>(PNA minus Depth) divided by 2</t>
  </si>
  <si>
    <t>Shape Width</t>
  </si>
  <si>
    <t>Logic for Location of PNA</t>
  </si>
  <si>
    <t>0/1</t>
  </si>
  <si>
    <r>
      <t>in</t>
    </r>
    <r>
      <rPr>
        <vertAlign val="superscript"/>
        <sz val="10"/>
        <color theme="1"/>
        <rFont val="Calibri"/>
        <family val="2"/>
        <scheme val="minor"/>
      </rPr>
      <t>2</t>
    </r>
    <r>
      <rPr>
        <sz val="11"/>
        <color theme="1"/>
        <rFont val="Calibri"/>
        <family val="2"/>
        <scheme val="minor"/>
      </rPr>
      <t/>
    </r>
  </si>
  <si>
    <r>
      <t>Z</t>
    </r>
    <r>
      <rPr>
        <vertAlign val="subscript"/>
        <sz val="10"/>
        <color rgb="FF0000FF"/>
        <rFont val="Calibri"/>
        <family val="2"/>
        <scheme val="minor"/>
      </rPr>
      <t>x</t>
    </r>
  </si>
  <si>
    <r>
      <t>in</t>
    </r>
    <r>
      <rPr>
        <vertAlign val="superscript"/>
        <sz val="10"/>
        <color rgb="FF0000FF"/>
        <rFont val="Calibri"/>
        <family val="2"/>
        <scheme val="minor"/>
      </rPr>
      <t>3</t>
    </r>
    <r>
      <rPr>
        <sz val="11"/>
        <color theme="1"/>
        <rFont val="Calibri"/>
        <family val="2"/>
        <scheme val="minor"/>
      </rPr>
      <t/>
    </r>
  </si>
  <si>
    <t>Area Above and Below PNA</t>
  </si>
  <si>
    <r>
      <t>A</t>
    </r>
    <r>
      <rPr>
        <vertAlign val="subscript"/>
        <sz val="10"/>
        <color theme="1"/>
        <rFont val="Calibri"/>
        <family val="2"/>
        <scheme val="minor"/>
      </rPr>
      <t>1a</t>
    </r>
  </si>
  <si>
    <r>
      <t>A</t>
    </r>
    <r>
      <rPr>
        <vertAlign val="subscript"/>
        <sz val="10"/>
        <color theme="1"/>
        <rFont val="Calibri"/>
        <family val="2"/>
        <scheme val="minor"/>
      </rPr>
      <t>2a</t>
    </r>
  </si>
  <si>
    <r>
      <t>A</t>
    </r>
    <r>
      <rPr>
        <vertAlign val="subscript"/>
        <sz val="10"/>
        <color theme="1"/>
        <rFont val="Calibri"/>
        <family val="2"/>
        <scheme val="minor"/>
      </rPr>
      <t>3a</t>
    </r>
  </si>
  <si>
    <r>
      <t>A</t>
    </r>
    <r>
      <rPr>
        <vertAlign val="subscript"/>
        <sz val="10"/>
        <color theme="1"/>
        <rFont val="Calibri"/>
        <family val="2"/>
        <scheme val="minor"/>
      </rPr>
      <t>4a</t>
    </r>
  </si>
  <si>
    <r>
      <t>A</t>
    </r>
    <r>
      <rPr>
        <vertAlign val="subscript"/>
        <sz val="10"/>
        <color theme="1"/>
        <rFont val="Calibri"/>
        <family val="2"/>
        <scheme val="minor"/>
      </rPr>
      <t>5a</t>
    </r>
  </si>
  <si>
    <r>
      <t>A</t>
    </r>
    <r>
      <rPr>
        <vertAlign val="subscript"/>
        <sz val="10"/>
        <color theme="1"/>
        <rFont val="Calibri"/>
        <family val="2"/>
        <scheme val="minor"/>
      </rPr>
      <t>5b</t>
    </r>
  </si>
  <si>
    <r>
      <t>A</t>
    </r>
    <r>
      <rPr>
        <vertAlign val="subscript"/>
        <sz val="10"/>
        <color theme="1"/>
        <rFont val="Calibri"/>
        <family val="2"/>
        <scheme val="minor"/>
      </rPr>
      <t>4b</t>
    </r>
  </si>
  <si>
    <r>
      <t>A</t>
    </r>
    <r>
      <rPr>
        <vertAlign val="subscript"/>
        <sz val="10"/>
        <color theme="1"/>
        <rFont val="Calibri"/>
        <family val="2"/>
        <scheme val="minor"/>
      </rPr>
      <t>3b</t>
    </r>
  </si>
  <si>
    <r>
      <t>A</t>
    </r>
    <r>
      <rPr>
        <vertAlign val="subscript"/>
        <sz val="10"/>
        <color theme="1"/>
        <rFont val="Calibri"/>
        <family val="2"/>
        <scheme val="minor"/>
      </rPr>
      <t>2b</t>
    </r>
  </si>
  <si>
    <r>
      <t>A</t>
    </r>
    <r>
      <rPr>
        <vertAlign val="subscript"/>
        <sz val="10"/>
        <color theme="1"/>
        <rFont val="Calibri"/>
        <family val="2"/>
        <scheme val="minor"/>
      </rPr>
      <t>1b</t>
    </r>
  </si>
  <si>
    <r>
      <t>y</t>
    </r>
    <r>
      <rPr>
        <vertAlign val="subscript"/>
        <sz val="10"/>
        <color theme="1"/>
        <rFont val="Calibri"/>
        <family val="2"/>
        <scheme val="minor"/>
      </rPr>
      <t>1a</t>
    </r>
  </si>
  <si>
    <r>
      <t>y</t>
    </r>
    <r>
      <rPr>
        <vertAlign val="subscript"/>
        <sz val="10"/>
        <color theme="1"/>
        <rFont val="Calibri"/>
        <family val="2"/>
        <scheme val="minor"/>
      </rPr>
      <t>1b</t>
    </r>
  </si>
  <si>
    <t>y2a</t>
  </si>
  <si>
    <r>
      <t>y</t>
    </r>
    <r>
      <rPr>
        <vertAlign val="subscript"/>
        <sz val="10"/>
        <color theme="1"/>
        <rFont val="Calibri"/>
        <family val="2"/>
        <scheme val="minor"/>
      </rPr>
      <t>2b</t>
    </r>
  </si>
  <si>
    <r>
      <t>y</t>
    </r>
    <r>
      <rPr>
        <vertAlign val="subscript"/>
        <sz val="10"/>
        <color theme="1"/>
        <rFont val="Calibri"/>
        <family val="2"/>
        <scheme val="minor"/>
      </rPr>
      <t>3a</t>
    </r>
  </si>
  <si>
    <r>
      <t>y</t>
    </r>
    <r>
      <rPr>
        <vertAlign val="subscript"/>
        <sz val="10"/>
        <color theme="1"/>
        <rFont val="Calibri"/>
        <family val="2"/>
        <scheme val="minor"/>
      </rPr>
      <t>3b</t>
    </r>
  </si>
  <si>
    <r>
      <t>y</t>
    </r>
    <r>
      <rPr>
        <vertAlign val="subscript"/>
        <sz val="10"/>
        <color theme="1"/>
        <rFont val="Calibri"/>
        <family val="2"/>
        <scheme val="minor"/>
      </rPr>
      <t>4a</t>
    </r>
  </si>
  <si>
    <r>
      <t>y</t>
    </r>
    <r>
      <rPr>
        <vertAlign val="subscript"/>
        <sz val="10"/>
        <color theme="1"/>
        <rFont val="Calibri"/>
        <family val="2"/>
        <scheme val="minor"/>
      </rPr>
      <t>4b</t>
    </r>
  </si>
  <si>
    <r>
      <t>y</t>
    </r>
    <r>
      <rPr>
        <vertAlign val="subscript"/>
        <sz val="10"/>
        <color theme="1"/>
        <rFont val="Calibri"/>
        <family val="2"/>
        <scheme val="minor"/>
      </rPr>
      <t>5a</t>
    </r>
  </si>
  <si>
    <r>
      <t>y</t>
    </r>
    <r>
      <rPr>
        <vertAlign val="subscript"/>
        <sz val="10"/>
        <color theme="1"/>
        <rFont val="Calibri"/>
        <family val="2"/>
        <scheme val="minor"/>
      </rPr>
      <t>5b</t>
    </r>
  </si>
  <si>
    <r>
      <t>A</t>
    </r>
    <r>
      <rPr>
        <vertAlign val="subscript"/>
        <sz val="10"/>
        <color theme="1"/>
        <rFont val="Calibri"/>
        <family val="2"/>
        <scheme val="minor"/>
      </rPr>
      <t>1a</t>
    </r>
    <r>
      <rPr>
        <sz val="10"/>
        <color theme="1"/>
        <rFont val="Calibri"/>
        <family val="2"/>
        <scheme val="minor"/>
      </rPr>
      <t>y</t>
    </r>
    <r>
      <rPr>
        <vertAlign val="subscript"/>
        <sz val="10"/>
        <color theme="1"/>
        <rFont val="Calibri"/>
        <family val="2"/>
        <scheme val="minor"/>
      </rPr>
      <t>1a</t>
    </r>
  </si>
  <si>
    <r>
      <t>A</t>
    </r>
    <r>
      <rPr>
        <vertAlign val="subscript"/>
        <sz val="10"/>
        <color theme="1"/>
        <rFont val="Calibri"/>
        <family val="2"/>
        <scheme val="minor"/>
      </rPr>
      <t>1b</t>
    </r>
    <r>
      <rPr>
        <sz val="10"/>
        <color theme="1"/>
        <rFont val="Calibri"/>
        <family val="2"/>
        <scheme val="minor"/>
      </rPr>
      <t>y</t>
    </r>
    <r>
      <rPr>
        <vertAlign val="subscript"/>
        <sz val="10"/>
        <color theme="1"/>
        <rFont val="Calibri"/>
        <family val="2"/>
        <scheme val="minor"/>
      </rPr>
      <t>1b</t>
    </r>
  </si>
  <si>
    <r>
      <t>A</t>
    </r>
    <r>
      <rPr>
        <vertAlign val="subscript"/>
        <sz val="10"/>
        <color theme="1"/>
        <rFont val="Calibri"/>
        <family val="2"/>
        <scheme val="minor"/>
      </rPr>
      <t>2a</t>
    </r>
    <r>
      <rPr>
        <sz val="10"/>
        <color theme="1"/>
        <rFont val="Calibri"/>
        <family val="2"/>
        <scheme val="minor"/>
      </rPr>
      <t>y</t>
    </r>
    <r>
      <rPr>
        <vertAlign val="subscript"/>
        <sz val="10"/>
        <color theme="1"/>
        <rFont val="Calibri"/>
        <family val="2"/>
        <scheme val="minor"/>
      </rPr>
      <t>2a</t>
    </r>
  </si>
  <si>
    <r>
      <t>A</t>
    </r>
    <r>
      <rPr>
        <vertAlign val="subscript"/>
        <sz val="10"/>
        <color theme="1"/>
        <rFont val="Calibri"/>
        <family val="2"/>
        <scheme val="minor"/>
      </rPr>
      <t>2b</t>
    </r>
    <r>
      <rPr>
        <sz val="10"/>
        <color theme="1"/>
        <rFont val="Calibri"/>
        <family val="2"/>
        <scheme val="minor"/>
      </rPr>
      <t>y</t>
    </r>
    <r>
      <rPr>
        <vertAlign val="subscript"/>
        <sz val="10"/>
        <color theme="1"/>
        <rFont val="Calibri"/>
        <family val="2"/>
        <scheme val="minor"/>
      </rPr>
      <t>2b</t>
    </r>
  </si>
  <si>
    <r>
      <t>A</t>
    </r>
    <r>
      <rPr>
        <vertAlign val="subscript"/>
        <sz val="10"/>
        <color theme="1"/>
        <rFont val="Calibri"/>
        <family val="2"/>
        <scheme val="minor"/>
      </rPr>
      <t>3a</t>
    </r>
    <r>
      <rPr>
        <sz val="10"/>
        <color theme="1"/>
        <rFont val="Calibri"/>
        <family val="2"/>
        <scheme val="minor"/>
      </rPr>
      <t>y</t>
    </r>
    <r>
      <rPr>
        <vertAlign val="subscript"/>
        <sz val="10"/>
        <color theme="1"/>
        <rFont val="Calibri"/>
        <family val="2"/>
        <scheme val="minor"/>
      </rPr>
      <t>3a</t>
    </r>
  </si>
  <si>
    <r>
      <t>A</t>
    </r>
    <r>
      <rPr>
        <vertAlign val="subscript"/>
        <sz val="10"/>
        <color theme="1"/>
        <rFont val="Calibri"/>
        <family val="2"/>
        <scheme val="minor"/>
      </rPr>
      <t>3b</t>
    </r>
    <r>
      <rPr>
        <sz val="10"/>
        <color theme="1"/>
        <rFont val="Calibri"/>
        <family val="2"/>
        <scheme val="minor"/>
      </rPr>
      <t>y</t>
    </r>
    <r>
      <rPr>
        <vertAlign val="subscript"/>
        <sz val="10"/>
        <color theme="1"/>
        <rFont val="Calibri"/>
        <family val="2"/>
        <scheme val="minor"/>
      </rPr>
      <t>3b</t>
    </r>
  </si>
  <si>
    <r>
      <t>A</t>
    </r>
    <r>
      <rPr>
        <vertAlign val="subscript"/>
        <sz val="10"/>
        <color theme="1"/>
        <rFont val="Calibri"/>
        <family val="2"/>
        <scheme val="minor"/>
      </rPr>
      <t>4a</t>
    </r>
    <r>
      <rPr>
        <sz val="10"/>
        <color theme="1"/>
        <rFont val="Calibri"/>
        <family val="2"/>
        <scheme val="minor"/>
      </rPr>
      <t>y</t>
    </r>
    <r>
      <rPr>
        <vertAlign val="subscript"/>
        <sz val="10"/>
        <color theme="1"/>
        <rFont val="Calibri"/>
        <family val="2"/>
        <scheme val="minor"/>
      </rPr>
      <t>4a</t>
    </r>
  </si>
  <si>
    <r>
      <t>A</t>
    </r>
    <r>
      <rPr>
        <vertAlign val="subscript"/>
        <sz val="10"/>
        <color theme="1"/>
        <rFont val="Calibri"/>
        <family val="2"/>
        <scheme val="minor"/>
      </rPr>
      <t>4b</t>
    </r>
    <r>
      <rPr>
        <sz val="10"/>
        <color theme="1"/>
        <rFont val="Calibri"/>
        <family val="2"/>
        <scheme val="minor"/>
      </rPr>
      <t>y</t>
    </r>
    <r>
      <rPr>
        <vertAlign val="subscript"/>
        <sz val="10"/>
        <color theme="1"/>
        <rFont val="Calibri"/>
        <family val="2"/>
        <scheme val="minor"/>
      </rPr>
      <t>4b</t>
    </r>
  </si>
  <si>
    <r>
      <t>A</t>
    </r>
    <r>
      <rPr>
        <vertAlign val="subscript"/>
        <sz val="10"/>
        <color theme="1"/>
        <rFont val="Calibri"/>
        <family val="2"/>
        <scheme val="minor"/>
      </rPr>
      <t>5a</t>
    </r>
    <r>
      <rPr>
        <sz val="10"/>
        <color theme="1"/>
        <rFont val="Calibri"/>
        <family val="2"/>
        <scheme val="minor"/>
      </rPr>
      <t>y</t>
    </r>
    <r>
      <rPr>
        <vertAlign val="subscript"/>
        <sz val="10"/>
        <color theme="1"/>
        <rFont val="Calibri"/>
        <family val="2"/>
        <scheme val="minor"/>
      </rPr>
      <t>5a</t>
    </r>
  </si>
  <si>
    <r>
      <t>A</t>
    </r>
    <r>
      <rPr>
        <vertAlign val="subscript"/>
        <sz val="10"/>
        <color theme="1"/>
        <rFont val="Calibri"/>
        <family val="2"/>
        <scheme val="minor"/>
      </rPr>
      <t>5b</t>
    </r>
    <r>
      <rPr>
        <sz val="10"/>
        <color theme="1"/>
        <rFont val="Calibri"/>
        <family val="2"/>
        <scheme val="minor"/>
      </rPr>
      <t>y</t>
    </r>
    <r>
      <rPr>
        <vertAlign val="subscript"/>
        <sz val="10"/>
        <color theme="1"/>
        <rFont val="Calibri"/>
        <family val="2"/>
        <scheme val="minor"/>
      </rPr>
      <t>5b</t>
    </r>
  </si>
  <si>
    <r>
      <t>∑(A</t>
    </r>
    <r>
      <rPr>
        <vertAlign val="subscript"/>
        <sz val="10"/>
        <color theme="1"/>
        <rFont val="Calibri"/>
        <family val="2"/>
        <scheme val="minor"/>
      </rPr>
      <t>C</t>
    </r>
    <r>
      <rPr>
        <sz val="10"/>
        <color theme="1"/>
        <rFont val="Calibri"/>
        <family val="2"/>
        <scheme val="minor"/>
      </rPr>
      <t>y</t>
    </r>
    <r>
      <rPr>
        <vertAlign val="subscript"/>
        <sz val="10"/>
        <color theme="1"/>
        <rFont val="Calibri"/>
        <family val="2"/>
        <scheme val="minor"/>
      </rPr>
      <t>C</t>
    </r>
    <r>
      <rPr>
        <sz val="10"/>
        <color theme="1"/>
        <rFont val="Calibri"/>
        <family val="2"/>
        <scheme val="minor"/>
      </rPr>
      <t>)</t>
    </r>
  </si>
  <si>
    <r>
      <t>∑(A</t>
    </r>
    <r>
      <rPr>
        <vertAlign val="subscript"/>
        <sz val="10"/>
        <color theme="1"/>
        <rFont val="Calibri"/>
        <family val="2"/>
        <scheme val="minor"/>
      </rPr>
      <t>T</t>
    </r>
    <r>
      <rPr>
        <sz val="10"/>
        <color theme="1"/>
        <rFont val="Calibri"/>
        <family val="2"/>
        <scheme val="minor"/>
      </rPr>
      <t>y</t>
    </r>
    <r>
      <rPr>
        <vertAlign val="subscript"/>
        <sz val="10"/>
        <color theme="1"/>
        <rFont val="Calibri"/>
        <family val="2"/>
        <scheme val="minor"/>
      </rPr>
      <t>T</t>
    </r>
    <r>
      <rPr>
        <sz val="10"/>
        <color theme="1"/>
        <rFont val="Calibri"/>
        <family val="2"/>
        <scheme val="minor"/>
      </rPr>
      <t>)</t>
    </r>
  </si>
  <si>
    <t>Compression First Moment of Area</t>
  </si>
  <si>
    <t>Tension First Moment of Area</t>
  </si>
  <si>
    <r>
      <rPr>
        <sz val="10"/>
        <color rgb="FF0000FF"/>
        <rFont val="Calibri"/>
        <family val="2"/>
      </rPr>
      <t xml:space="preserve"> Compression First Moment of Area ∑</t>
    </r>
    <r>
      <rPr>
        <sz val="12"/>
        <color rgb="FF0000FF"/>
        <rFont val="Calibri"/>
        <family val="2"/>
      </rPr>
      <t>(</t>
    </r>
    <r>
      <rPr>
        <sz val="10"/>
        <color rgb="FF0000FF"/>
        <rFont val="Calibri"/>
        <family val="2"/>
        <scheme val="minor"/>
      </rPr>
      <t>A*y)</t>
    </r>
  </si>
  <si>
    <r>
      <rPr>
        <sz val="10"/>
        <color rgb="FF0000FF"/>
        <rFont val="Calibri"/>
        <family val="2"/>
      </rPr>
      <t>Tension First Moment of Area ∑</t>
    </r>
    <r>
      <rPr>
        <sz val="12"/>
        <color rgb="FF0000FF"/>
        <rFont val="Calibri"/>
        <family val="2"/>
      </rPr>
      <t>(</t>
    </r>
    <r>
      <rPr>
        <sz val="10"/>
        <color rgb="FF0000FF"/>
        <rFont val="Calibri"/>
        <family val="2"/>
        <scheme val="minor"/>
      </rPr>
      <t>A*y)</t>
    </r>
  </si>
  <si>
    <t>Bottom Flange Compression Centroid dist. from PNA</t>
  </si>
  <si>
    <t>Top Flange Compression Centroid dist. from PNA</t>
  </si>
  <si>
    <t>Top Flange Tension Centroid dist. from PNA</t>
  </si>
  <si>
    <t>Top Fillet Centroid dist. from PNA</t>
  </si>
  <si>
    <t>Web Compression Centroid dist. from PNA</t>
  </si>
  <si>
    <t>Web Tension Centroid dist. from PNA</t>
  </si>
  <si>
    <t>Fillet Tension Centroid dist. from PNA</t>
  </si>
  <si>
    <t>Bottom Flange Tension Centroid dist. from PNA</t>
  </si>
  <si>
    <r>
      <t>t</t>
    </r>
    <r>
      <rPr>
        <vertAlign val="subscript"/>
        <sz val="10"/>
        <color rgb="FF0000FF"/>
        <rFont val="Calibri"/>
        <family val="2"/>
        <scheme val="minor"/>
      </rPr>
      <t>fc</t>
    </r>
  </si>
  <si>
    <r>
      <t>t</t>
    </r>
    <r>
      <rPr>
        <vertAlign val="subscript"/>
        <sz val="10"/>
        <color rgb="FF0000FF"/>
        <rFont val="Calibri"/>
        <family val="2"/>
        <scheme val="minor"/>
      </rPr>
      <t>w</t>
    </r>
  </si>
  <si>
    <r>
      <t>t</t>
    </r>
    <r>
      <rPr>
        <vertAlign val="subscript"/>
        <sz val="10"/>
        <color rgb="FF0000FF"/>
        <rFont val="Calibri"/>
        <family val="2"/>
        <scheme val="minor"/>
      </rPr>
      <t>ft</t>
    </r>
  </si>
  <si>
    <r>
      <t>b</t>
    </r>
    <r>
      <rPr>
        <vertAlign val="subscript"/>
        <sz val="10"/>
        <color rgb="FF0000FF"/>
        <rFont val="Calibri"/>
        <family val="2"/>
        <scheme val="minor"/>
      </rPr>
      <t>f</t>
    </r>
  </si>
  <si>
    <r>
      <t>I</t>
    </r>
    <r>
      <rPr>
        <vertAlign val="subscript"/>
        <sz val="10"/>
        <color rgb="FF0000FF"/>
        <rFont val="Calibri"/>
        <family val="2"/>
        <scheme val="minor"/>
      </rPr>
      <t>x</t>
    </r>
  </si>
  <si>
    <r>
      <t>S</t>
    </r>
    <r>
      <rPr>
        <vertAlign val="subscript"/>
        <sz val="10"/>
        <color rgb="FF0000FF"/>
        <rFont val="Calibri"/>
        <family val="2"/>
        <scheme val="minor"/>
      </rPr>
      <t>xc</t>
    </r>
  </si>
  <si>
    <r>
      <t>S</t>
    </r>
    <r>
      <rPr>
        <vertAlign val="subscript"/>
        <sz val="10"/>
        <color rgb="FF0000FF"/>
        <rFont val="Calibri"/>
        <family val="2"/>
        <scheme val="minor"/>
      </rPr>
      <t>xt</t>
    </r>
  </si>
  <si>
    <r>
      <t>r</t>
    </r>
    <r>
      <rPr>
        <vertAlign val="subscript"/>
        <sz val="10"/>
        <color rgb="FF0000FF"/>
        <rFont val="Calibri"/>
        <family val="2"/>
        <scheme val="minor"/>
      </rPr>
      <t>x</t>
    </r>
  </si>
  <si>
    <r>
      <t>I</t>
    </r>
    <r>
      <rPr>
        <vertAlign val="subscript"/>
        <sz val="10"/>
        <color rgb="FF0000FF"/>
        <rFont val="Calibri"/>
        <family val="2"/>
        <scheme val="minor"/>
      </rPr>
      <t>y</t>
    </r>
  </si>
  <si>
    <r>
      <t>Z</t>
    </r>
    <r>
      <rPr>
        <vertAlign val="subscript"/>
        <sz val="10"/>
        <color rgb="FF0000FF"/>
        <rFont val="Calibri"/>
        <family val="2"/>
        <scheme val="minor"/>
      </rPr>
      <t>y</t>
    </r>
  </si>
  <si>
    <r>
      <t>S</t>
    </r>
    <r>
      <rPr>
        <vertAlign val="subscript"/>
        <sz val="10"/>
        <color rgb="FF0000FF"/>
        <rFont val="Calibri"/>
        <family val="2"/>
        <scheme val="minor"/>
      </rPr>
      <t>y</t>
    </r>
  </si>
  <si>
    <r>
      <t>r</t>
    </r>
    <r>
      <rPr>
        <vertAlign val="subscript"/>
        <sz val="10"/>
        <color rgb="FF0000FF"/>
        <rFont val="Calibri"/>
        <family val="2"/>
        <scheme val="minor"/>
      </rPr>
      <t>y</t>
    </r>
  </si>
  <si>
    <t>Depth of Bottom Flange in Compression from top</t>
  </si>
  <si>
    <t>First Moment of Area (A*y) 
Compression (Green) vs. Tension (Red)</t>
  </si>
  <si>
    <t>Distance from PNA to Shape Centroid (y) 
Compression (Green) vs. Tension (Red)</t>
  </si>
  <si>
    <t>I-Shaped Section + WT-Shape Reinforcement</t>
  </si>
  <si>
    <t>I-Shaped Section + Cover Plate Reinforcement</t>
  </si>
  <si>
    <t>WT Section Properties</t>
  </si>
  <si>
    <t>4. WT Stem Depth</t>
  </si>
  <si>
    <t>5. WT Flange Thickness</t>
  </si>
  <si>
    <t>1. Beam Top Flange Thickness</t>
  </si>
  <si>
    <t>3. Beam Bottom Flange Thickness</t>
  </si>
  <si>
    <t>2. Beam Web Depth</t>
  </si>
  <si>
    <t>Stem Depth</t>
  </si>
  <si>
    <t>3. Web</t>
  </si>
  <si>
    <t>Web 3a</t>
  </si>
  <si>
    <t>1. Beam Top Flange Width</t>
  </si>
  <si>
    <t>2. Beam Web Width</t>
  </si>
  <si>
    <t>3. Beam Bottom Flange Width</t>
  </si>
  <si>
    <t>4. WT Stem Width</t>
  </si>
  <si>
    <t>5. WT Flange Width</t>
  </si>
  <si>
    <r>
      <t>b</t>
    </r>
    <r>
      <rPr>
        <vertAlign val="subscript"/>
        <sz val="10"/>
        <color theme="1"/>
        <rFont val="Calibri"/>
        <family val="2"/>
        <scheme val="minor"/>
      </rPr>
      <t>1</t>
    </r>
    <r>
      <rPr>
        <sz val="11"/>
        <color theme="1"/>
        <rFont val="Calibri"/>
        <family val="2"/>
        <scheme val="minor"/>
      </rPr>
      <t/>
    </r>
  </si>
  <si>
    <t>1. Beam Top Flange</t>
  </si>
  <si>
    <t>2. Beam Web</t>
  </si>
  <si>
    <t>3. Beam Bottom Flange</t>
  </si>
  <si>
    <t>4. WT Stem</t>
  </si>
  <si>
    <t>5. WT Flange</t>
  </si>
  <si>
    <r>
      <t>y</t>
    </r>
    <r>
      <rPr>
        <b/>
        <i/>
        <vertAlign val="subscript"/>
        <sz val="10"/>
        <rFont val="Calibri"/>
        <family val="2"/>
        <scheme val="minor"/>
      </rPr>
      <t>p</t>
    </r>
  </si>
  <si>
    <r>
      <t>x</t>
    </r>
    <r>
      <rPr>
        <b/>
        <i/>
        <vertAlign val="subscript"/>
        <sz val="10"/>
        <rFont val="Calibri"/>
        <family val="2"/>
        <scheme val="minor"/>
      </rPr>
      <t>p</t>
    </r>
  </si>
  <si>
    <r>
      <t>I</t>
    </r>
    <r>
      <rPr>
        <vertAlign val="subscript"/>
        <sz val="10"/>
        <color theme="1"/>
        <rFont val="Calibri"/>
        <family val="2"/>
        <scheme val="minor"/>
      </rPr>
      <t>y2</t>
    </r>
    <r>
      <rPr>
        <sz val="11"/>
        <color theme="1"/>
        <rFont val="Calibri"/>
        <family val="2"/>
        <scheme val="minor"/>
      </rPr>
      <t/>
    </r>
  </si>
  <si>
    <r>
      <t>I</t>
    </r>
    <r>
      <rPr>
        <vertAlign val="subscript"/>
        <sz val="10"/>
        <color theme="1"/>
        <rFont val="Calibri"/>
        <family val="2"/>
        <scheme val="minor"/>
      </rPr>
      <t>y3</t>
    </r>
    <r>
      <rPr>
        <sz val="11"/>
        <color theme="1"/>
        <rFont val="Calibri"/>
        <family val="2"/>
        <scheme val="minor"/>
      </rPr>
      <t/>
    </r>
  </si>
  <si>
    <r>
      <t>I</t>
    </r>
    <r>
      <rPr>
        <vertAlign val="subscript"/>
        <sz val="10"/>
        <color theme="1"/>
        <rFont val="Calibri"/>
        <family val="2"/>
        <scheme val="minor"/>
      </rPr>
      <t>y4</t>
    </r>
    <r>
      <rPr>
        <sz val="11"/>
        <color theme="1"/>
        <rFont val="Calibri"/>
        <family val="2"/>
        <scheme val="minor"/>
      </rPr>
      <t/>
    </r>
  </si>
  <si>
    <r>
      <t>I</t>
    </r>
    <r>
      <rPr>
        <vertAlign val="subscript"/>
        <sz val="10"/>
        <color theme="1"/>
        <rFont val="Calibri"/>
        <family val="2"/>
        <scheme val="minor"/>
      </rPr>
      <t>y5</t>
    </r>
    <r>
      <rPr>
        <sz val="11"/>
        <color theme="1"/>
        <rFont val="Calibri"/>
        <family val="2"/>
        <scheme val="minor"/>
      </rPr>
      <t/>
    </r>
  </si>
  <si>
    <r>
      <t>∑I</t>
    </r>
    <r>
      <rPr>
        <vertAlign val="subscript"/>
        <sz val="10"/>
        <color rgb="FF0000FF"/>
        <rFont val="Calibri"/>
        <family val="2"/>
        <scheme val="minor"/>
      </rPr>
      <t>y</t>
    </r>
  </si>
  <si>
    <t>Beam Top Flange 1a</t>
  </si>
  <si>
    <t>Beam Web 2a</t>
  </si>
  <si>
    <t>Beam Bottom Flange 3a</t>
  </si>
  <si>
    <t>WT Stem 4a</t>
  </si>
  <si>
    <t>WT Flange 5a</t>
  </si>
  <si>
    <t>I-Shaped Section + Channel Cap Reinforcement</t>
  </si>
  <si>
    <r>
      <t>b</t>
    </r>
    <r>
      <rPr>
        <vertAlign val="subscript"/>
        <sz val="10"/>
        <color theme="1"/>
        <rFont val="Calibri"/>
        <family val="2"/>
        <scheme val="minor"/>
      </rPr>
      <t>f-tw</t>
    </r>
  </si>
  <si>
    <t>Flange Width less Web Thickness</t>
  </si>
  <si>
    <t>1. Channel Web Thickness</t>
  </si>
  <si>
    <t>2. Beam Top Flange Thickness</t>
  </si>
  <si>
    <t xml:space="preserve">1. Channel Web </t>
  </si>
  <si>
    <t>5. Beam Bottom Flange</t>
  </si>
  <si>
    <t>Channel Section Properties</t>
  </si>
  <si>
    <t>2. Beam Top Flange</t>
  </si>
  <si>
    <t>4. Beam Web</t>
  </si>
  <si>
    <t>3. Beam Top Flange</t>
  </si>
  <si>
    <t>2. Channel Flanges</t>
  </si>
  <si>
    <t>Elastic Neutral Axis (Centroid)</t>
  </si>
  <si>
    <t>3. Beam Web Depth</t>
  </si>
  <si>
    <t>4. Beam Bottom Flange Thickness</t>
  </si>
  <si>
    <t>1. Channel Web Depth</t>
  </si>
  <si>
    <t>2. Beam Top Flange Width</t>
  </si>
  <si>
    <t>3. Beam Web Thickness</t>
  </si>
  <si>
    <t>4. Beam Bottom Flange Width</t>
  </si>
  <si>
    <t>1. Channel</t>
  </si>
  <si>
    <t>3. Beam Web</t>
  </si>
  <si>
    <t>4. Beam Bottom Flange</t>
  </si>
  <si>
    <t xml:space="preserve">Channel 1a </t>
  </si>
  <si>
    <t>Beam Top Flange 2a</t>
  </si>
  <si>
    <t>Beam Web 3a</t>
  </si>
  <si>
    <t>Beam Bottom Flange 4a</t>
  </si>
  <si>
    <t>Cover Plate Reinforcement</t>
  </si>
  <si>
    <t>Built-Up Properties (Hidden):</t>
  </si>
  <si>
    <t>[F13-2] Proportions of Beams and Girders</t>
  </si>
  <si>
    <t>≤ 10</t>
  </si>
  <si>
    <r>
      <t>h/t</t>
    </r>
    <r>
      <rPr>
        <vertAlign val="subscript"/>
        <sz val="10"/>
        <color theme="1"/>
        <rFont val="Calibri"/>
        <family val="2"/>
        <scheme val="minor"/>
      </rPr>
      <t>w</t>
    </r>
    <r>
      <rPr>
        <sz val="10"/>
        <color theme="1"/>
        <rFont val="Calibri"/>
        <family val="2"/>
        <scheme val="minor"/>
      </rPr>
      <t xml:space="preserve"> </t>
    </r>
    <r>
      <rPr>
        <sz val="10"/>
        <color theme="1"/>
        <rFont val="Aptos Narrow"/>
        <family val="2"/>
      </rPr>
      <t>≤</t>
    </r>
    <r>
      <rPr>
        <sz val="10"/>
        <color theme="1"/>
        <rFont val="Calibri"/>
        <family val="2"/>
        <scheme val="minor"/>
      </rPr>
      <t xml:space="preserve"> 260</t>
    </r>
  </si>
  <si>
    <r>
      <t xml:space="preserve"> 0.1 </t>
    </r>
    <r>
      <rPr>
        <sz val="10"/>
        <color theme="1"/>
        <rFont val="Aptos Narrow"/>
        <family val="2"/>
      </rPr>
      <t>≤</t>
    </r>
    <r>
      <rPr>
        <sz val="10"/>
        <color theme="1"/>
        <rFont val="Calibri"/>
        <family val="2"/>
        <scheme val="minor"/>
      </rPr>
      <t xml:space="preserve"> I</t>
    </r>
    <r>
      <rPr>
        <vertAlign val="subscript"/>
        <sz val="10"/>
        <color theme="1"/>
        <rFont val="Calibri"/>
        <family val="2"/>
        <scheme val="minor"/>
      </rPr>
      <t>yc</t>
    </r>
    <r>
      <rPr>
        <sz val="10"/>
        <color theme="1"/>
        <rFont val="Calibri"/>
        <family val="2"/>
        <scheme val="minor"/>
      </rPr>
      <t>/I</t>
    </r>
    <r>
      <rPr>
        <vertAlign val="subscript"/>
        <sz val="10"/>
        <color theme="1"/>
        <rFont val="Calibri"/>
        <family val="2"/>
        <scheme val="minor"/>
      </rPr>
      <t>y</t>
    </r>
    <r>
      <rPr>
        <sz val="10"/>
        <color theme="1"/>
        <rFont val="Calibri"/>
        <family val="2"/>
        <scheme val="minor"/>
      </rPr>
      <t xml:space="preserve"> </t>
    </r>
    <r>
      <rPr>
        <sz val="10"/>
        <color theme="1"/>
        <rFont val="Aptos Narrow"/>
        <family val="2"/>
      </rPr>
      <t>≤</t>
    </r>
    <r>
      <rPr>
        <sz val="10"/>
        <color theme="1"/>
        <rFont val="Calibri"/>
        <family val="2"/>
        <scheme val="minor"/>
      </rPr>
      <t xml:space="preserve"> 0.9</t>
    </r>
  </si>
  <si>
    <t>Built-Up Shape Proportion Limit:</t>
  </si>
  <si>
    <t>Slenderness Limit for Unstiffened Webs:</t>
  </si>
  <si>
    <t>(Web Area) / (Compression Flange Area):</t>
  </si>
  <si>
    <r>
      <t>M</t>
    </r>
    <r>
      <rPr>
        <vertAlign val="subscript"/>
        <sz val="10"/>
        <color theme="1"/>
        <rFont val="Calibri"/>
        <family val="2"/>
        <scheme val="minor"/>
      </rPr>
      <t>xi</t>
    </r>
  </si>
  <si>
    <r>
      <t>f</t>
    </r>
    <r>
      <rPr>
        <vertAlign val="subscript"/>
        <sz val="10"/>
        <color theme="1"/>
        <rFont val="Calibri"/>
        <family val="2"/>
        <scheme val="minor"/>
      </rPr>
      <t>bxi</t>
    </r>
  </si>
  <si>
    <r>
      <t>F'</t>
    </r>
    <r>
      <rPr>
        <vertAlign val="subscript"/>
        <sz val="10"/>
        <color theme="1"/>
        <rFont val="Calibri"/>
        <family val="2"/>
        <scheme val="minor"/>
      </rPr>
      <t>L</t>
    </r>
  </si>
  <si>
    <t>Pre-Load Bending Moment</t>
  </si>
  <si>
    <t>Pre-Load Bending Stress</t>
  </si>
  <si>
    <t>Pre-Load Compression Flange Stress</t>
  </si>
  <si>
    <t>Does pre-load need to be considered?</t>
  </si>
  <si>
    <t>Is the compression flange reinforced?</t>
  </si>
  <si>
    <t xml:space="preserve"> - Drop down selection or data entry for member size</t>
  </si>
  <si>
    <t xml:space="preserve"> - User input / data entry for a variable</t>
  </si>
  <si>
    <t xml:space="preserve"> - Optional input that overwrites a background calculation</t>
  </si>
  <si>
    <t xml:space="preserve"> - Background calculation (normally hidden)</t>
  </si>
  <si>
    <t xml:space="preserve"> - Calculated reference or limit value</t>
  </si>
  <si>
    <t xml:space="preserve"> - Load demands or results</t>
  </si>
  <si>
    <t xml:space="preserve"> - LRFD Design Strength value</t>
  </si>
  <si>
    <t xml:space="preserve"> - ASD Allowable Strength value</t>
  </si>
  <si>
    <r>
      <t xml:space="preserve"> - Calculation passes criteria (Utilization </t>
    </r>
    <r>
      <rPr>
        <sz val="10"/>
        <color theme="1"/>
        <rFont val="Aptos Narrow"/>
        <family val="2"/>
      </rPr>
      <t>≤</t>
    </r>
    <r>
      <rPr>
        <sz val="10"/>
        <color theme="1"/>
        <rFont val="Calibri"/>
        <family val="2"/>
        <scheme val="minor"/>
      </rPr>
      <t xml:space="preserve"> 1.0 is "OK")</t>
    </r>
  </si>
  <si>
    <t xml:space="preserve"> - Calculation fails criteria (Utilization &gt; 1.0 is "No Good = N.G.")</t>
  </si>
  <si>
    <r>
      <t xml:space="preserve">Seismic criteria, demands, or requirements from the AISC </t>
    </r>
    <r>
      <rPr>
        <i/>
        <sz val="10"/>
        <color theme="1"/>
        <rFont val="Calibri"/>
        <family val="2"/>
        <scheme val="minor"/>
      </rPr>
      <t>Seismic Provisions for Structural Steel Buildings</t>
    </r>
    <r>
      <rPr>
        <sz val="10"/>
        <color theme="1"/>
        <rFont val="Calibri"/>
        <family val="2"/>
        <scheme val="minor"/>
      </rPr>
      <t xml:space="preserve"> (ANSI/AISC 341).</t>
    </r>
  </si>
  <si>
    <t>The design of reinforcement attachment with high strength bolts. Only welding design is included.</t>
  </si>
  <si>
    <t>User Guide</t>
  </si>
  <si>
    <t>Design</t>
  </si>
  <si>
    <t>Analysis</t>
  </si>
  <si>
    <t>Database v16.0 &amp; v16.0H</t>
  </si>
  <si>
    <t>Stepped Column - Modified K</t>
  </si>
  <si>
    <t>I-Shape + Cover Plates</t>
  </si>
  <si>
    <t>I-Shape + WT</t>
  </si>
  <si>
    <t>I-Shape + Channel</t>
  </si>
  <si>
    <r>
      <rPr>
        <sz val="10"/>
        <rFont val="Calibri"/>
        <family val="2"/>
        <scheme val="minor"/>
      </rPr>
      <t>This</t>
    </r>
    <r>
      <rPr>
        <b/>
        <sz val="10"/>
        <color rgb="FF0070C0"/>
        <rFont val="Calibri"/>
        <family val="2"/>
        <scheme val="minor"/>
      </rPr>
      <t xml:space="preserve"> </t>
    </r>
    <r>
      <rPr>
        <sz val="10"/>
        <color theme="1"/>
        <rFont val="Calibri"/>
        <family val="2"/>
        <scheme val="minor"/>
      </rPr>
      <t>tab provides different loading scenarios to compute and plot shear force, bending moment, and deflection values for a single, simply-supported beam along its length.</t>
    </r>
  </si>
  <si>
    <r>
      <t>Stepped Beam - Modified C</t>
    </r>
    <r>
      <rPr>
        <b/>
        <u/>
        <vertAlign val="subscript"/>
        <sz val="10"/>
        <color theme="1"/>
        <rFont val="Calibri"/>
        <family val="2"/>
        <scheme val="minor"/>
      </rPr>
      <t>b</t>
    </r>
  </si>
  <si>
    <t>Built-Up Member Section Properties Calculator</t>
  </si>
  <si>
    <t>Compression Flange Cover Plate</t>
  </si>
  <si>
    <t>Tension Flange Cover Plate</t>
  </si>
  <si>
    <r>
      <t xml:space="preserve">Channel Cap Reinforcement
</t>
    </r>
    <r>
      <rPr>
        <sz val="10"/>
        <color theme="1"/>
        <rFont val="Calibri"/>
        <family val="2"/>
        <scheme val="minor"/>
      </rPr>
      <t>(Compression Flange Only)</t>
    </r>
  </si>
  <si>
    <r>
      <t xml:space="preserve">WT-Shape Reinforcement 
</t>
    </r>
    <r>
      <rPr>
        <sz val="10"/>
        <color theme="1"/>
        <rFont val="Calibri"/>
        <family val="2"/>
        <scheme val="minor"/>
      </rPr>
      <t>(Tension Flange Only)</t>
    </r>
  </si>
  <si>
    <t>WT shape properties are provided for reference and are used in the "I-Shape + WT" tab.</t>
  </si>
  <si>
    <r>
      <t>This tab provides automated section property calculations for a built-up I-shaped member reinforced with a single WT-shape on its tension flange. The intent is to use this tab in combination with the "</t>
    </r>
    <r>
      <rPr>
        <sz val="10"/>
        <color rgb="FF00B050"/>
        <rFont val="Calibri"/>
        <family val="2"/>
        <scheme val="minor"/>
      </rPr>
      <t>5. Reinforced (Built-Up) Member Strength</t>
    </r>
    <r>
      <rPr>
        <sz val="10"/>
        <color theme="1"/>
        <rFont val="Calibri"/>
        <family val="2"/>
        <scheme val="minor"/>
      </rPr>
      <t xml:space="preserve">" section of the </t>
    </r>
    <r>
      <rPr>
        <b/>
        <u/>
        <sz val="10"/>
        <color rgb="FFC00000"/>
        <rFont val="Calibri"/>
        <family val="2"/>
        <scheme val="minor"/>
      </rPr>
      <t>Design</t>
    </r>
    <r>
      <rPr>
        <sz val="10"/>
        <color theme="1"/>
        <rFont val="Calibri"/>
        <family val="2"/>
        <scheme val="minor"/>
      </rPr>
      <t xml:space="preserve"> tab by entering or copy/pasting calculated section properties.</t>
    </r>
  </si>
  <si>
    <r>
      <t>This tab provides automated section property calculations for a built-up I-shaped member reinforced with one or two cover plates. The cover plate can be located on the tension flange, compression flange, or both flanges. The cover plate dimensions can be omitted to instead calculate section properties for an I-shaped plate girder. The intent is to use this tab in combination with the "</t>
    </r>
    <r>
      <rPr>
        <sz val="10"/>
        <color rgb="FF00B050"/>
        <rFont val="Calibri"/>
        <family val="2"/>
        <scheme val="minor"/>
      </rPr>
      <t>5. Reinforced (Built-Up) Member Strength</t>
    </r>
    <r>
      <rPr>
        <sz val="10"/>
        <color theme="1"/>
        <rFont val="Calibri"/>
        <family val="2"/>
        <scheme val="minor"/>
      </rPr>
      <t xml:space="preserve">" section of the </t>
    </r>
    <r>
      <rPr>
        <b/>
        <u/>
        <sz val="10"/>
        <color rgb="FFC00000"/>
        <rFont val="Calibri"/>
        <family val="2"/>
        <scheme val="minor"/>
      </rPr>
      <t>Design</t>
    </r>
    <r>
      <rPr>
        <sz val="10"/>
        <color theme="1"/>
        <rFont val="Calibri"/>
        <family val="2"/>
        <scheme val="minor"/>
      </rPr>
      <t xml:space="preserve"> tab by entering or copy/pasting calculated section properties.</t>
    </r>
  </si>
  <si>
    <r>
      <t>This tab can be used to determine a modified effective length factor, K, for a compression member with partial-length reinforcement (i.e., stepped column) based on work by Dalal (1969). The intent is to use the modified K value in the "</t>
    </r>
    <r>
      <rPr>
        <sz val="10"/>
        <color rgb="FF00B050"/>
        <rFont val="Calibri"/>
        <family val="2"/>
        <scheme val="minor"/>
      </rPr>
      <t>5. Reinforced (Built-up) Member Strength</t>
    </r>
    <r>
      <rPr>
        <sz val="10"/>
        <color theme="1"/>
        <rFont val="Calibri"/>
        <family val="2"/>
        <scheme val="minor"/>
      </rPr>
      <t xml:space="preserve">" section of the </t>
    </r>
    <r>
      <rPr>
        <b/>
        <u/>
        <sz val="10"/>
        <color rgb="FFC00000"/>
        <rFont val="Calibri"/>
        <family val="2"/>
        <scheme val="minor"/>
      </rPr>
      <t>Design</t>
    </r>
    <r>
      <rPr>
        <sz val="10"/>
        <color theme="1"/>
        <rFont val="Calibri"/>
        <family val="2"/>
        <scheme val="minor"/>
      </rPr>
      <t xml:space="preserve"> tab.</t>
    </r>
  </si>
  <si>
    <t>Stepped Column - Effective Length Factor (K) for Buckling</t>
  </si>
  <si>
    <r>
      <t>Multiply C</t>
    </r>
    <r>
      <rPr>
        <vertAlign val="subscript"/>
        <sz val="10"/>
        <color theme="1"/>
        <rFont val="Calibri"/>
        <family val="2"/>
        <scheme val="minor"/>
      </rPr>
      <t>b</t>
    </r>
    <r>
      <rPr>
        <sz val="10"/>
        <color theme="1"/>
        <rFont val="Calibri"/>
        <family val="2"/>
        <scheme val="minor"/>
      </rPr>
      <t xml:space="preserve"> by β</t>
    </r>
    <r>
      <rPr>
        <vertAlign val="subscript"/>
        <sz val="10"/>
        <color theme="1"/>
        <rFont val="Calibri"/>
        <family val="2"/>
        <scheme val="minor"/>
      </rPr>
      <t>LTB</t>
    </r>
    <r>
      <rPr>
        <sz val="10"/>
        <color theme="1"/>
        <rFont val="Calibri"/>
        <family val="2"/>
        <scheme val="minor"/>
      </rPr>
      <t xml:space="preserve"> to obtain C</t>
    </r>
    <r>
      <rPr>
        <vertAlign val="subscript"/>
        <sz val="10"/>
        <color theme="1"/>
        <rFont val="Calibri"/>
        <family val="2"/>
        <scheme val="minor"/>
      </rPr>
      <t>b</t>
    </r>
    <r>
      <rPr>
        <sz val="10"/>
        <color theme="1"/>
        <rFont val="Calibri"/>
        <family val="2"/>
        <scheme val="minor"/>
      </rPr>
      <t>' = C</t>
    </r>
    <r>
      <rPr>
        <vertAlign val="subscript"/>
        <sz val="10"/>
        <color theme="1"/>
        <rFont val="Calibri"/>
        <family val="2"/>
        <scheme val="minor"/>
      </rPr>
      <t>b</t>
    </r>
    <r>
      <rPr>
        <sz val="10"/>
        <color theme="1"/>
        <rFont val="Calibri"/>
        <family val="2"/>
        <scheme val="minor"/>
      </rPr>
      <t>*(β</t>
    </r>
    <r>
      <rPr>
        <vertAlign val="subscript"/>
        <sz val="10"/>
        <color theme="1"/>
        <rFont val="Calibri"/>
        <family val="2"/>
        <scheme val="minor"/>
      </rPr>
      <t>LTB</t>
    </r>
    <r>
      <rPr>
        <sz val="10"/>
        <color theme="1"/>
        <rFont val="Calibri"/>
        <family val="2"/>
        <scheme val="minor"/>
      </rPr>
      <t>)</t>
    </r>
  </si>
  <si>
    <r>
      <t>Stepped Beam - Modified Lateral-Torsional Buckling Modification Factor (C</t>
    </r>
    <r>
      <rPr>
        <b/>
        <vertAlign val="subscript"/>
        <sz val="12"/>
        <color theme="1"/>
        <rFont val="Calibri"/>
        <family val="2"/>
        <scheme val="minor"/>
      </rPr>
      <t>b</t>
    </r>
    <r>
      <rPr>
        <b/>
        <sz val="12"/>
        <color theme="1"/>
        <rFont val="Calibri"/>
        <family val="2"/>
        <scheme val="minor"/>
      </rPr>
      <t>)</t>
    </r>
  </si>
  <si>
    <t>Design of Flexural Members with Partial-Length Reinforcement</t>
  </si>
  <si>
    <r>
      <t>d</t>
    </r>
    <r>
      <rPr>
        <vertAlign val="subscript"/>
        <sz val="10"/>
        <color theme="1"/>
        <rFont val="Calibri"/>
        <family val="2"/>
        <scheme val="minor"/>
      </rPr>
      <t>total</t>
    </r>
  </si>
  <si>
    <t>Original I-Shape Dimensions:</t>
  </si>
  <si>
    <t>Built-Up Shape Dimensions:</t>
  </si>
  <si>
    <r>
      <t xml:space="preserve">Dalal, S.T. (1969). "Some Non-Conventional Cases of Column Design," </t>
    </r>
    <r>
      <rPr>
        <i/>
        <sz val="10"/>
        <rFont val="Calibri"/>
        <family val="2"/>
        <scheme val="minor"/>
      </rPr>
      <t>AISC Engineering Journal</t>
    </r>
    <r>
      <rPr>
        <sz val="10"/>
        <rFont val="Calibri"/>
        <family val="2"/>
        <scheme val="minor"/>
      </rPr>
      <t>, p. 28-39.</t>
    </r>
  </si>
  <si>
    <t>Is reinforcement full length? (Affects Tensile Strength)</t>
  </si>
  <si>
    <t>Copy/paste template column for additional members.</t>
  </si>
  <si>
    <r>
      <t xml:space="preserve">Trahair, N.S., &amp; Kitipornchai, S. (2003). "Elastic Lateral Buckling of Stepped I-Beams," </t>
    </r>
    <r>
      <rPr>
        <i/>
        <sz val="10"/>
        <rFont val="Calibri"/>
        <family val="2"/>
        <scheme val="minor"/>
      </rPr>
      <t xml:space="preserve">Journal of the Structural Division, ASCE, </t>
    </r>
    <r>
      <rPr>
        <sz val="10"/>
        <rFont val="Calibri"/>
        <family val="2"/>
        <scheme val="minor"/>
      </rPr>
      <t>Vol. 97, No. ST10.</t>
    </r>
  </si>
  <si>
    <r>
      <t>This tab provides the equations used to calculate a modified lateral-torsional buckling modification factor, C</t>
    </r>
    <r>
      <rPr>
        <vertAlign val="subscript"/>
        <sz val="10"/>
        <color theme="1"/>
        <rFont val="Calibri"/>
        <family val="2"/>
        <scheme val="minor"/>
      </rPr>
      <t>b</t>
    </r>
    <r>
      <rPr>
        <sz val="10"/>
        <color theme="1"/>
        <rFont val="Calibri"/>
        <family val="2"/>
        <scheme val="minor"/>
      </rPr>
      <t>, for a flexural member with partial-length reinforcement (i.e., stepped beam) based on work by Trahair &amp; Kitipornchai (2003). These equations are used in the "</t>
    </r>
    <r>
      <rPr>
        <sz val="10"/>
        <color rgb="FF00B050"/>
        <rFont val="Calibri"/>
        <family val="2"/>
        <scheme val="minor"/>
      </rPr>
      <t>5. Reinforced (Built-up) Member Strength</t>
    </r>
    <r>
      <rPr>
        <sz val="10"/>
        <color theme="1"/>
        <rFont val="Calibri"/>
        <family val="2"/>
        <scheme val="minor"/>
      </rPr>
      <t xml:space="preserve">" section of the </t>
    </r>
    <r>
      <rPr>
        <b/>
        <u/>
        <sz val="10"/>
        <color rgb="FFC00000"/>
        <rFont val="Calibri"/>
        <family val="2"/>
        <scheme val="minor"/>
      </rPr>
      <t>Design</t>
    </r>
    <r>
      <rPr>
        <sz val="10"/>
        <color theme="1"/>
        <rFont val="Calibri"/>
        <family val="2"/>
        <scheme val="minor"/>
      </rPr>
      <t xml:space="preserve"> tab.</t>
    </r>
  </si>
  <si>
    <t>1. Design Inputs</t>
  </si>
  <si>
    <t>2. Loads &amp; Deflection Criteria</t>
  </si>
  <si>
    <t>3. Original Member Strength</t>
  </si>
  <si>
    <t>4. Reduced (Corroded) Member Strength</t>
  </si>
  <si>
    <t>5. Reinforced (Built-Up) Member Strength</t>
  </si>
  <si>
    <t>6. Reinforcement Attachment Design</t>
  </si>
  <si>
    <r>
      <t xml:space="preserve">The </t>
    </r>
    <r>
      <rPr>
        <b/>
        <u/>
        <sz val="10"/>
        <color rgb="FFC00000"/>
        <rFont val="Calibri"/>
        <family val="2"/>
        <scheme val="minor"/>
      </rPr>
      <t>Design</t>
    </r>
    <r>
      <rPr>
        <sz val="10"/>
        <color theme="1"/>
        <rFont val="Calibri"/>
        <family val="2"/>
        <scheme val="minor"/>
      </rPr>
      <t xml:space="preserve"> tab is composed of the following six parts:</t>
    </r>
  </si>
  <si>
    <r>
      <t xml:space="preserve">This tab provides section properties for standard AISC shapes from the AISC Shapes Database v16.0 and v16.0H spreadsheets, which can be retrieved from aisc.org (see References). These include modern and historic (discontinued) steel shapes. For simplicity, only the section properties required for the functionality of this design aid were used from the AISC Shapes Databases. As new shapes become available in the future, their section properties can be entered. Excel's VLOOKUP function is used to pull section properties into the </t>
    </r>
    <r>
      <rPr>
        <b/>
        <u/>
        <sz val="10"/>
        <color rgb="FFC00000"/>
        <rFont val="Calibri"/>
        <family val="2"/>
        <scheme val="minor"/>
      </rPr>
      <t>Design</t>
    </r>
    <r>
      <rPr>
        <sz val="10"/>
        <color theme="1"/>
        <rFont val="Calibri"/>
        <family val="2"/>
        <scheme val="minor"/>
      </rPr>
      <t>,</t>
    </r>
    <r>
      <rPr>
        <sz val="10"/>
        <color theme="5"/>
        <rFont val="Calibri"/>
        <family val="2"/>
        <scheme val="minor"/>
      </rPr>
      <t xml:space="preserve"> </t>
    </r>
    <r>
      <rPr>
        <b/>
        <u/>
        <sz val="10"/>
        <color theme="5"/>
        <rFont val="Calibri"/>
        <family val="2"/>
        <scheme val="minor"/>
      </rPr>
      <t>I-Shape + WT</t>
    </r>
    <r>
      <rPr>
        <sz val="10"/>
        <color theme="1"/>
        <rFont val="Calibri"/>
        <family val="2"/>
        <scheme val="minor"/>
      </rPr>
      <t xml:space="preserve">, and </t>
    </r>
    <r>
      <rPr>
        <b/>
        <u/>
        <sz val="10"/>
        <color theme="5"/>
        <rFont val="Calibri"/>
        <family val="2"/>
        <scheme val="minor"/>
      </rPr>
      <t>I-Shape + Channel</t>
    </r>
    <r>
      <rPr>
        <sz val="10"/>
        <color theme="1"/>
        <rFont val="Calibri"/>
        <family val="2"/>
        <scheme val="minor"/>
      </rPr>
      <t xml:space="preserve"> tabs.</t>
    </r>
  </si>
  <si>
    <t>Design Aid Commentary</t>
  </si>
  <si>
    <r>
      <t xml:space="preserve">This legend pertains to the cells located in the </t>
    </r>
    <r>
      <rPr>
        <b/>
        <u/>
        <sz val="10"/>
        <color rgb="FFC00000"/>
        <rFont val="Calibri"/>
        <family val="2"/>
        <scheme val="minor"/>
      </rPr>
      <t>Design</t>
    </r>
    <r>
      <rPr>
        <sz val="10"/>
        <color theme="1"/>
        <rFont val="Calibri"/>
        <family val="2"/>
        <scheme val="minor"/>
      </rPr>
      <t xml:space="preserve"> tab.</t>
    </r>
  </si>
  <si>
    <t>0. General Comments</t>
  </si>
  <si>
    <r>
      <t>For tensile strength calculations, tensile rupture is based on A</t>
    </r>
    <r>
      <rPr>
        <vertAlign val="subscript"/>
        <sz val="10"/>
        <rFont val="Calibri"/>
        <family val="2"/>
        <scheme val="minor"/>
      </rPr>
      <t>n</t>
    </r>
    <r>
      <rPr>
        <sz val="10"/>
        <rFont val="Calibri"/>
        <family val="2"/>
        <scheme val="minor"/>
      </rPr>
      <t xml:space="preserve"> = A</t>
    </r>
    <r>
      <rPr>
        <vertAlign val="subscript"/>
        <sz val="10"/>
        <rFont val="Calibri"/>
        <family val="2"/>
        <scheme val="minor"/>
      </rPr>
      <t>g</t>
    </r>
    <r>
      <rPr>
        <sz val="10"/>
        <rFont val="Calibri"/>
        <family val="2"/>
        <scheme val="minor"/>
      </rPr>
      <t xml:space="preserve"> and U = 1.0 by default. These can be modified by the user by unhiding the background calculations for "Available Tensile Strength" and making adjustments as needed.</t>
    </r>
  </si>
  <si>
    <t>For flexural strength calculations, the top flange of a member is always assumed to be the compression flange. Likewise, the bottom flange is always the tension flange.</t>
  </si>
  <si>
    <r>
      <t xml:space="preserve">The member template for the </t>
    </r>
    <r>
      <rPr>
        <b/>
        <u/>
        <sz val="10"/>
        <color rgb="FFC00000"/>
        <rFont val="Calibri"/>
        <family val="2"/>
        <scheme val="minor"/>
      </rPr>
      <t>Design</t>
    </r>
    <r>
      <rPr>
        <sz val="10"/>
        <color theme="1"/>
        <rFont val="Calibri"/>
        <family val="2"/>
        <scheme val="minor"/>
      </rPr>
      <t xml:space="preserve"> tab is located in Excel "column D." This column should never be deleted as it is referenced by other cells to properly display "LRFD" or "ASD" wording depending on which method of design is selected. If "column D" is accidentally deleted, it will not affect any critical elements of the design aid. It will only affect the visual appearance of some cells, which will produce errors or "N/A" if "column D" is deleted. "Column D" can be used to copy/paste into adjacent columns so that multiple members can be analyzed and designed simultaneously.</t>
    </r>
  </si>
  <si>
    <r>
      <rPr>
        <u/>
        <sz val="10"/>
        <color theme="1"/>
        <rFont val="Calibri"/>
        <family val="2"/>
        <scheme val="minor"/>
      </rPr>
      <t>Definitions</t>
    </r>
    <r>
      <rPr>
        <sz val="10"/>
        <color theme="1"/>
        <rFont val="Calibri"/>
        <family val="2"/>
        <scheme val="minor"/>
      </rPr>
      <t>:</t>
    </r>
  </si>
  <si>
    <t>A property related to the member's longitudinal axis (z-axis) is indicated with "z" or "z-z".</t>
  </si>
  <si>
    <t>A property related to the member's weak, or minor, axis (y-axis) is indicated with "y" or" y-y".</t>
  </si>
  <si>
    <t>A property related to the member's strong, or major, axis (x-axis) is indicated with "x" or "x-x".</t>
  </si>
  <si>
    <r>
      <t>Unbraced Length x-x (Compression) - L</t>
    </r>
    <r>
      <rPr>
        <vertAlign val="subscript"/>
        <sz val="10"/>
        <color theme="1"/>
        <rFont val="Calibri"/>
        <family val="2"/>
        <scheme val="minor"/>
      </rPr>
      <t>x</t>
    </r>
    <r>
      <rPr>
        <sz val="10"/>
        <color theme="1"/>
        <rFont val="Calibri"/>
        <family val="2"/>
        <scheme val="minor"/>
      </rPr>
      <t xml:space="preserve"> - Unbraced length for flexural buckling about the strong axis (x-axis).</t>
    </r>
  </si>
  <si>
    <r>
      <t>Unbraced Length y-y (Compression) - L</t>
    </r>
    <r>
      <rPr>
        <vertAlign val="subscript"/>
        <sz val="10"/>
        <color theme="1"/>
        <rFont val="Calibri"/>
        <family val="2"/>
        <scheme val="minor"/>
      </rPr>
      <t>y</t>
    </r>
    <r>
      <rPr>
        <sz val="10"/>
        <color theme="1"/>
        <rFont val="Calibri"/>
        <family val="2"/>
        <scheme val="minor"/>
      </rPr>
      <t xml:space="preserve"> - Unbraced length for flexural buckling about the weak axis (y-axis).</t>
    </r>
  </si>
  <si>
    <r>
      <t>Unbraced Length z-z (Compression) - L</t>
    </r>
    <r>
      <rPr>
        <vertAlign val="subscript"/>
        <sz val="10"/>
        <color theme="1"/>
        <rFont val="Calibri"/>
        <family val="2"/>
        <scheme val="minor"/>
      </rPr>
      <t>z</t>
    </r>
    <r>
      <rPr>
        <sz val="10"/>
        <color theme="1"/>
        <rFont val="Calibri"/>
        <family val="2"/>
        <scheme val="minor"/>
      </rPr>
      <t xml:space="preserve"> - Unbraced length for flexural buckling about the longitudinal axis (z-axis). Refer to AISC 360-22 Section E4 and Figure C-E4.1.</t>
    </r>
  </si>
  <si>
    <r>
      <t>Unbraced Length (Bending) - L</t>
    </r>
    <r>
      <rPr>
        <vertAlign val="subscript"/>
        <sz val="10"/>
        <color theme="1"/>
        <rFont val="Calibri"/>
        <family val="2"/>
        <scheme val="minor"/>
      </rPr>
      <t>b</t>
    </r>
    <r>
      <rPr>
        <sz val="10"/>
        <color theme="1"/>
        <rFont val="Calibri"/>
        <family val="2"/>
        <scheme val="minor"/>
      </rPr>
      <t xml:space="preserve"> - Length between points that are either braced against lateral displacement of the compression flange or braced against twist of the cross section.</t>
    </r>
  </si>
  <si>
    <t>K - Effective length factor for flexural buckling. Refer to AISC 360-22 Commentary on Appendix 7, Section 7.2 and Table C-A-7.1.</t>
  </si>
  <si>
    <r>
      <t>C</t>
    </r>
    <r>
      <rPr>
        <vertAlign val="subscript"/>
        <sz val="10"/>
        <color theme="1"/>
        <rFont val="Calibri"/>
        <family val="2"/>
        <scheme val="minor"/>
      </rPr>
      <t>b</t>
    </r>
    <r>
      <rPr>
        <sz val="10"/>
        <color theme="1"/>
        <rFont val="Calibri"/>
        <family val="2"/>
        <scheme val="minor"/>
      </rPr>
      <t xml:space="preserve"> - Lateral-torsional buckling modification factor. Refer to AISC </t>
    </r>
    <r>
      <rPr>
        <i/>
        <sz val="10"/>
        <color theme="1"/>
        <rFont val="Calibri"/>
        <family val="2"/>
        <scheme val="minor"/>
      </rPr>
      <t>Steel Construction Manual, 16th Ed.,</t>
    </r>
    <r>
      <rPr>
        <sz val="10"/>
        <color theme="1"/>
        <rFont val="Calibri"/>
        <family val="2"/>
        <scheme val="minor"/>
      </rPr>
      <t xml:space="preserve"> Table 3-1.</t>
    </r>
  </si>
  <si>
    <t>Simple Span / Length</t>
  </si>
  <si>
    <r>
      <t>The member's simple span or length, L, and tributary width, W</t>
    </r>
    <r>
      <rPr>
        <vertAlign val="subscript"/>
        <sz val="10"/>
        <color theme="1"/>
        <rFont val="Calibri"/>
        <family val="2"/>
        <scheme val="minor"/>
      </rPr>
      <t>T</t>
    </r>
    <r>
      <rPr>
        <sz val="10"/>
        <color theme="1"/>
        <rFont val="Calibri"/>
        <family val="2"/>
        <scheme val="minor"/>
      </rPr>
      <t>, (for beams only) are manually entered. Load demands are calculated only for simple span beams. Continuous spans, cantilevers, fixed ends, and overhanging beams are not considered.</t>
    </r>
  </si>
  <si>
    <r>
      <t>The area moment of inertia x-x, I</t>
    </r>
    <r>
      <rPr>
        <vertAlign val="subscript"/>
        <sz val="10"/>
        <color theme="1"/>
        <rFont val="Calibri"/>
        <family val="2"/>
        <scheme val="minor"/>
      </rPr>
      <t>x</t>
    </r>
    <r>
      <rPr>
        <sz val="10"/>
        <color theme="1"/>
        <rFont val="Calibri"/>
        <family val="2"/>
        <scheme val="minor"/>
      </rPr>
      <t>, of the selected member is shown in "Design Inputs" for reference only. It does not need to be manually entered.</t>
    </r>
  </si>
  <si>
    <r>
      <rPr>
        <u/>
        <sz val="10"/>
        <color theme="1"/>
        <rFont val="Calibri"/>
        <family val="2"/>
        <scheme val="minor"/>
      </rPr>
      <t>Reduced Cross-Sectional Area (Corrosion)</t>
    </r>
    <r>
      <rPr>
        <sz val="10"/>
        <color theme="1"/>
        <rFont val="Calibri"/>
        <family val="2"/>
        <scheme val="minor"/>
      </rPr>
      <t>:</t>
    </r>
  </si>
  <si>
    <r>
      <t>If the member cross-section has been affected by corrosion or other damage that results in reduced thickness of the flanges and web, the user can manually enter values for section loss (thickness reduction) as a percentage (</t>
    </r>
    <r>
      <rPr>
        <sz val="10"/>
        <color theme="1"/>
        <rFont val="Aptos Narrow"/>
        <family val="2"/>
      </rPr>
      <t>%</t>
    </r>
    <r>
      <rPr>
        <sz val="10"/>
        <color theme="1"/>
        <rFont val="Calibri"/>
        <family val="2"/>
      </rPr>
      <t>) for the web and each flange.</t>
    </r>
  </si>
  <si>
    <t>The remaining thickness values for the web and each flange is shown for reference. They are not user inputs. These values are used to calculate  reduced (corroded) member section properties.</t>
  </si>
  <si>
    <t>The AISC shape to be analyzed is selected from a dropdown cell in Excel "row 5".</t>
  </si>
  <si>
    <t>The ASCE 7 edition "ASCE 7-22" or "ASCE 7-16" is selected from a dropdown cell in Excel "row 8". This affects load combinations.</t>
  </si>
  <si>
    <t>The AISC method of design "LRFD" or "ASD" is selected from a dropdown cell in Excel "row 7". This affects required strength (load demands) and available strength values.</t>
  </si>
  <si>
    <t>Generally, uniform corrosion results in a loss of member element thickness. Therefore, the Design Aid does not consider any reduction in flange width or web depth. However, the cross-section total depth is reduced based on flange section loss. The Design Aid assumes the remaining thickness value is constant across the width of the web or flange element.</t>
  </si>
  <si>
    <r>
      <rPr>
        <u/>
        <sz val="10"/>
        <color theme="1"/>
        <rFont val="Calibri"/>
        <family val="2"/>
        <scheme val="minor"/>
      </rPr>
      <t>Optional Inputs</t>
    </r>
    <r>
      <rPr>
        <sz val="10"/>
        <color theme="1"/>
        <rFont val="Calibri"/>
        <family val="2"/>
        <scheme val="minor"/>
      </rPr>
      <t>:</t>
    </r>
  </si>
  <si>
    <t>Available strength values include major axis shear, minor axis shear, major axis bending, minor axis bending, compressive, and tensile strength. Strength utilization values for major axis shear, minor axis shear, and combined bending and axial demands are calculated as a percentage (%).</t>
  </si>
  <si>
    <t>The Design Aid uses the reduced (corroded) section properties, which are calculated in the background based on the % section/thickness reduction values entered in "Design Inputs," to calculate strength values.</t>
  </si>
  <si>
    <r>
      <t xml:space="preserve">The St. Venant Torsional Constant, J, for I-shaped members is calculated using Equation (C.19) provided in AISC Design Guide 9: </t>
    </r>
    <r>
      <rPr>
        <i/>
        <sz val="10"/>
        <color theme="1"/>
        <rFont val="Calibri"/>
        <family val="2"/>
        <scheme val="minor"/>
      </rPr>
      <t>Torsional Analysis of Structural Steel Members</t>
    </r>
    <r>
      <rPr>
        <sz val="10"/>
        <color theme="1"/>
        <rFont val="Calibri"/>
        <family val="2"/>
        <scheme val="minor"/>
      </rPr>
      <t xml:space="preserve"> (Seaburg &amp; Carter, 1997).</t>
    </r>
  </si>
  <si>
    <r>
      <t>The Warping Constant, C</t>
    </r>
    <r>
      <rPr>
        <vertAlign val="subscript"/>
        <sz val="10"/>
        <color theme="1"/>
        <rFont val="Calibri"/>
        <family val="2"/>
        <scheme val="minor"/>
      </rPr>
      <t>w</t>
    </r>
    <r>
      <rPr>
        <sz val="10"/>
        <color theme="1"/>
        <rFont val="Calibri"/>
        <family val="2"/>
        <scheme val="minor"/>
      </rPr>
      <t>, for I-shaped members is calculated using Equations (12) and (14) provided in the report, "Simplified Lateral Torsional Buckling Equations for Singly-Symmetric I-Section Members," by White and Jung (2003). These equations account for the effects of unequal compression and tension elastic section modulus, S</t>
    </r>
    <r>
      <rPr>
        <vertAlign val="subscript"/>
        <sz val="10"/>
        <color theme="1"/>
        <rFont val="Calibri"/>
        <family val="2"/>
        <scheme val="minor"/>
      </rPr>
      <t>x</t>
    </r>
    <r>
      <rPr>
        <sz val="10"/>
        <color theme="1"/>
        <rFont val="Calibri"/>
        <family val="2"/>
        <scheme val="minor"/>
      </rPr>
      <t>, values.</t>
    </r>
  </si>
  <si>
    <t>The St. Venant Torsional Constant, J, is calculated using Equation (17) provided in the report, "Simplified Lateral Torsional Buckling Equations for Singly-Symmetric I-Section Members," by White and Jung (2003).</t>
  </si>
  <si>
    <r>
      <t>The Warping Constant, C</t>
    </r>
    <r>
      <rPr>
        <vertAlign val="subscript"/>
        <sz val="10"/>
        <color theme="1"/>
        <rFont val="Calibri"/>
        <family val="2"/>
        <scheme val="minor"/>
      </rPr>
      <t>w</t>
    </r>
    <r>
      <rPr>
        <sz val="10"/>
        <color theme="1"/>
        <rFont val="Calibri"/>
        <family val="2"/>
        <scheme val="minor"/>
      </rPr>
      <t>, is calculated using Equations (12) and (14) provided in the report, "Simplified Lateral Torsional Buckling Equations for Singly-Symmetric I-Section Members," by White and Jung (2003). These equations account for the effects of unequal compression and tension elastic section modulus, S</t>
    </r>
    <r>
      <rPr>
        <vertAlign val="subscript"/>
        <sz val="10"/>
        <color theme="1"/>
        <rFont val="Calibri"/>
        <family val="2"/>
        <scheme val="minor"/>
      </rPr>
      <t>x</t>
    </r>
    <r>
      <rPr>
        <sz val="10"/>
        <color theme="1"/>
        <rFont val="Calibri"/>
        <family val="2"/>
        <scheme val="minor"/>
      </rPr>
      <t>, values.</t>
    </r>
  </si>
  <si>
    <r>
      <t xml:space="preserve">The Design Aid uses the manually-entered section properties to calculate strength values. Section properties for the reinforced (built-up) shape can be determined with hand calculations, with a program such as RisaSection, or with the following Design Aid tabs: </t>
    </r>
    <r>
      <rPr>
        <b/>
        <u/>
        <sz val="10"/>
        <color theme="5"/>
        <rFont val="Calibri"/>
        <family val="2"/>
        <scheme val="minor"/>
      </rPr>
      <t>I-Shape + Cover Plates</t>
    </r>
    <r>
      <rPr>
        <sz val="10"/>
        <color theme="1"/>
        <rFont val="Calibri"/>
        <family val="2"/>
        <scheme val="minor"/>
      </rPr>
      <t xml:space="preserve">, </t>
    </r>
    <r>
      <rPr>
        <b/>
        <u/>
        <sz val="10"/>
        <color theme="5"/>
        <rFont val="Calibri"/>
        <family val="2"/>
        <scheme val="minor"/>
      </rPr>
      <t>I-Shape + WT</t>
    </r>
    <r>
      <rPr>
        <sz val="10"/>
        <color theme="1"/>
        <rFont val="Calibri"/>
        <family val="2"/>
        <scheme val="minor"/>
      </rPr>
      <t xml:space="preserve">, and </t>
    </r>
    <r>
      <rPr>
        <b/>
        <u/>
        <sz val="10"/>
        <color theme="5"/>
        <rFont val="Calibri"/>
        <family val="2"/>
        <scheme val="minor"/>
      </rPr>
      <t>I-Shape + Channel</t>
    </r>
    <r>
      <rPr>
        <sz val="10"/>
        <color theme="1"/>
        <rFont val="Calibri"/>
        <family val="2"/>
        <scheme val="minor"/>
      </rPr>
      <t>.</t>
    </r>
  </si>
  <si>
    <t>-</t>
  </si>
  <si>
    <t>L1.</t>
  </si>
  <si>
    <t>A1.</t>
  </si>
  <si>
    <t>A3.</t>
  </si>
  <si>
    <t>B2.</t>
  </si>
  <si>
    <t>B3.</t>
  </si>
  <si>
    <t>B4.</t>
  </si>
  <si>
    <t>Table:</t>
  </si>
  <si>
    <t>D2.</t>
  </si>
  <si>
    <t>D3.</t>
  </si>
  <si>
    <t>D4.</t>
  </si>
  <si>
    <t>E1.</t>
  </si>
  <si>
    <t>E2.</t>
  </si>
  <si>
    <t>E3.</t>
  </si>
  <si>
    <t>E4.</t>
  </si>
  <si>
    <t>E6.</t>
  </si>
  <si>
    <t>E7.</t>
  </si>
  <si>
    <t>F1.</t>
  </si>
  <si>
    <t>F2.</t>
  </si>
  <si>
    <t>F3.</t>
  </si>
  <si>
    <t>F4.</t>
  </si>
  <si>
    <t>F5.</t>
  </si>
  <si>
    <t>F6.</t>
  </si>
  <si>
    <t>F13.</t>
  </si>
  <si>
    <t>G1.</t>
  </si>
  <si>
    <t>G2.</t>
  </si>
  <si>
    <t>G6.</t>
  </si>
  <si>
    <t>H1.</t>
  </si>
  <si>
    <t>J1.</t>
  </si>
  <si>
    <t>J2.</t>
  </si>
  <si>
    <t>J3.</t>
  </si>
  <si>
    <t>L2.</t>
  </si>
  <si>
    <r>
      <t xml:space="preserve">The Design Aid uses the user-selected AISC shape section properties, which are pulled from the </t>
    </r>
    <r>
      <rPr>
        <b/>
        <u/>
        <sz val="10"/>
        <color theme="1"/>
        <rFont val="Calibri"/>
        <family val="2"/>
        <scheme val="minor"/>
      </rPr>
      <t>Database v16.0 &amp; v16.0H</t>
    </r>
    <r>
      <rPr>
        <sz val="10"/>
        <color theme="1"/>
        <rFont val="Calibri"/>
        <family val="2"/>
        <scheme val="minor"/>
      </rPr>
      <t xml:space="preserve"> tab using VLOOKUP, to calculate strength values.</t>
    </r>
  </si>
  <si>
    <r>
      <rPr>
        <u/>
        <sz val="10"/>
        <color rgb="FFFF0000"/>
        <rFont val="Calibri"/>
        <family val="2"/>
        <scheme val="minor"/>
      </rPr>
      <t>Note</t>
    </r>
    <r>
      <rPr>
        <sz val="10"/>
        <color rgb="FFFF0000"/>
        <rFont val="Calibri"/>
        <family val="2"/>
        <scheme val="minor"/>
      </rPr>
      <t>: The PNA and Z</t>
    </r>
    <r>
      <rPr>
        <vertAlign val="subscript"/>
        <sz val="10"/>
        <color rgb="FFFF0000"/>
        <rFont val="Calibri"/>
        <family val="2"/>
        <scheme val="minor"/>
      </rPr>
      <t>x</t>
    </r>
    <r>
      <rPr>
        <sz val="10"/>
        <color rgb="FFFF0000"/>
        <rFont val="Calibri"/>
        <family val="2"/>
        <scheme val="minor"/>
      </rPr>
      <t xml:space="preserve"> section properties in this tab may have a small difference (&lt;3%) compared to correct values due to assumptions that were made to determine the location of the plastic neutral axis (PNA). If this is unacceptable, PNA and Z</t>
    </r>
    <r>
      <rPr>
        <vertAlign val="subscript"/>
        <sz val="10"/>
        <color rgb="FFFF0000"/>
        <rFont val="Calibri"/>
        <family val="2"/>
        <scheme val="minor"/>
      </rPr>
      <t>x</t>
    </r>
    <r>
      <rPr>
        <sz val="10"/>
        <color rgb="FFFF0000"/>
        <rFont val="Calibri"/>
        <family val="2"/>
        <scheme val="minor"/>
      </rPr>
      <t xml:space="preserve"> can be determined with hand calculations or other methods.</t>
    </r>
  </si>
  <si>
    <r>
      <t>This tab provides automated section property calculations for a built-up I-shaped member reinforced with a single channel cap on its compression flange. The intent is to use this tab in combination with the "</t>
    </r>
    <r>
      <rPr>
        <sz val="10"/>
        <color rgb="FF00B050"/>
        <rFont val="Calibri"/>
        <family val="2"/>
        <scheme val="minor"/>
      </rPr>
      <t>5. Reinforced (Built-Up) Member Strength</t>
    </r>
    <r>
      <rPr>
        <sz val="10"/>
        <color theme="1"/>
        <rFont val="Calibri"/>
        <family val="2"/>
        <scheme val="minor"/>
      </rPr>
      <t xml:space="preserve">" section of the </t>
    </r>
    <r>
      <rPr>
        <b/>
        <u/>
        <sz val="10"/>
        <color rgb="FFC00000"/>
        <rFont val="Calibri"/>
        <family val="2"/>
        <scheme val="minor"/>
      </rPr>
      <t>Design</t>
    </r>
    <r>
      <rPr>
        <sz val="10"/>
        <color theme="1"/>
        <rFont val="Calibri"/>
        <family val="2"/>
        <scheme val="minor"/>
      </rPr>
      <t xml:space="preserve"> tab by entering or copy/pasting calculated section properties.</t>
    </r>
    <r>
      <rPr>
        <u/>
        <sz val="10"/>
        <color rgb="FFFF0000"/>
        <rFont val="Calibri"/>
        <family val="2"/>
        <scheme val="minor"/>
      </rPr>
      <t/>
    </r>
  </si>
  <si>
    <t>Original I-Shaped Member</t>
  </si>
  <si>
    <t>Every section property except for the "Optional Inputs" must be entered to calculate member strength values properly.</t>
  </si>
  <si>
    <r>
      <t>The user can enter unique values for the yield strength, F</t>
    </r>
    <r>
      <rPr>
        <vertAlign val="subscript"/>
        <sz val="10"/>
        <color theme="1"/>
        <rFont val="Calibri"/>
        <family val="2"/>
        <scheme val="minor"/>
      </rPr>
      <t>y</t>
    </r>
    <r>
      <rPr>
        <sz val="10"/>
        <color theme="1"/>
        <rFont val="Calibri"/>
        <family val="2"/>
        <scheme val="minor"/>
      </rPr>
      <t>, and ultimate strength, F</t>
    </r>
    <r>
      <rPr>
        <vertAlign val="subscript"/>
        <sz val="10"/>
        <color theme="1"/>
        <rFont val="Calibri"/>
        <family val="2"/>
        <scheme val="minor"/>
      </rPr>
      <t>u</t>
    </r>
    <r>
      <rPr>
        <sz val="10"/>
        <color theme="1"/>
        <rFont val="Calibri"/>
        <family val="2"/>
        <scheme val="minor"/>
      </rPr>
      <t xml:space="preserve">, for both the original I-shaped section and the reinforcement shape. However, only the </t>
    </r>
    <r>
      <rPr>
        <u/>
        <sz val="10"/>
        <color theme="1"/>
        <rFont val="Calibri"/>
        <family val="2"/>
        <scheme val="minor"/>
      </rPr>
      <t>least</t>
    </r>
    <r>
      <rPr>
        <sz val="10"/>
        <color theme="1"/>
        <rFont val="Calibri"/>
        <family val="2"/>
        <scheme val="minor"/>
      </rPr>
      <t xml:space="preserve"> F</t>
    </r>
    <r>
      <rPr>
        <vertAlign val="subscript"/>
        <sz val="10"/>
        <color theme="1"/>
        <rFont val="Calibri"/>
        <family val="2"/>
        <scheme val="minor"/>
      </rPr>
      <t>y</t>
    </r>
    <r>
      <rPr>
        <sz val="10"/>
        <color theme="1"/>
        <rFont val="Calibri"/>
        <family val="2"/>
        <scheme val="minor"/>
      </rPr>
      <t xml:space="preserve"> and F</t>
    </r>
    <r>
      <rPr>
        <vertAlign val="subscript"/>
        <sz val="10"/>
        <color theme="1"/>
        <rFont val="Calibri"/>
        <family val="2"/>
        <scheme val="minor"/>
      </rPr>
      <t>u</t>
    </r>
    <r>
      <rPr>
        <sz val="10"/>
        <color theme="1"/>
        <rFont val="Calibri"/>
        <family val="2"/>
        <scheme val="minor"/>
      </rPr>
      <t xml:space="preserve"> values are used for strength calculations.</t>
    </r>
  </si>
  <si>
    <t>Reinforcement Shape Description</t>
  </si>
  <si>
    <r>
      <rPr>
        <u/>
        <sz val="10"/>
        <color theme="1"/>
        <rFont val="Calibri"/>
        <family val="2"/>
        <scheme val="minor"/>
      </rPr>
      <t>Proportions of Beams and Girders</t>
    </r>
    <r>
      <rPr>
        <sz val="10"/>
        <color theme="1"/>
        <rFont val="Calibri"/>
        <family val="2"/>
        <scheme val="minor"/>
      </rPr>
      <t>:</t>
    </r>
  </si>
  <si>
    <r>
      <rPr>
        <u/>
        <sz val="10"/>
        <color theme="1"/>
        <rFont val="Calibri"/>
        <family val="2"/>
        <scheme val="minor"/>
      </rPr>
      <t>Partial-Length Reinforcement</t>
    </r>
    <r>
      <rPr>
        <sz val="10"/>
        <color theme="1"/>
        <rFont val="Calibri"/>
        <family val="2"/>
        <scheme val="minor"/>
      </rPr>
      <t>:</t>
    </r>
  </si>
  <si>
    <t>The length of reinforcement, A, must be manually-entered by the user. This length, A, must be equal to or less than the total length, L, of the built-up member, which is entered in part 1 "Design Inputs" of the Design Aid.</t>
  </si>
  <si>
    <r>
      <t xml:space="preserve">For partial-length flexural reinforcement, the Design Aid calculates the factor </t>
    </r>
    <r>
      <rPr>
        <sz val="10"/>
        <color theme="1"/>
        <rFont val="Calibri"/>
        <family val="2"/>
      </rPr>
      <t>β</t>
    </r>
    <r>
      <rPr>
        <vertAlign val="subscript"/>
        <sz val="10"/>
        <color theme="1"/>
        <rFont val="Calibri"/>
        <family val="2"/>
        <scheme val="minor"/>
      </rPr>
      <t>LTB</t>
    </r>
    <r>
      <rPr>
        <sz val="10"/>
        <color theme="1"/>
        <rFont val="Calibri"/>
        <family val="2"/>
        <scheme val="minor"/>
      </rPr>
      <t>, which must be multiplied by the lateral-torsional buckling (LTB) modification factor, C</t>
    </r>
    <r>
      <rPr>
        <vertAlign val="subscript"/>
        <sz val="10"/>
        <color theme="1"/>
        <rFont val="Calibri"/>
        <family val="2"/>
        <scheme val="minor"/>
      </rPr>
      <t>b</t>
    </r>
    <r>
      <rPr>
        <sz val="10"/>
        <color theme="1"/>
        <rFont val="Calibri"/>
        <family val="2"/>
        <scheme val="minor"/>
      </rPr>
      <t>. This reduces the inelastic LTB strength of the flexural member. If the member is fully-braced against LTB, then the strength reduction is not applicable. Refer to the "</t>
    </r>
    <r>
      <rPr>
        <b/>
        <u/>
        <sz val="10"/>
        <rFont val="Calibri"/>
        <family val="2"/>
        <scheme val="minor"/>
      </rPr>
      <t>Stepped Beam - Modified C</t>
    </r>
    <r>
      <rPr>
        <b/>
        <u/>
        <vertAlign val="subscript"/>
        <sz val="10"/>
        <rFont val="Calibri"/>
        <family val="2"/>
        <scheme val="minor"/>
      </rPr>
      <t>b</t>
    </r>
    <r>
      <rPr>
        <sz val="10"/>
        <color theme="1"/>
        <rFont val="Calibri"/>
        <family val="2"/>
        <scheme val="minor"/>
      </rPr>
      <t>" tab for additional information.</t>
    </r>
  </si>
  <si>
    <r>
      <t>For partial-length compressive reinforcement, the Design Aid calculates the ratio of reinforced to unreinforced moment of inertia, I</t>
    </r>
    <r>
      <rPr>
        <vertAlign val="subscript"/>
        <sz val="10"/>
        <color theme="1"/>
        <rFont val="Calibri"/>
        <family val="2"/>
        <scheme val="minor"/>
      </rPr>
      <t>2</t>
    </r>
    <r>
      <rPr>
        <sz val="10"/>
        <color theme="1"/>
        <rFont val="Calibri"/>
        <family val="2"/>
        <scheme val="minor"/>
      </rPr>
      <t>/I</t>
    </r>
    <r>
      <rPr>
        <vertAlign val="subscript"/>
        <sz val="10"/>
        <color theme="1"/>
        <rFont val="Calibri"/>
        <family val="2"/>
        <scheme val="minor"/>
      </rPr>
      <t>1</t>
    </r>
    <r>
      <rPr>
        <sz val="10"/>
        <color theme="1"/>
        <rFont val="Calibri"/>
        <family val="2"/>
        <scheme val="minor"/>
      </rPr>
      <t>, and the ratio of reinforcement length to total member length, A/L. The user must take these values and apply them in the "</t>
    </r>
    <r>
      <rPr>
        <b/>
        <u/>
        <sz val="10"/>
        <color theme="1"/>
        <rFont val="Calibri"/>
        <family val="2"/>
        <scheme val="minor"/>
      </rPr>
      <t>Stepped Column - Modified K</t>
    </r>
    <r>
      <rPr>
        <sz val="10"/>
        <color theme="1"/>
        <rFont val="Calibri"/>
        <family val="2"/>
        <scheme val="minor"/>
      </rPr>
      <t>" tab to determine a modified effective length factor, K, from the provided tables. The new K value can be entered in the section properties portion of part 5 "Reinforced (Built-Up) Member Strength." When the K value is greater than 1.0, the effective length for buckling increases, which reduces the flexural buckling strength of the compression member.</t>
    </r>
  </si>
  <si>
    <t>The "[F13-2] Proportions of Beams and Girders" part of the Design Aid provides geometric limit checks according to the requirements of AISC 360-22 Section F13-2.</t>
  </si>
  <si>
    <t>The "Partial-Length Reinforcement" part of the Design Aid provides supplemental information to determine the strength-reducing effects of having partial-length reinforcement for flexural or compression members.</t>
  </si>
  <si>
    <t>The "Optional Inputs" part of the Design Aid include section properties that can be manually entered to overwrite background calculations. The background calculations for these section properties are based off the mandatory user-entered section properties and shape dimensions, and may be conservative. For more accurate results, the "Optional Inputs" should be entered. If they are not applicable or if the user is okay with some level of conservatism, then the "Optional Inputs" should be left blank.</t>
  </si>
  <si>
    <r>
      <t xml:space="preserve">To avoid unintentional modification, each tab in this spreadsheet is protected under Excel's "Review" tab. There is </t>
    </r>
    <r>
      <rPr>
        <u/>
        <sz val="10"/>
        <color theme="1"/>
        <rFont val="Calibri"/>
        <family val="2"/>
        <scheme val="minor"/>
      </rPr>
      <t>no password</t>
    </r>
    <r>
      <rPr>
        <sz val="10"/>
        <color theme="1"/>
        <rFont val="Calibri"/>
        <family val="2"/>
        <scheme val="minor"/>
      </rPr>
      <t>. Simply unprotect the sheet to make adjustments to protected cells. There are also many hidden rows containing background calculations in the spreadsheet. These can be viewed by unhiding the rows. The user is welcome to hide or unhide any combination of rows in this spreadsheet to suite their preference.</t>
    </r>
  </si>
  <si>
    <r>
      <t xml:space="preserve">Structural steel design with AISC </t>
    </r>
    <r>
      <rPr>
        <i/>
        <sz val="10"/>
        <color theme="1"/>
        <rFont val="Calibri"/>
        <family val="2"/>
        <scheme val="minor"/>
      </rPr>
      <t>Specification</t>
    </r>
    <r>
      <rPr>
        <sz val="10"/>
        <color theme="1"/>
        <rFont val="Calibri"/>
        <family val="2"/>
        <scheme val="minor"/>
      </rPr>
      <t xml:space="preserve"> editions prior to ANSI/AISC 360-22. (Note: The equations used in the Design Aid are the same or nearly the same as  ANSI/AISC 360-16.)</t>
    </r>
  </si>
  <si>
    <r>
      <t xml:space="preserve">The Design Aid </t>
    </r>
    <r>
      <rPr>
        <u/>
        <sz val="10"/>
        <color theme="1"/>
        <rFont val="Calibri"/>
        <family val="2"/>
        <scheme val="minor"/>
      </rPr>
      <t>does not</t>
    </r>
    <r>
      <rPr>
        <sz val="10"/>
        <color theme="1"/>
        <rFont val="Calibri"/>
        <family val="2"/>
        <scheme val="minor"/>
      </rPr>
      <t xml:space="preserve"> include or consider the following topics:</t>
    </r>
  </si>
  <si>
    <r>
      <t xml:space="preserve">The Design Aid was developed according to the following sections from the 2022 AISC </t>
    </r>
    <r>
      <rPr>
        <i/>
        <sz val="10"/>
        <color theme="1"/>
        <rFont val="Calibri"/>
        <family val="2"/>
        <scheme val="minor"/>
      </rPr>
      <t>Specification for Structural Steel Buildings</t>
    </r>
    <r>
      <rPr>
        <sz val="10"/>
        <color theme="1"/>
        <rFont val="Calibri"/>
        <family val="2"/>
        <scheme val="minor"/>
      </rPr>
      <t xml:space="preserve"> (ANSI/AISC 360-22):</t>
    </r>
  </si>
  <si>
    <r>
      <t xml:space="preserve">If you find an error or have a question regarding this Design Aid, please email </t>
    </r>
    <r>
      <rPr>
        <u/>
        <sz val="10"/>
        <color rgb="FF0000FF"/>
        <rFont val="Calibri"/>
        <family val="2"/>
        <scheme val="minor"/>
      </rPr>
      <t>steel.design.aid@gmail.com</t>
    </r>
    <r>
      <rPr>
        <sz val="10"/>
        <color theme="1"/>
        <rFont val="Calibri"/>
        <family val="2"/>
        <scheme val="minor"/>
      </rPr>
      <t>.</t>
    </r>
  </si>
  <si>
    <r>
      <rPr>
        <u/>
        <sz val="10"/>
        <rFont val="Calibri"/>
        <family val="2"/>
        <scheme val="minor"/>
      </rPr>
      <t>Note</t>
    </r>
    <r>
      <rPr>
        <sz val="10"/>
        <rFont val="Calibri"/>
        <family val="2"/>
        <scheme val="minor"/>
      </rPr>
      <t>: Section properties for built-up I-shaped plate girders can be calculated by leaving the cover plate dimensions blank (this tab only).</t>
    </r>
  </si>
  <si>
    <t>Flexural Pre-Load &amp; Stabilizing Reinforcement</t>
  </si>
  <si>
    <t>W12X40 Corroded</t>
  </si>
  <si>
    <r>
      <t>The intent of the variable y</t>
    </r>
    <r>
      <rPr>
        <vertAlign val="subscript"/>
        <sz val="10"/>
        <color theme="1"/>
        <rFont val="Calibri"/>
        <family val="2"/>
        <scheme val="minor"/>
      </rPr>
      <t>stiff</t>
    </r>
    <r>
      <rPr>
        <sz val="10"/>
        <color theme="1"/>
        <rFont val="Calibri"/>
        <family val="2"/>
        <scheme val="minor"/>
      </rPr>
      <t xml:space="preserve"> (distance to horizontal web stiffener) is to allow the user to account for a decreased web width-to-thickness ratio if a horizontal web stiffener is present along the length of the member. It can also account for the case of an I-shaped beam reinforced with a WT-shape on one flange. If this variable is left blank, the web width-to-thickness ratio will be based on the total member depth, which may be conservative in some instances. Entering a positive value for y</t>
    </r>
    <r>
      <rPr>
        <vertAlign val="subscript"/>
        <sz val="10"/>
        <color theme="1"/>
        <rFont val="Calibri"/>
        <family val="2"/>
        <scheme val="minor"/>
      </rPr>
      <t>stiff</t>
    </r>
    <r>
      <rPr>
        <sz val="10"/>
        <color theme="1"/>
        <rFont val="Calibri"/>
        <family val="2"/>
        <scheme val="minor"/>
      </rPr>
      <t xml:space="preserve"> allows to user to adjust the web width-to-thickness ratio and other variables such as h</t>
    </r>
    <r>
      <rPr>
        <vertAlign val="subscript"/>
        <sz val="10"/>
        <color theme="1"/>
        <rFont val="Calibri"/>
        <family val="2"/>
        <scheme val="minor"/>
      </rPr>
      <t>o</t>
    </r>
    <r>
      <rPr>
        <sz val="10"/>
        <color theme="1"/>
        <rFont val="Calibri"/>
        <family val="2"/>
        <scheme val="minor"/>
      </rPr>
      <t>, which is the distance between flange centroids.</t>
    </r>
  </si>
  <si>
    <r>
      <t>The intent of the variable d</t>
    </r>
    <r>
      <rPr>
        <vertAlign val="subscript"/>
        <sz val="10"/>
        <color theme="1"/>
        <rFont val="Calibri"/>
        <family val="2"/>
        <scheme val="minor"/>
      </rPr>
      <t>shear</t>
    </r>
    <r>
      <rPr>
        <sz val="10"/>
        <color theme="1"/>
        <rFont val="Calibri"/>
        <family val="2"/>
        <scheme val="minor"/>
      </rPr>
      <t xml:space="preserve"> (depth at maximum shear location) is to allow the user to control the actual member web depth at the location of maximum strong axis shear force. This is useful in cases where the member depth varies along its long, such as with partial-length reinforcement. If this variable is left blank, the available strong axis shear strength will be based on the input for total depth, d, instead.</t>
    </r>
  </si>
  <si>
    <r>
      <rPr>
        <u/>
        <sz val="10"/>
        <color theme="1"/>
        <rFont val="Calibri"/>
        <family val="2"/>
        <scheme val="minor"/>
      </rPr>
      <t>Flexural Pre-Load &amp; Stabilizing Reinforcement</t>
    </r>
    <r>
      <rPr>
        <sz val="10"/>
        <color theme="1"/>
        <rFont val="Calibri"/>
        <family val="2"/>
        <scheme val="minor"/>
      </rPr>
      <t>:</t>
    </r>
  </si>
  <si>
    <r>
      <t>Any yield strength, F</t>
    </r>
    <r>
      <rPr>
        <vertAlign val="subscript"/>
        <sz val="10"/>
        <color theme="1"/>
        <rFont val="Calibri"/>
        <family val="2"/>
        <scheme val="minor"/>
      </rPr>
      <t>y</t>
    </r>
    <r>
      <rPr>
        <sz val="10"/>
        <color theme="1"/>
        <rFont val="Calibri"/>
        <family val="2"/>
        <scheme val="minor"/>
      </rPr>
      <t>, and ultimate strength, F</t>
    </r>
    <r>
      <rPr>
        <vertAlign val="subscript"/>
        <sz val="10"/>
        <color theme="1"/>
        <rFont val="Calibri"/>
        <family val="2"/>
        <scheme val="minor"/>
      </rPr>
      <t>u</t>
    </r>
    <r>
      <rPr>
        <sz val="10"/>
        <color theme="1"/>
        <rFont val="Calibri"/>
        <family val="2"/>
        <scheme val="minor"/>
      </rPr>
      <t>, values can be entered.</t>
    </r>
  </si>
  <si>
    <t>Wind (or Tornado) Load</t>
  </si>
  <si>
    <t>Concentrated Wind (or Tornado) Load</t>
  </si>
  <si>
    <r>
      <t>q</t>
    </r>
    <r>
      <rPr>
        <vertAlign val="subscript"/>
        <sz val="10"/>
        <color theme="1"/>
        <rFont val="Calibri"/>
        <family val="2"/>
        <scheme val="minor"/>
      </rPr>
      <t>D</t>
    </r>
  </si>
  <si>
    <r>
      <t>q</t>
    </r>
    <r>
      <rPr>
        <vertAlign val="subscript"/>
        <sz val="10"/>
        <color theme="1"/>
        <rFont val="Calibri"/>
        <family val="2"/>
        <scheme val="minor"/>
      </rPr>
      <t>L</t>
    </r>
  </si>
  <si>
    <r>
      <t>q</t>
    </r>
    <r>
      <rPr>
        <vertAlign val="subscript"/>
        <sz val="10"/>
        <color theme="1"/>
        <rFont val="Calibri"/>
        <family val="2"/>
        <scheme val="minor"/>
      </rPr>
      <t>S</t>
    </r>
  </si>
  <si>
    <r>
      <t>q</t>
    </r>
    <r>
      <rPr>
        <vertAlign val="subscript"/>
        <sz val="10"/>
        <color theme="1"/>
        <rFont val="Calibri"/>
        <family val="2"/>
        <scheme val="minor"/>
      </rPr>
      <t>Lr or R</t>
    </r>
  </si>
  <si>
    <r>
      <t>q</t>
    </r>
    <r>
      <rPr>
        <vertAlign val="subscript"/>
        <sz val="10"/>
        <color theme="1"/>
        <rFont val="Calibri"/>
        <family val="2"/>
        <scheme val="minor"/>
      </rPr>
      <t>W</t>
    </r>
  </si>
  <si>
    <t>Full-Length Uniform Pressure Load</t>
  </si>
  <si>
    <t>[AISC Table 3-23.1]</t>
  </si>
  <si>
    <t>[AISC Table 3-23.7]</t>
  </si>
  <si>
    <t>[AISC Table 3-23.9]</t>
  </si>
  <si>
    <t>Design Aid Scope</t>
  </si>
  <si>
    <t>This tab provides the main Design Aid for calculating section properties and strength values for members with original, reduced (corroded), and reinforced (built-up) section properties according to AISC 360-22. The following AISC shapes can be analyzed: W, M, S, HP, C, and MC-shapes. Both the Load and Resistance Factor Design (LRFD) and Allowable Strength Design (ASD) methods of design are available from a dropdown. The ASCE 7-16 and ASCE 7-22 load combinations are available from a dropdown to calculate required strength values. Deflection is calculated. The following member strength values are calculated: major axis shear, minor axis shear, major axis bending, minor axis bending, compression, and tension. Combined bending and axial forces are considered. The width-to-thickness ratios of flanges and webs are considered to determine if the elements are compact, noncompact, or slender for member strength calculations.</t>
  </si>
  <si>
    <t>The user can enter custom load demands (which must be combined and factored for either LRFD or ASD by the user) under the "User Input Custom Load Demands" subsection. These are entered as required major axis shear, minor axis shear, major axis bending, minor axis bending, compressive, or tensile strength.</t>
  </si>
  <si>
    <t>The demands from the various types of loads entered by the user are superimposed and considered within LRFD or ASD load combinations in the background. The final demands are presented under the "Total Required Strength (Superimposed)" subsection.</t>
  </si>
  <si>
    <r>
      <rPr>
        <u/>
        <sz val="10"/>
        <color theme="1"/>
        <rFont val="Calibri"/>
        <family val="2"/>
        <scheme val="minor"/>
      </rPr>
      <t>Uniformly Distributed Load</t>
    </r>
    <r>
      <rPr>
        <sz val="10"/>
        <color theme="1"/>
        <rFont val="Calibri"/>
        <family val="2"/>
        <scheme val="minor"/>
      </rPr>
      <t>:</t>
    </r>
  </si>
  <si>
    <r>
      <rPr>
        <u/>
        <sz val="10"/>
        <color theme="1"/>
        <rFont val="Calibri"/>
        <family val="2"/>
        <scheme val="minor"/>
      </rPr>
      <t>Concentrated Load at Midspan</t>
    </r>
    <r>
      <rPr>
        <sz val="10"/>
        <color theme="1"/>
        <rFont val="Calibri"/>
        <family val="2"/>
        <scheme val="minor"/>
      </rPr>
      <t>:</t>
    </r>
  </si>
  <si>
    <r>
      <rPr>
        <u/>
        <sz val="10"/>
        <color theme="1"/>
        <rFont val="Calibri"/>
        <family val="2"/>
        <scheme val="minor"/>
      </rPr>
      <t>Two Equal Concentrated Loads Symmetrically Placed</t>
    </r>
    <r>
      <rPr>
        <sz val="10"/>
        <color theme="1"/>
        <rFont val="Calibri"/>
        <family val="2"/>
        <scheme val="minor"/>
      </rPr>
      <t>:</t>
    </r>
  </si>
  <si>
    <t>Deflection Criteria (Service Level Loads)</t>
  </si>
  <si>
    <r>
      <t xml:space="preserve">A few load demand scenarios are provided for analysis of simple span beams. The user can enter full-length uniform pressure loads, concentrated loads at midspan, and two equal, symmetrical concentrated loads. The following load types can be entered for those scenarios : dead load, live load, roof live load, snow load, rain load, and wind (or tornado) load. These load scenarios are the only way to calculate deflection in the </t>
    </r>
    <r>
      <rPr>
        <b/>
        <u/>
        <sz val="10"/>
        <color rgb="FFC00000"/>
        <rFont val="Calibri"/>
        <family val="2"/>
        <scheme val="minor"/>
      </rPr>
      <t>Design</t>
    </r>
    <r>
      <rPr>
        <sz val="10"/>
        <color theme="1"/>
        <rFont val="Calibri"/>
        <family val="2"/>
        <scheme val="minor"/>
      </rPr>
      <t xml:space="preserve"> tab.</t>
    </r>
  </si>
  <si>
    <r>
      <t>Minimum Required I</t>
    </r>
    <r>
      <rPr>
        <vertAlign val="subscript"/>
        <sz val="10"/>
        <color theme="1"/>
        <rFont val="Calibri"/>
        <family val="2"/>
        <scheme val="minor"/>
      </rPr>
      <t>x</t>
    </r>
    <r>
      <rPr>
        <sz val="10"/>
        <color theme="1"/>
        <rFont val="Calibri"/>
        <family val="2"/>
        <scheme val="minor"/>
      </rPr>
      <t xml:space="preserve"> for Deflection</t>
    </r>
  </si>
  <si>
    <t>Only weld design is considered. The design of reinforcement attachment with structural bolts is not considered in the Design Aid.</t>
  </si>
  <si>
    <t>Further information is presented by Dowswell (2013) and (2016).</t>
  </si>
  <si>
    <t>Prescriptive requirements for reinforcement attachment are provided in AISC 360-22 Sections D4, E6, F13.3, J2.2, J3.5, and J3.8. The Design Aid considers these requirements in the determination of minimum required forces, weld size and lengths, and intermittent weld spacing.</t>
  </si>
  <si>
    <t>This part of the Design Aid assists with the design of reinforcement attachment, or connection, to the original I-shaped member. Reinforcement attachment can be designed for both the top flange and bottom flange. If the reinforcement is to be located somewhere other than one or both of the flanges, such as the web, then the user must design the attachment outside of the Design Aid.</t>
  </si>
  <si>
    <r>
      <t xml:space="preserve">Brockenbrough, R. L., &amp; Schuster, J. S. (2018). </t>
    </r>
    <r>
      <rPr>
        <i/>
        <sz val="10"/>
        <color theme="1"/>
        <rFont val="Calibri"/>
        <family val="2"/>
        <scheme val="minor"/>
      </rPr>
      <t>Design Guide 15: Rehabilitation and Retrofit, Second Edition</t>
    </r>
    <r>
      <rPr>
        <sz val="10"/>
        <color theme="1"/>
        <rFont val="Calibri"/>
        <family val="2"/>
        <scheme val="minor"/>
      </rPr>
      <t>. Chicago, IL: American Institute of Steel Construction.</t>
    </r>
  </si>
  <si>
    <r>
      <t xml:space="preserve">Reinforcement design examples are presented in AISC </t>
    </r>
    <r>
      <rPr>
        <i/>
        <sz val="10"/>
        <color theme="1"/>
        <rFont val="Calibri"/>
        <family val="2"/>
        <scheme val="minor"/>
      </rPr>
      <t>Design Guide 15: Rehabilitation and Retrofit, 2nd Ed</t>
    </r>
    <r>
      <rPr>
        <sz val="10"/>
        <color theme="1"/>
        <rFont val="Calibri"/>
        <family val="2"/>
        <scheme val="minor"/>
      </rPr>
      <t>. (Brockenbrough &amp; Schuster, 2018).</t>
    </r>
  </si>
  <si>
    <t>End anchor forces must be resisted by full-length welds (or closely spaced slip critical bolts) at both ends of the reinforcement. Shear flow (shear force per unit length) is typically resisted by intermittent, or stitch, welds (or further spaced slip critical bolts) along the length of the reinforcement.</t>
  </si>
  <si>
    <t>The user must enter the fillet weld size and length (and pitch, or spacing, for intermittent welds) to meet or exceed strength and prescriptive requirements, which are provided in the Design Aid.</t>
  </si>
  <si>
    <t>The Design Aid assumes that reinforcement shapes are placed symmetrically with respect to the I-shaped section.</t>
  </si>
  <si>
    <t>Depending on the user input values for reinforcement geometry, the Design Aid calculates the required shear flow and end anchor force that must be resisted. If there is an axial compression or tension demand on the member (manually entered by the user in part 2 "Loads &amp; Deflection Criteria") then the Design Aid will automatically superimpose the reinforcement's portion of the axial demands with the end anchor force from flexural demands.</t>
  </si>
  <si>
    <r>
      <t>The Design Aid will produce a "</t>
    </r>
    <r>
      <rPr>
        <sz val="10"/>
        <color rgb="FFC00000"/>
        <rFont val="Calibri"/>
        <family val="2"/>
        <scheme val="minor"/>
      </rPr>
      <t>FALSE</t>
    </r>
    <r>
      <rPr>
        <sz val="10"/>
        <color theme="1"/>
        <rFont val="Calibri"/>
        <family val="2"/>
        <scheme val="minor"/>
      </rPr>
      <t>" reading in the "[H1] Combined Bending &amp; Axial Utilization" cell if the user enters both a required compressive strength and required tensile strength value simultaneously. Only one axial demand can be checked at a time.</t>
    </r>
  </si>
  <si>
    <t>The user must manually enter the location of the theoretical cutoff point from the member end (assuming centered reinforcement). The theoretical cutoff point is the location or locations where the values for the required strength and available strength of a member are equal. For bending moment, the theoretical cutoff points are the locations where the two moment diagram lines or curves for required bending strength and available bending strength meet, or intersect, as presented in the figure below. The red "x" symbol in the figure indicates the locations of the theoretical cutoff points. In other words, these are the locations where, in theory, the reinforcement can be stopped (cutoff) because the required strength has been achieved at those points. However, AISC 360-22 Section F13.3 requires additional length beyond the theoretical cutoff point to develop the reinforcement up to the increased bending strength. The Design Aid achieves this by presenting the "reinforcement development length" as the greater of the weld length needed to meet or exceed the end anchor force, and the weld length needed to meet AISC prescriptive requirements for shear lag provided in Section F13.3.</t>
  </si>
  <si>
    <t>Sort by:</t>
  </si>
  <si>
    <t>This tab provides background and reference information for the Design Aid, including its features and limitations.</t>
  </si>
  <si>
    <r>
      <rPr>
        <b/>
        <u/>
        <sz val="12"/>
        <color rgb="FFC00000"/>
        <rFont val="Calibri"/>
        <family val="2"/>
        <scheme val="minor"/>
      </rPr>
      <t>Design</t>
    </r>
    <r>
      <rPr>
        <b/>
        <sz val="12"/>
        <color theme="1"/>
        <rFont val="Calibri"/>
        <family val="2"/>
        <scheme val="minor"/>
      </rPr>
      <t xml:space="preserve"> Tab</t>
    </r>
  </si>
  <si>
    <r>
      <t xml:space="preserve">This structural steel Design Aid was developed according to the American Institute of Steel Construction (AISC) 2022 Specification for Structural Steel Buildings (ANSI/AISC 360-22). The design aid is not endorsed, affiliated with, or supported by AISC or any other organization. It was developed independently by one individual for a Civil Engineering M.S. graduate project. It is intended to be used by practicing engineers experienced with and competent in structural steel design according to AISC </t>
    </r>
    <r>
      <rPr>
        <i/>
        <sz val="10"/>
        <color theme="1"/>
        <rFont val="Calibri"/>
        <family val="2"/>
        <scheme val="minor"/>
      </rPr>
      <t>Specification for Structural Steel Buildings</t>
    </r>
    <r>
      <rPr>
        <sz val="10"/>
        <color theme="1"/>
        <rFont val="Calibri"/>
        <family val="2"/>
        <scheme val="minor"/>
      </rPr>
      <t>. Use of the design aid by an individual or organization not familiar or competent in the subject matter is at the risk of the user. While significant attempts were made to ensure the accuracy and reliability of this design aid, no claims are made of the tool being completely error-free. All contents within the design aid are provided free of cost and without guarantee. The original developer of this design aid shall not accept liability for any errors, omissions, or improper usage of the tool. The user of this design aid accepts any and all potential liability and risks associated with its use. Any modifications, whether deletions, insertions, or alterations, made to the design aid are at the sole risk and responsibility of the user. The design aid was uploaded to steeltools.org and shared free of cost.</t>
    </r>
  </si>
  <si>
    <r>
      <t xml:space="preserve">Seaburg, P.A. and Carter, C.J. (1997). </t>
    </r>
    <r>
      <rPr>
        <i/>
        <sz val="10"/>
        <rFont val="Calibri"/>
        <family val="2"/>
        <scheme val="minor"/>
      </rPr>
      <t>Design Guide 9: Torsional Analysis of Structural Steel Members.</t>
    </r>
    <r>
      <rPr>
        <sz val="10"/>
        <rFont val="Calibri"/>
        <family val="2"/>
        <scheme val="minor"/>
      </rPr>
      <t xml:space="preserve"> Chicago, IL: American Institute of Steel Construction.</t>
    </r>
  </si>
  <si>
    <r>
      <t xml:space="preserve">The following commentary provides additional, comprehensive information about the Design Aid's built-in features, assumptions, and other considerations that may not be apparent at first glance. It is intended to answer questions about functionality and background calculations in an attempt to provide transparency and limit the spreadsheet "black box" effect. If other questions arise, the user may need to unhide background cells and review the equations with respect to the AISC </t>
    </r>
    <r>
      <rPr>
        <i/>
        <sz val="10"/>
        <color theme="1"/>
        <rFont val="Calibri"/>
        <family val="2"/>
        <scheme val="minor"/>
      </rPr>
      <t>Specification</t>
    </r>
    <r>
      <rPr>
        <sz val="10"/>
        <color theme="1"/>
        <rFont val="Calibri"/>
        <family val="2"/>
        <scheme val="minor"/>
      </rPr>
      <t xml:space="preserve"> and other cited references.</t>
    </r>
  </si>
  <si>
    <t>Other materials besides carbon and high-strength low-alloy structural steels.</t>
  </si>
  <si>
    <r>
      <t xml:space="preserve">The "Flexural Pre-Load &amp; Stabilizing Reinforcement" part of the Design Aid allows the user to consider the effects of bending moment demands (pre-load) that exist at the time of reinforcement. Pre-load can be neglected if the compression flange is fully braced against LTB. If the compression flange is unbraced and </t>
    </r>
    <r>
      <rPr>
        <u/>
        <sz val="10"/>
        <color theme="1"/>
        <rFont val="Calibri"/>
        <family val="2"/>
        <scheme val="minor"/>
      </rPr>
      <t>is not</t>
    </r>
    <r>
      <rPr>
        <sz val="10"/>
        <color theme="1"/>
        <rFont val="Calibri"/>
        <family val="2"/>
        <scheme val="minor"/>
      </rPr>
      <t xml:space="preserve"> reinforced, then pre-load must be considered. If the compression flange is unbraced and </t>
    </r>
    <r>
      <rPr>
        <u/>
        <sz val="10"/>
        <color theme="1"/>
        <rFont val="Calibri"/>
        <family val="2"/>
        <scheme val="minor"/>
      </rPr>
      <t>is</t>
    </r>
    <r>
      <rPr>
        <sz val="10"/>
        <color theme="1"/>
        <rFont val="Calibri"/>
        <family val="2"/>
        <scheme val="minor"/>
      </rPr>
      <t xml:space="preserve"> reinforced, then pre-load may be neglected depending on the value of the compression flange radius of gyration. If the reinforced compression flange radius of gyration, r</t>
    </r>
    <r>
      <rPr>
        <vertAlign val="subscript"/>
        <sz val="10"/>
        <color theme="1"/>
        <rFont val="Calibri"/>
        <family val="2"/>
        <scheme val="minor"/>
      </rPr>
      <t>tr</t>
    </r>
    <r>
      <rPr>
        <sz val="10"/>
        <color theme="1"/>
        <rFont val="Calibri"/>
        <family val="2"/>
        <scheme val="minor"/>
      </rPr>
      <t>, is greater than or equal to 85% of the unreinforced compression flange radius of gyration, r</t>
    </r>
    <r>
      <rPr>
        <vertAlign val="subscript"/>
        <sz val="10"/>
        <color theme="1"/>
        <rFont val="Calibri"/>
        <family val="2"/>
        <scheme val="minor"/>
      </rPr>
      <t>t0</t>
    </r>
    <r>
      <rPr>
        <sz val="10"/>
        <color theme="1"/>
        <rFont val="Calibri"/>
        <family val="2"/>
        <scheme val="minor"/>
      </rPr>
      <t>, then pre-load may be neglected.</t>
    </r>
  </si>
  <si>
    <r>
      <t>The Design Aid considers the above requirements and provides the user with a result of either "Yes" or "No" as a response to the question, "Does pre-load need to be considered?" If the result is "Yes", the user must input a positive value for the pre-load bending moment, M</t>
    </r>
    <r>
      <rPr>
        <vertAlign val="subscript"/>
        <sz val="10"/>
        <color theme="1"/>
        <rFont val="Calibri"/>
        <family val="2"/>
        <scheme val="minor"/>
      </rPr>
      <t>xi</t>
    </r>
    <r>
      <rPr>
        <sz val="10"/>
        <color theme="1"/>
        <rFont val="Calibri"/>
        <family val="2"/>
        <scheme val="minor"/>
      </rPr>
      <t>, which will adjust the pre-load compression flange stress, F'</t>
    </r>
    <r>
      <rPr>
        <vertAlign val="subscript"/>
        <sz val="10"/>
        <color theme="1"/>
        <rFont val="Calibri"/>
        <family val="2"/>
        <scheme val="minor"/>
      </rPr>
      <t>L</t>
    </r>
    <r>
      <rPr>
        <sz val="10"/>
        <color theme="1"/>
        <rFont val="Calibri"/>
        <family val="2"/>
        <scheme val="minor"/>
      </rPr>
      <t>. In essence, pre-load increases the residual stress in a member cross-section, which reduces its inelastic lateral-torsional buckling and compression flange local buckling strengths. If pre-load demands are consequential, then temporary load reduction or shoring may be considered before reinforcement. Further information about pre-load is presented by Dowswell (2013).</t>
    </r>
  </si>
  <si>
    <t>Other I-Shaped Members with Compact or Noncompact Webs Bent About their Major Axis</t>
  </si>
  <si>
    <t>Vibration, fatigue, ponding, fire, thermal expansion, drift, stability, structural integrity, and other serviceability topics (besides deflection).</t>
  </si>
  <si>
    <t>Distance to Centroid from Flange</t>
  </si>
  <si>
    <t>Last Updated: 02-07-2025</t>
  </si>
  <si>
    <t>Beam</t>
  </si>
  <si>
    <t>Template</t>
  </si>
  <si>
    <t>ASD</t>
  </si>
  <si>
    <t>1/2" x 10" Bottom Flange 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</si>
</sst>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
    <numFmt numFmtId="167" formatCode="0.00000"/>
    <numFmt numFmtId="168" formatCode="0.0%"/>
  </numFmts>
  <fonts count="82" x14ac:knownFonts="1">
    <font>
      <sz val="11"/>
      <color theme="1"/>
      <name val="Calibri"/>
      <family val="2"/>
      <scheme val="minor"/>
    </font>
    <font>
      <sz val="11"/>
      <color theme="1"/>
      <name val="Calibri"/>
      <family val="2"/>
      <scheme val="minor"/>
    </font>
    <font>
      <b/>
      <sz val="11"/>
      <color rgb="FFFA7D00"/>
      <name val="Calibri"/>
      <family val="2"/>
      <scheme val="minor"/>
    </font>
    <font>
      <sz val="10"/>
      <name val="Arial"/>
      <family val="2"/>
    </font>
    <font>
      <sz val="8"/>
      <name val="Calibri"/>
      <family val="2"/>
      <scheme val="minor"/>
    </font>
    <font>
      <sz val="10"/>
      <color theme="1"/>
      <name val="Calibri"/>
      <family val="2"/>
      <scheme val="minor"/>
    </font>
    <font>
      <b/>
      <sz val="10"/>
      <color theme="1"/>
      <name val="Calibri"/>
      <family val="2"/>
      <scheme val="minor"/>
    </font>
    <font>
      <vertAlign val="subscript"/>
      <sz val="10"/>
      <color theme="1"/>
      <name val="Calibri"/>
      <family val="2"/>
      <scheme val="minor"/>
    </font>
    <font>
      <vertAlign val="superscript"/>
      <sz val="10"/>
      <color theme="1"/>
      <name val="Calibri"/>
      <family val="2"/>
      <scheme val="minor"/>
    </font>
    <font>
      <sz val="10"/>
      <name val="Calibri"/>
      <family val="2"/>
      <scheme val="minor"/>
    </font>
    <font>
      <vertAlign val="subscript"/>
      <sz val="10"/>
      <name val="Calibri"/>
      <family val="2"/>
      <scheme val="minor"/>
    </font>
    <font>
      <vertAlign val="superscript"/>
      <sz val="10"/>
      <name val="Calibri"/>
      <family val="2"/>
      <scheme val="minor"/>
    </font>
    <font>
      <b/>
      <sz val="11"/>
      <color rgb="FF3F3F3F"/>
      <name val="Calibri"/>
      <family val="2"/>
      <scheme val="minor"/>
    </font>
    <font>
      <b/>
      <sz val="10"/>
      <color rgb="FF3F3F3F"/>
      <name val="Calibri"/>
      <family val="2"/>
      <scheme val="minor"/>
    </font>
    <font>
      <b/>
      <sz val="11"/>
      <color rgb="FF0070C0"/>
      <name val="Calibri"/>
      <family val="2"/>
      <scheme val="minor"/>
    </font>
    <font>
      <i/>
      <sz val="10"/>
      <color theme="1"/>
      <name val="Calibri"/>
      <family val="2"/>
      <scheme val="minor"/>
    </font>
    <font>
      <b/>
      <sz val="10"/>
      <color rgb="FFFF0000"/>
      <name val="Calibri"/>
      <family val="2"/>
      <scheme val="minor"/>
    </font>
    <font>
      <b/>
      <sz val="10"/>
      <name val="Calibri"/>
      <family val="2"/>
      <scheme val="minor"/>
    </font>
    <font>
      <b/>
      <i/>
      <sz val="10"/>
      <name val="Calibri"/>
      <family val="2"/>
      <scheme val="minor"/>
    </font>
    <font>
      <b/>
      <i/>
      <vertAlign val="subscript"/>
      <sz val="10"/>
      <name val="Calibri"/>
      <family val="2"/>
      <scheme val="minor"/>
    </font>
    <font>
      <b/>
      <sz val="11"/>
      <color rgb="FF00B050"/>
      <name val="Calibri"/>
      <family val="2"/>
      <scheme val="minor"/>
    </font>
    <font>
      <b/>
      <sz val="11"/>
      <color rgb="FF7030A0"/>
      <name val="Calibri"/>
      <family val="2"/>
      <scheme val="minor"/>
    </font>
    <font>
      <b/>
      <sz val="11"/>
      <color rgb="FFC00000"/>
      <name val="Calibri"/>
      <family val="2"/>
      <scheme val="minor"/>
    </font>
    <font>
      <sz val="10"/>
      <color theme="0" tint="-0.499984740745262"/>
      <name val="Calibri"/>
      <family val="2"/>
      <scheme val="minor"/>
    </font>
    <font>
      <sz val="10"/>
      <color theme="1"/>
      <name val="Calibri"/>
      <family val="2"/>
    </font>
    <font>
      <b/>
      <sz val="12"/>
      <color theme="1"/>
      <name val="Calibri"/>
      <family val="2"/>
      <scheme val="minor"/>
    </font>
    <font>
      <b/>
      <sz val="10"/>
      <color rgb="FF00B050"/>
      <name val="Calibri"/>
      <family val="2"/>
      <scheme val="minor"/>
    </font>
    <font>
      <b/>
      <sz val="10"/>
      <color rgb="FF0070C0"/>
      <name val="Calibri"/>
      <family val="2"/>
      <scheme val="minor"/>
    </font>
    <font>
      <b/>
      <sz val="10"/>
      <color rgb="FFFA7D00"/>
      <name val="Calibri"/>
      <family val="2"/>
      <scheme val="minor"/>
    </font>
    <font>
      <b/>
      <sz val="11"/>
      <color theme="5"/>
      <name val="Calibri"/>
      <family val="2"/>
      <scheme val="minor"/>
    </font>
    <font>
      <b/>
      <vertAlign val="subscript"/>
      <sz val="10"/>
      <color theme="1"/>
      <name val="Calibri"/>
      <family val="2"/>
      <scheme val="minor"/>
    </font>
    <font>
      <b/>
      <sz val="10"/>
      <color theme="8"/>
      <name val="Calibri"/>
      <family val="2"/>
      <scheme val="minor"/>
    </font>
    <font>
      <sz val="10"/>
      <color theme="8"/>
      <name val="Calibri"/>
      <family val="2"/>
      <scheme val="minor"/>
    </font>
    <font>
      <vertAlign val="subscript"/>
      <sz val="10"/>
      <color theme="8"/>
      <name val="Calibri"/>
      <family val="2"/>
      <scheme val="minor"/>
    </font>
    <font>
      <b/>
      <vertAlign val="subscript"/>
      <sz val="10"/>
      <color theme="8"/>
      <name val="Calibri"/>
      <family val="2"/>
      <scheme val="minor"/>
    </font>
    <font>
      <sz val="10"/>
      <color rgb="FF0000FF"/>
      <name val="Calibri"/>
      <family val="2"/>
      <scheme val="minor"/>
    </font>
    <font>
      <b/>
      <sz val="10"/>
      <color rgb="FFC00000"/>
      <name val="Calibri"/>
      <family val="2"/>
      <scheme val="minor"/>
    </font>
    <font>
      <vertAlign val="subscript"/>
      <sz val="10"/>
      <color rgb="FF0000FF"/>
      <name val="Calibri"/>
      <family val="2"/>
      <scheme val="minor"/>
    </font>
    <font>
      <b/>
      <sz val="10"/>
      <color rgb="FF0000FF"/>
      <name val="Calibri"/>
      <family val="2"/>
      <scheme val="minor"/>
    </font>
    <font>
      <sz val="10"/>
      <color rgb="FFC00000"/>
      <name val="Calibri"/>
      <family val="2"/>
      <scheme val="minor"/>
    </font>
    <font>
      <vertAlign val="subscript"/>
      <sz val="10"/>
      <color rgb="FFC00000"/>
      <name val="Calibri"/>
      <family val="2"/>
      <scheme val="minor"/>
    </font>
    <font>
      <sz val="11"/>
      <name val="Calibri"/>
      <family val="2"/>
      <scheme val="minor"/>
    </font>
    <font>
      <vertAlign val="subscript"/>
      <sz val="10"/>
      <color theme="1"/>
      <name val="Calibri"/>
      <family val="2"/>
    </font>
    <font>
      <sz val="10"/>
      <color rgb="FF0000FF"/>
      <name val="Calibri"/>
      <family val="2"/>
    </font>
    <font>
      <sz val="11"/>
      <color rgb="FF3F3F76"/>
      <name val="Calibri"/>
      <family val="2"/>
      <scheme val="minor"/>
    </font>
    <font>
      <b/>
      <sz val="10"/>
      <color rgb="FF3F3F76"/>
      <name val="Calibri"/>
      <family val="2"/>
      <scheme val="minor"/>
    </font>
    <font>
      <i/>
      <sz val="10"/>
      <color theme="2" tint="-0.499984740745262"/>
      <name val="Calibri"/>
      <family val="2"/>
      <scheme val="minor"/>
    </font>
    <font>
      <sz val="12"/>
      <color theme="1"/>
      <name val="Calibri"/>
      <family val="2"/>
    </font>
    <font>
      <sz val="12"/>
      <color rgb="FF0000FF"/>
      <name val="Calibri"/>
      <family val="2"/>
    </font>
    <font>
      <b/>
      <sz val="12"/>
      <name val="Calibri"/>
      <family val="2"/>
      <scheme val="minor"/>
    </font>
    <font>
      <sz val="10"/>
      <color rgb="FFFF0000"/>
      <name val="Calibri"/>
      <family val="2"/>
      <scheme val="minor"/>
    </font>
    <font>
      <u/>
      <sz val="10"/>
      <color theme="1"/>
      <name val="Calibri"/>
      <family val="2"/>
      <scheme val="minor"/>
    </font>
    <font>
      <sz val="10"/>
      <color rgb="FF3F3F3F"/>
      <name val="Calibri"/>
      <family val="2"/>
      <scheme val="minor"/>
    </font>
    <font>
      <i/>
      <sz val="10"/>
      <name val="Calibri"/>
      <family val="2"/>
      <scheme val="minor"/>
    </font>
    <font>
      <b/>
      <sz val="11"/>
      <color rgb="FFCC00CC"/>
      <name val="Calibri"/>
      <family val="2"/>
      <scheme val="minor"/>
    </font>
    <font>
      <u/>
      <sz val="10"/>
      <name val="Calibri"/>
      <family val="2"/>
      <scheme val="minor"/>
    </font>
    <font>
      <b/>
      <sz val="10"/>
      <color rgb="FFCC00CC"/>
      <name val="Calibri"/>
      <family val="2"/>
      <scheme val="minor"/>
    </font>
    <font>
      <b/>
      <u/>
      <sz val="10"/>
      <color rgb="FFCC00CC"/>
      <name val="Calibri"/>
      <family val="2"/>
      <scheme val="minor"/>
    </font>
    <font>
      <sz val="10"/>
      <color theme="1"/>
      <name val="Aptos Narrow"/>
      <family val="2"/>
    </font>
    <font>
      <vertAlign val="superscript"/>
      <sz val="10"/>
      <color rgb="FF0000FF"/>
      <name val="Calibri"/>
      <family val="2"/>
      <scheme val="minor"/>
    </font>
    <font>
      <b/>
      <sz val="10"/>
      <color rgb="FF7030A0"/>
      <name val="Calibri"/>
      <family val="2"/>
      <scheme val="minor"/>
    </font>
    <font>
      <b/>
      <u/>
      <sz val="10"/>
      <color theme="1"/>
      <name val="Calibri"/>
      <family val="2"/>
      <scheme val="minor"/>
    </font>
    <font>
      <b/>
      <sz val="10"/>
      <color theme="5"/>
      <name val="Calibri"/>
      <family val="2"/>
      <scheme val="minor"/>
    </font>
    <font>
      <sz val="10"/>
      <color theme="5"/>
      <name val="Calibri"/>
      <family val="2"/>
      <scheme val="minor"/>
    </font>
    <font>
      <sz val="10"/>
      <color rgb="FF00B050"/>
      <name val="Calibri"/>
      <family val="2"/>
      <scheme val="minor"/>
    </font>
    <font>
      <b/>
      <u/>
      <sz val="10"/>
      <color rgb="FF0070C0"/>
      <name val="Calibri"/>
      <family val="2"/>
      <scheme val="minor"/>
    </font>
    <font>
      <b/>
      <u/>
      <sz val="10"/>
      <color rgb="FFC00000"/>
      <name val="Calibri"/>
      <family val="2"/>
      <scheme val="minor"/>
    </font>
    <font>
      <b/>
      <u/>
      <sz val="10"/>
      <color theme="5"/>
      <name val="Calibri"/>
      <family val="2"/>
      <scheme val="minor"/>
    </font>
    <font>
      <b/>
      <u/>
      <vertAlign val="subscript"/>
      <sz val="10"/>
      <color theme="1"/>
      <name val="Calibri"/>
      <family val="2"/>
      <scheme val="minor"/>
    </font>
    <font>
      <vertAlign val="subscript"/>
      <sz val="10"/>
      <color rgb="FFFF0000"/>
      <name val="Calibri"/>
      <family val="2"/>
      <scheme val="minor"/>
    </font>
    <font>
      <u/>
      <sz val="10"/>
      <color rgb="FFFF0000"/>
      <name val="Calibri"/>
      <family val="2"/>
      <scheme val="minor"/>
    </font>
    <font>
      <b/>
      <vertAlign val="subscript"/>
      <sz val="12"/>
      <color theme="1"/>
      <name val="Calibri"/>
      <family val="2"/>
      <scheme val="minor"/>
    </font>
    <font>
      <b/>
      <sz val="10"/>
      <color rgb="FFFF00FF"/>
      <name val="Calibri"/>
      <family val="2"/>
      <scheme val="minor"/>
    </font>
    <font>
      <sz val="9"/>
      <color indexed="81"/>
      <name val="Tahoma"/>
      <family val="2"/>
    </font>
    <font>
      <b/>
      <sz val="9"/>
      <color indexed="81"/>
      <name val="Tahoma"/>
      <family val="2"/>
    </font>
    <font>
      <u/>
      <sz val="10"/>
      <color rgb="FF0000FF"/>
      <name val="Calibri"/>
      <family val="2"/>
      <scheme val="minor"/>
    </font>
    <font>
      <b/>
      <u/>
      <sz val="10"/>
      <name val="Calibri"/>
      <family val="2"/>
      <scheme val="minor"/>
    </font>
    <font>
      <b/>
      <u/>
      <vertAlign val="subscript"/>
      <sz val="10"/>
      <name val="Calibri"/>
      <family val="2"/>
      <scheme val="minor"/>
    </font>
    <font>
      <b/>
      <sz val="14"/>
      <color rgb="FF0000FF"/>
      <name val="Calibri"/>
      <family val="2"/>
      <scheme val="minor"/>
    </font>
    <font>
      <b/>
      <sz val="18"/>
      <color rgb="FF0000FF"/>
      <name val="Calibri"/>
      <family val="2"/>
      <scheme val="minor"/>
    </font>
    <font>
      <sz val="12"/>
      <color rgb="FF0000FF"/>
      <name val="Calibri"/>
      <family val="2"/>
      <scheme val="minor"/>
    </font>
    <font>
      <b/>
      <u/>
      <sz val="12"/>
      <color rgb="FFC00000"/>
      <name val="Calibri"/>
      <family val="2"/>
      <scheme val="minor"/>
    </font>
  </fonts>
  <fills count="14">
    <fill>
      <patternFill patternType="none"/>
    </fill>
    <fill>
      <patternFill patternType="gray125"/>
    </fill>
    <fill>
      <patternFill patternType="solid">
        <fgColor rgb="FFF2F2F2"/>
      </patternFill>
    </fill>
    <fill>
      <patternFill patternType="solid">
        <fgColor rgb="FFFFFFCC"/>
      </patternFill>
    </fill>
    <fill>
      <patternFill patternType="solid">
        <fgColor theme="9" tint="0.79998168889431442"/>
        <bgColor indexed="64"/>
      </patternFill>
    </fill>
    <fill>
      <patternFill patternType="solid">
        <fgColor rgb="FFFFCC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99FF33"/>
        <bgColor indexed="64"/>
      </patternFill>
    </fill>
    <fill>
      <patternFill patternType="solid">
        <fgColor rgb="FFCCFFFF"/>
        <bgColor indexed="64"/>
      </patternFill>
    </fill>
    <fill>
      <patternFill patternType="solid">
        <fgColor rgb="FFFFCC99"/>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79998168889431442"/>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style="thin">
        <color indexed="64"/>
      </left>
      <right/>
      <top style="thin">
        <color indexed="64"/>
      </top>
      <bottom style="thin">
        <color indexed="64"/>
      </bottom>
      <diagonal/>
    </border>
    <border>
      <left style="thin">
        <color rgb="FF3F3F3F"/>
      </left>
      <right style="thin">
        <color rgb="FF3F3F3F"/>
      </right>
      <top style="thin">
        <color rgb="FF3F3F3F"/>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9" fontId="1" fillId="0" borderId="0" applyFont="0" applyFill="0" applyBorder="0" applyAlignment="0" applyProtection="0"/>
    <xf numFmtId="0" fontId="2" fillId="2" borderId="1" applyNumberFormat="0" applyAlignment="0" applyProtection="0"/>
    <xf numFmtId="0" fontId="1" fillId="3" borderId="2" applyNumberFormat="0" applyFont="0" applyAlignment="0" applyProtection="0"/>
    <xf numFmtId="0" fontId="3" fillId="0" borderId="0"/>
    <xf numFmtId="0" fontId="3" fillId="0" borderId="0"/>
    <xf numFmtId="0" fontId="3" fillId="3" borderId="2" applyNumberFormat="0" applyFont="0" applyAlignment="0" applyProtection="0"/>
    <xf numFmtId="0" fontId="3" fillId="3" borderId="2" applyNumberFormat="0" applyFont="0" applyAlignment="0" applyProtection="0"/>
    <xf numFmtId="0" fontId="3" fillId="0" borderId="0"/>
    <xf numFmtId="0" fontId="3" fillId="0" borderId="0"/>
    <xf numFmtId="0" fontId="12" fillId="2" borderId="5" applyNumberFormat="0" applyAlignment="0" applyProtection="0"/>
    <xf numFmtId="0" fontId="44" fillId="10" borderId="1" applyNumberFormat="0" applyAlignment="0" applyProtection="0"/>
  </cellStyleXfs>
  <cellXfs count="280">
    <xf numFmtId="0" fontId="0" fillId="0" borderId="0" xfId="0"/>
    <xf numFmtId="0" fontId="5" fillId="0" borderId="3" xfId="0" applyFont="1" applyBorder="1" applyAlignment="1">
      <alignment horizontal="center"/>
    </xf>
    <xf numFmtId="0" fontId="5" fillId="0" borderId="0" xfId="0" applyFont="1" applyAlignment="1">
      <alignment horizontal="center"/>
    </xf>
    <xf numFmtId="0" fontId="5" fillId="0" borderId="0" xfId="0" applyFont="1" applyAlignment="1">
      <alignment horizontal="center" vertical="center"/>
    </xf>
    <xf numFmtId="0" fontId="5" fillId="0" borderId="0" xfId="0" applyFont="1"/>
    <xf numFmtId="0" fontId="5" fillId="0" borderId="0" xfId="0" applyFont="1" applyAlignment="1">
      <alignment horizontal="right"/>
    </xf>
    <xf numFmtId="2" fontId="5" fillId="0" borderId="3" xfId="0" applyNumberFormat="1" applyFont="1" applyBorder="1" applyAlignment="1">
      <alignment horizontal="center"/>
    </xf>
    <xf numFmtId="0" fontId="5" fillId="0" borderId="0" xfId="0" applyFont="1" applyProtection="1">
      <protection locked="0"/>
    </xf>
    <xf numFmtId="0" fontId="5" fillId="3" borderId="2" xfId="3" applyFont="1" applyAlignment="1" applyProtection="1">
      <alignment horizontal="center"/>
      <protection locked="0"/>
    </xf>
    <xf numFmtId="164" fontId="5" fillId="0" borderId="0" xfId="0" applyNumberFormat="1" applyFont="1" applyAlignment="1">
      <alignment horizontal="center"/>
    </xf>
    <xf numFmtId="2" fontId="5" fillId="0" borderId="0" xfId="0" applyNumberFormat="1" applyFont="1" applyAlignment="1">
      <alignment horizontal="center"/>
    </xf>
    <xf numFmtId="2" fontId="9" fillId="0" borderId="0" xfId="0" applyNumberFormat="1" applyFont="1" applyAlignment="1">
      <alignment horizontal="center"/>
    </xf>
    <xf numFmtId="165" fontId="5" fillId="0" borderId="0" xfId="0" applyNumberFormat="1" applyFont="1" applyAlignment="1">
      <alignment horizontal="center"/>
    </xf>
    <xf numFmtId="0" fontId="9" fillId="0" borderId="0" xfId="0" applyFont="1" applyAlignment="1">
      <alignment horizontal="right"/>
    </xf>
    <xf numFmtId="0" fontId="9" fillId="0" borderId="0" xfId="0" applyFont="1" applyAlignment="1">
      <alignment horizontal="center"/>
    </xf>
    <xf numFmtId="165" fontId="9" fillId="0" borderId="0" xfId="0" applyNumberFormat="1" applyFont="1" applyAlignment="1">
      <alignment horizontal="center"/>
    </xf>
    <xf numFmtId="0" fontId="6" fillId="0" borderId="0" xfId="0" applyFont="1" applyAlignment="1">
      <alignment horizontal="right"/>
    </xf>
    <xf numFmtId="0" fontId="9" fillId="0" borderId="0" xfId="0" applyFont="1"/>
    <xf numFmtId="1" fontId="9" fillId="0" borderId="0" xfId="6" applyNumberFormat="1" applyFont="1" applyFill="1" applyBorder="1" applyAlignment="1" applyProtection="1">
      <alignment horizontal="center"/>
    </xf>
    <xf numFmtId="0" fontId="9" fillId="0" borderId="0" xfId="6" applyNumberFormat="1" applyFont="1" applyFill="1" applyBorder="1" applyAlignment="1" applyProtection="1">
      <alignment horizontal="center"/>
    </xf>
    <xf numFmtId="2" fontId="9" fillId="0" borderId="0" xfId="6" applyNumberFormat="1" applyFont="1" applyFill="1" applyBorder="1" applyAlignment="1" applyProtection="1">
      <alignment horizontal="center"/>
    </xf>
    <xf numFmtId="164" fontId="9" fillId="0" borderId="0" xfId="6" applyNumberFormat="1" applyFont="1" applyFill="1" applyBorder="1" applyAlignment="1" applyProtection="1">
      <alignment horizontal="center"/>
    </xf>
    <xf numFmtId="1" fontId="5" fillId="0" borderId="0" xfId="0" applyNumberFormat="1" applyFont="1" applyAlignment="1">
      <alignment horizontal="center"/>
    </xf>
    <xf numFmtId="166" fontId="5" fillId="0" borderId="0" xfId="0" applyNumberFormat="1" applyFont="1" applyAlignment="1">
      <alignment horizontal="center"/>
    </xf>
    <xf numFmtId="164" fontId="5" fillId="0" borderId="3" xfId="0" applyNumberFormat="1" applyFont="1" applyBorder="1" applyAlignment="1">
      <alignment horizontal="center"/>
    </xf>
    <xf numFmtId="0" fontId="0" fillId="0" borderId="3" xfId="0" applyBorder="1" applyAlignment="1">
      <alignment horizontal="center"/>
    </xf>
    <xf numFmtId="0" fontId="23" fillId="0" borderId="0" xfId="0" applyFont="1"/>
    <xf numFmtId="164" fontId="5" fillId="0" borderId="7" xfId="0" applyNumberFormat="1" applyFont="1" applyBorder="1" applyAlignment="1">
      <alignment horizontal="center"/>
    </xf>
    <xf numFmtId="165" fontId="5" fillId="0" borderId="3" xfId="0" applyNumberFormat="1" applyFont="1" applyBorder="1" applyAlignment="1">
      <alignment horizontal="center"/>
    </xf>
    <xf numFmtId="0" fontId="6" fillId="0" borderId="0" xfId="0" applyFont="1"/>
    <xf numFmtId="0" fontId="5" fillId="0" borderId="0" xfId="0" applyFont="1" applyAlignment="1">
      <alignment horizontal="left"/>
    </xf>
    <xf numFmtId="0" fontId="6" fillId="0" borderId="0" xfId="0" applyFont="1" applyAlignment="1">
      <alignment horizontal="left"/>
    </xf>
    <xf numFmtId="0" fontId="25" fillId="0" borderId="0" xfId="0" applyFont="1"/>
    <xf numFmtId="0" fontId="9" fillId="0" borderId="0" xfId="0" applyFont="1" applyProtection="1">
      <protection locked="0"/>
    </xf>
    <xf numFmtId="0" fontId="24" fillId="0" borderId="0" xfId="0" applyFont="1" applyAlignment="1">
      <alignment horizontal="center"/>
    </xf>
    <xf numFmtId="164" fontId="13" fillId="6" borderId="5" xfId="10" applyNumberFormat="1" applyFont="1" applyFill="1" applyAlignment="1">
      <alignment horizontal="center"/>
    </xf>
    <xf numFmtId="164" fontId="13" fillId="4" borderId="5" xfId="10" applyNumberFormat="1" applyFont="1" applyFill="1" applyAlignment="1">
      <alignment horizontal="center"/>
    </xf>
    <xf numFmtId="0" fontId="35" fillId="0" borderId="0" xfId="0" applyFont="1" applyAlignment="1">
      <alignment horizontal="right"/>
    </xf>
    <xf numFmtId="2" fontId="35" fillId="0" borderId="0" xfId="0" applyNumberFormat="1" applyFont="1" applyAlignment="1">
      <alignment horizontal="center"/>
    </xf>
    <xf numFmtId="0" fontId="39" fillId="0" borderId="0" xfId="0" applyFont="1" applyAlignment="1">
      <alignment horizontal="center"/>
    </xf>
    <xf numFmtId="0" fontId="35" fillId="0" borderId="0" xfId="0" applyFont="1" applyAlignment="1">
      <alignment horizontal="center"/>
    </xf>
    <xf numFmtId="0" fontId="35" fillId="0" borderId="0" xfId="0" applyFont="1" applyAlignment="1">
      <alignment horizontal="center" vertical="center"/>
    </xf>
    <xf numFmtId="0" fontId="35" fillId="3" borderId="2" xfId="3" applyFont="1" applyAlignment="1" applyProtection="1">
      <alignment horizontal="center"/>
      <protection locked="0"/>
    </xf>
    <xf numFmtId="0" fontId="45" fillId="10" borderId="1" xfId="11" applyFont="1" applyAlignment="1" applyProtection="1">
      <alignment horizontal="center"/>
      <protection locked="0"/>
    </xf>
    <xf numFmtId="165" fontId="35" fillId="0" borderId="0" xfId="0" applyNumberFormat="1" applyFont="1" applyAlignment="1">
      <alignment horizontal="center"/>
    </xf>
    <xf numFmtId="0" fontId="51" fillId="0" borderId="0" xfId="0" applyFont="1" applyAlignment="1">
      <alignment horizontal="right"/>
    </xf>
    <xf numFmtId="0" fontId="15" fillId="3" borderId="2" xfId="3" applyFont="1" applyAlignment="1" applyProtection="1">
      <alignment horizontal="center" vertical="center" wrapText="1"/>
      <protection locked="0"/>
    </xf>
    <xf numFmtId="0" fontId="46" fillId="3" borderId="2" xfId="3" applyFont="1" applyAlignment="1" applyProtection="1">
      <alignment horizontal="center"/>
      <protection locked="0"/>
    </xf>
    <xf numFmtId="0" fontId="6" fillId="0" borderId="0" xfId="0" applyFont="1" applyAlignment="1">
      <alignment horizontal="center"/>
    </xf>
    <xf numFmtId="0" fontId="5" fillId="3" borderId="4" xfId="3" applyFont="1" applyBorder="1" applyAlignment="1" applyProtection="1">
      <alignment horizontal="center"/>
      <protection locked="0"/>
    </xf>
    <xf numFmtId="0" fontId="5" fillId="0" borderId="3" xfId="0" applyFont="1" applyBorder="1" applyAlignment="1" applyProtection="1">
      <alignment horizontal="center"/>
      <protection locked="0"/>
    </xf>
    <xf numFmtId="165" fontId="13" fillId="7" borderId="5" xfId="10" applyNumberFormat="1" applyFont="1" applyFill="1" applyAlignment="1">
      <alignment horizontal="center"/>
    </xf>
    <xf numFmtId="164" fontId="35" fillId="0" borderId="0" xfId="0" applyNumberFormat="1" applyFont="1" applyAlignment="1">
      <alignment horizontal="center"/>
    </xf>
    <xf numFmtId="0" fontId="17" fillId="3" borderId="2" xfId="3" applyFont="1" applyAlignment="1" applyProtection="1">
      <alignment horizontal="center"/>
      <protection locked="0"/>
    </xf>
    <xf numFmtId="0" fontId="49" fillId="0" borderId="0" xfId="0" applyFont="1" applyAlignment="1">
      <alignment horizontal="left" vertical="center"/>
    </xf>
    <xf numFmtId="2" fontId="35" fillId="13" borderId="3" xfId="0" applyNumberFormat="1" applyFont="1" applyFill="1" applyBorder="1" applyAlignment="1">
      <alignment horizontal="center"/>
    </xf>
    <xf numFmtId="165" fontId="35" fillId="13" borderId="3" xfId="0" applyNumberFormat="1" applyFont="1" applyFill="1" applyBorder="1" applyAlignment="1">
      <alignment horizontal="center"/>
    </xf>
    <xf numFmtId="0" fontId="15" fillId="11" borderId="2" xfId="3" applyFont="1" applyFill="1" applyAlignment="1" applyProtection="1">
      <alignment horizontal="center"/>
      <protection locked="0"/>
    </xf>
    <xf numFmtId="0" fontId="9" fillId="3" borderId="2" xfId="3" applyFont="1" applyAlignment="1" applyProtection="1">
      <alignment horizontal="center"/>
      <protection locked="0"/>
    </xf>
    <xf numFmtId="0" fontId="51" fillId="0" borderId="0" xfId="0" applyFont="1" applyAlignment="1">
      <alignment horizontal="right" wrapText="1"/>
    </xf>
    <xf numFmtId="0" fontId="51" fillId="0" borderId="0" xfId="0" applyFont="1"/>
    <xf numFmtId="0" fontId="5" fillId="0" borderId="0" xfId="0" applyFont="1" applyAlignment="1">
      <alignment horizontal="center" wrapText="1"/>
    </xf>
    <xf numFmtId="0" fontId="50" fillId="0" borderId="0" xfId="0" applyFont="1"/>
    <xf numFmtId="2" fontId="5" fillId="0" borderId="3" xfId="0" applyNumberFormat="1" applyFont="1" applyBorder="1" applyAlignment="1">
      <alignment horizontal="center" vertical="center"/>
    </xf>
    <xf numFmtId="165" fontId="5" fillId="3" borderId="2" xfId="3" applyNumberFormat="1" applyFont="1" applyAlignment="1" applyProtection="1">
      <alignment horizontal="center"/>
      <protection locked="0"/>
    </xf>
    <xf numFmtId="2" fontId="35" fillId="13" borderId="3" xfId="0" applyNumberFormat="1" applyFont="1" applyFill="1" applyBorder="1" applyAlignment="1">
      <alignment horizontal="center" vertical="center"/>
    </xf>
    <xf numFmtId="0" fontId="17" fillId="0" borderId="0" xfId="0" applyFont="1" applyAlignment="1">
      <alignment horizontal="right"/>
    </xf>
    <xf numFmtId="0" fontId="7" fillId="0" borderId="0" xfId="0" applyFont="1" applyAlignment="1">
      <alignment horizontal="center"/>
    </xf>
    <xf numFmtId="0" fontId="35" fillId="0" borderId="0" xfId="0" applyFont="1"/>
    <xf numFmtId="0" fontId="9" fillId="0" borderId="3" xfId="0" applyFont="1" applyBorder="1" applyAlignment="1" applyProtection="1">
      <alignment horizontal="center"/>
      <protection locked="0"/>
    </xf>
    <xf numFmtId="9" fontId="39" fillId="3" borderId="2" xfId="1" applyFont="1" applyFill="1" applyBorder="1" applyAlignment="1" applyProtection="1">
      <alignment horizontal="center"/>
      <protection locked="0"/>
    </xf>
    <xf numFmtId="9" fontId="39" fillId="3" borderId="4" xfId="1" applyFont="1" applyFill="1" applyBorder="1" applyAlignment="1" applyProtection="1">
      <alignment horizontal="center"/>
      <protection locked="0"/>
    </xf>
    <xf numFmtId="0" fontId="45" fillId="10" borderId="1" xfId="11" applyFont="1" applyAlignment="1" applyProtection="1">
      <alignment horizontal="center" wrapText="1"/>
      <protection locked="0"/>
    </xf>
    <xf numFmtId="0" fontId="45" fillId="10" borderId="1" xfId="11" applyFont="1" applyAlignment="1" applyProtection="1">
      <alignment horizontal="center" vertical="center" wrapText="1"/>
      <protection locked="0"/>
    </xf>
    <xf numFmtId="0" fontId="15" fillId="11" borderId="2" xfId="3" applyFont="1" applyFill="1" applyAlignment="1" applyProtection="1">
      <alignment horizontal="center" vertical="center"/>
      <protection locked="0"/>
    </xf>
    <xf numFmtId="165" fontId="9" fillId="3" borderId="2" xfId="3" applyNumberFormat="1" applyFont="1" applyAlignment="1" applyProtection="1">
      <alignment horizontal="center"/>
      <protection locked="0"/>
    </xf>
    <xf numFmtId="0" fontId="49" fillId="0" borderId="0" xfId="0" applyFont="1" applyAlignment="1">
      <alignment horizontal="left"/>
    </xf>
    <xf numFmtId="0" fontId="5" fillId="0" borderId="0" xfId="0" applyFont="1" applyAlignment="1">
      <alignment horizontal="right" indent="1"/>
    </xf>
    <xf numFmtId="0" fontId="6" fillId="0" borderId="0" xfId="0" applyFont="1" applyAlignment="1">
      <alignment horizontal="right" indent="1"/>
    </xf>
    <xf numFmtId="0" fontId="6" fillId="0" borderId="0" xfId="0" applyFont="1" applyAlignment="1">
      <alignment horizontal="right" vertical="center" indent="1"/>
    </xf>
    <xf numFmtId="0" fontId="9" fillId="0" borderId="3" xfId="0" applyFont="1" applyBorder="1" applyAlignment="1">
      <alignment horizontal="center"/>
    </xf>
    <xf numFmtId="0" fontId="17" fillId="0" borderId="0" xfId="0" applyFont="1" applyAlignment="1">
      <alignment horizontal="center"/>
    </xf>
    <xf numFmtId="0" fontId="17" fillId="0" borderId="0" xfId="0" applyFont="1" applyAlignment="1">
      <alignment horizontal="center" vertical="center"/>
    </xf>
    <xf numFmtId="0" fontId="21" fillId="0" borderId="0" xfId="0" applyFont="1" applyAlignment="1">
      <alignment horizontal="left"/>
    </xf>
    <xf numFmtId="165" fontId="9" fillId="0" borderId="3" xfId="0" applyNumberFormat="1" applyFont="1" applyBorder="1" applyAlignment="1">
      <alignment horizontal="center"/>
    </xf>
    <xf numFmtId="0" fontId="29" fillId="0" borderId="0" xfId="0" applyFont="1" applyAlignment="1">
      <alignment horizontal="left"/>
    </xf>
    <xf numFmtId="0" fontId="9" fillId="0" borderId="0" xfId="0" applyFont="1" applyAlignment="1">
      <alignment horizontal="center" vertical="center"/>
    </xf>
    <xf numFmtId="0" fontId="35" fillId="0" borderId="3" xfId="0" applyFont="1" applyBorder="1" applyAlignment="1">
      <alignment horizontal="center"/>
    </xf>
    <xf numFmtId="0" fontId="5" fillId="7" borderId="0" xfId="0" applyFont="1" applyFill="1" applyAlignment="1">
      <alignment horizontal="right"/>
    </xf>
    <xf numFmtId="0" fontId="5" fillId="7" borderId="0" xfId="0" applyFont="1" applyFill="1" applyAlignment="1">
      <alignment horizontal="center"/>
    </xf>
    <xf numFmtId="0" fontId="5" fillId="7" borderId="0" xfId="0" applyFont="1" applyFill="1" applyAlignment="1">
      <alignment horizontal="center" vertical="center"/>
    </xf>
    <xf numFmtId="0" fontId="5" fillId="13" borderId="0" xfId="0" applyFont="1" applyFill="1" applyAlignment="1">
      <alignment horizontal="right"/>
    </xf>
    <xf numFmtId="0" fontId="5" fillId="13" borderId="0" xfId="0" applyFont="1" applyFill="1" applyAlignment="1">
      <alignment horizontal="center"/>
    </xf>
    <xf numFmtId="0" fontId="5" fillId="13" borderId="0" xfId="0" applyFont="1" applyFill="1" applyAlignment="1">
      <alignment horizontal="center" vertical="center"/>
    </xf>
    <xf numFmtId="0" fontId="5" fillId="12" borderId="0" xfId="0" applyFont="1" applyFill="1" applyAlignment="1">
      <alignment horizontal="right"/>
    </xf>
    <xf numFmtId="0" fontId="5" fillId="12" borderId="0" xfId="0" applyFont="1" applyFill="1" applyAlignment="1">
      <alignment horizontal="center"/>
    </xf>
    <xf numFmtId="0" fontId="5" fillId="12" borderId="0" xfId="0" applyFont="1" applyFill="1" applyAlignment="1">
      <alignment horizontal="center" vertical="center"/>
    </xf>
    <xf numFmtId="0" fontId="5" fillId="8" borderId="3" xfId="0" applyFont="1" applyFill="1" applyBorder="1" applyAlignment="1">
      <alignment horizontal="center"/>
    </xf>
    <xf numFmtId="164" fontId="9" fillId="0" borderId="3" xfId="0" applyNumberFormat="1" applyFont="1" applyBorder="1" applyAlignment="1">
      <alignment horizontal="center"/>
    </xf>
    <xf numFmtId="0" fontId="5" fillId="0" borderId="0" xfId="0" applyFont="1" applyAlignment="1">
      <alignment horizontal="right" vertical="center" wrapText="1"/>
    </xf>
    <xf numFmtId="0" fontId="5" fillId="8" borderId="3" xfId="0" applyFont="1" applyFill="1" applyBorder="1" applyAlignment="1">
      <alignment horizontal="center" vertical="center"/>
    </xf>
    <xf numFmtId="164" fontId="9" fillId="0" borderId="3" xfId="0" applyNumberFormat="1" applyFont="1" applyBorder="1" applyAlignment="1">
      <alignment horizontal="center" vertical="center"/>
    </xf>
    <xf numFmtId="0" fontId="5" fillId="0" borderId="0" xfId="0" applyFont="1" applyAlignment="1">
      <alignment vertical="center"/>
    </xf>
    <xf numFmtId="0" fontId="32" fillId="0" borderId="3" xfId="0" applyFont="1" applyBorder="1" applyAlignment="1">
      <alignment horizontal="center"/>
    </xf>
    <xf numFmtId="0" fontId="32" fillId="0" borderId="3" xfId="0" applyFont="1" applyBorder="1" applyAlignment="1">
      <alignment horizontal="center" vertical="center"/>
    </xf>
    <xf numFmtId="0" fontId="6" fillId="8" borderId="3" xfId="0" applyFont="1" applyFill="1" applyBorder="1" applyAlignment="1">
      <alignment horizontal="center"/>
    </xf>
    <xf numFmtId="164" fontId="28" fillId="2" borderId="1" xfId="2" applyNumberFormat="1" applyFont="1" applyAlignment="1" applyProtection="1">
      <alignment horizontal="center"/>
    </xf>
    <xf numFmtId="0" fontId="31" fillId="0" borderId="3" xfId="0" applyFont="1" applyBorder="1" applyAlignment="1">
      <alignment horizontal="center"/>
    </xf>
    <xf numFmtId="164" fontId="13" fillId="2" borderId="3" xfId="10" applyNumberFormat="1" applyFont="1" applyBorder="1" applyAlignment="1" applyProtection="1">
      <alignment horizontal="center"/>
    </xf>
    <xf numFmtId="164" fontId="13" fillId="2" borderId="5" xfId="10" applyNumberFormat="1" applyFont="1" applyAlignment="1" applyProtection="1">
      <alignment horizontal="center"/>
    </xf>
    <xf numFmtId="0" fontId="13" fillId="2" borderId="5" xfId="10" applyFont="1" applyAlignment="1" applyProtection="1">
      <alignment horizontal="center"/>
    </xf>
    <xf numFmtId="1" fontId="35" fillId="13" borderId="3" xfId="0" applyNumberFormat="1" applyFont="1" applyFill="1" applyBorder="1" applyAlignment="1">
      <alignment horizontal="center"/>
    </xf>
    <xf numFmtId="0" fontId="14" fillId="0" borderId="0" xfId="0" applyFont="1" applyAlignment="1">
      <alignment horizontal="left"/>
    </xf>
    <xf numFmtId="0" fontId="52" fillId="2" borderId="5" xfId="10" applyFont="1" applyAlignment="1" applyProtection="1">
      <alignment horizontal="center"/>
    </xf>
    <xf numFmtId="165" fontId="9" fillId="0" borderId="5" xfId="10" applyNumberFormat="1" applyFont="1" applyFill="1" applyAlignment="1" applyProtection="1">
      <alignment horizontal="center"/>
    </xf>
    <xf numFmtId="165" fontId="9" fillId="0" borderId="8" xfId="10" applyNumberFormat="1" applyFont="1" applyFill="1" applyBorder="1" applyAlignment="1" applyProtection="1">
      <alignment horizontal="center"/>
    </xf>
    <xf numFmtId="1" fontId="52" fillId="2" borderId="5" xfId="10" applyNumberFormat="1" applyFont="1" applyAlignment="1" applyProtection="1">
      <alignment horizontal="center"/>
    </xf>
    <xf numFmtId="0" fontId="43" fillId="0" borderId="0" xfId="0" applyFont="1" applyAlignment="1">
      <alignment horizontal="center"/>
    </xf>
    <xf numFmtId="0" fontId="36" fillId="0" borderId="0" xfId="0" applyFont="1" applyAlignment="1">
      <alignment horizontal="left"/>
    </xf>
    <xf numFmtId="0" fontId="38" fillId="0" borderId="0" xfId="0" applyFont="1" applyAlignment="1">
      <alignment horizontal="left"/>
    </xf>
    <xf numFmtId="2" fontId="9" fillId="0" borderId="3" xfId="0" applyNumberFormat="1" applyFont="1" applyBorder="1" applyAlignment="1">
      <alignment horizontal="center"/>
    </xf>
    <xf numFmtId="0" fontId="39" fillId="0" borderId="0" xfId="0" applyFont="1" applyAlignment="1">
      <alignment horizontal="right"/>
    </xf>
    <xf numFmtId="0" fontId="39" fillId="0" borderId="0" xfId="0" applyFont="1" applyAlignment="1">
      <alignment horizontal="center" vertical="center"/>
    </xf>
    <xf numFmtId="2" fontId="39" fillId="0" borderId="3" xfId="0" applyNumberFormat="1" applyFont="1" applyBorder="1" applyAlignment="1">
      <alignment horizontal="center"/>
    </xf>
    <xf numFmtId="2" fontId="5" fillId="3" borderId="2" xfId="3" applyNumberFormat="1" applyFont="1" applyAlignment="1" applyProtection="1">
      <alignment horizontal="center"/>
    </xf>
    <xf numFmtId="168" fontId="5" fillId="0" borderId="3" xfId="1" applyNumberFormat="1" applyFont="1" applyBorder="1" applyAlignment="1" applyProtection="1">
      <alignment horizontal="center"/>
    </xf>
    <xf numFmtId="0" fontId="22" fillId="0" borderId="0" xfId="0" applyFont="1" applyAlignment="1">
      <alignment horizontal="left"/>
    </xf>
    <xf numFmtId="0" fontId="35" fillId="13" borderId="0" xfId="0" applyFont="1" applyFill="1" applyAlignment="1">
      <alignment horizontal="right"/>
    </xf>
    <xf numFmtId="0" fontId="35" fillId="13" borderId="0" xfId="0" applyFont="1" applyFill="1" applyAlignment="1">
      <alignment horizontal="center"/>
    </xf>
    <xf numFmtId="0" fontId="35" fillId="13" borderId="0" xfId="0" applyFont="1" applyFill="1" applyAlignment="1">
      <alignment horizontal="center" vertical="center"/>
    </xf>
    <xf numFmtId="0" fontId="35" fillId="13" borderId="0" xfId="0" applyFont="1" applyFill="1" applyAlignment="1">
      <alignment horizontal="right" vertical="center" wrapText="1"/>
    </xf>
    <xf numFmtId="165" fontId="35" fillId="13" borderId="3" xfId="0" applyNumberFormat="1" applyFont="1" applyFill="1" applyBorder="1" applyAlignment="1">
      <alignment horizontal="center" vertical="center"/>
    </xf>
    <xf numFmtId="0" fontId="5" fillId="0" borderId="0" xfId="0" applyFont="1" applyAlignment="1">
      <alignment horizontal="right" wrapText="1"/>
    </xf>
    <xf numFmtId="2" fontId="35" fillId="0" borderId="3" xfId="0" applyNumberFormat="1" applyFont="1" applyBorder="1" applyAlignment="1">
      <alignment horizontal="center"/>
    </xf>
    <xf numFmtId="0" fontId="36" fillId="9" borderId="0" xfId="0" applyFont="1" applyFill="1" applyAlignment="1">
      <alignment horizontal="left"/>
    </xf>
    <xf numFmtId="0" fontId="5" fillId="9" borderId="0" xfId="0" applyFont="1" applyFill="1" applyAlignment="1">
      <alignment horizontal="center"/>
    </xf>
    <xf numFmtId="0" fontId="5" fillId="9" borderId="0" xfId="0" applyFont="1" applyFill="1" applyAlignment="1">
      <alignment horizontal="center" vertical="center"/>
    </xf>
    <xf numFmtId="2" fontId="39" fillId="0" borderId="0" xfId="0" applyNumberFormat="1" applyFont="1" applyAlignment="1">
      <alignment horizontal="center"/>
    </xf>
    <xf numFmtId="0" fontId="39" fillId="9" borderId="0" xfId="0" applyFont="1" applyFill="1" applyAlignment="1">
      <alignment horizontal="right"/>
    </xf>
    <xf numFmtId="0" fontId="39" fillId="9" borderId="0" xfId="0" applyFont="1" applyFill="1" applyAlignment="1">
      <alignment horizontal="center"/>
    </xf>
    <xf numFmtId="0" fontId="39" fillId="9" borderId="0" xfId="0" applyFont="1" applyFill="1" applyAlignment="1">
      <alignment horizontal="center" vertical="center"/>
    </xf>
    <xf numFmtId="2" fontId="5" fillId="0" borderId="0" xfId="0" applyNumberFormat="1" applyFont="1" applyAlignment="1">
      <alignment horizontal="center" vertical="center"/>
    </xf>
    <xf numFmtId="0" fontId="20" fillId="0" borderId="0" xfId="0" applyFont="1" applyAlignment="1">
      <alignment horizontal="left"/>
    </xf>
    <xf numFmtId="0" fontId="5" fillId="0" borderId="0" xfId="0" applyFont="1" applyAlignment="1">
      <alignment horizontal="right" vertical="center"/>
    </xf>
    <xf numFmtId="165" fontId="5" fillId="0" borderId="0" xfId="0" applyNumberFormat="1" applyFont="1" applyAlignment="1">
      <alignment horizontal="center" vertical="center"/>
    </xf>
    <xf numFmtId="0" fontId="9" fillId="0" borderId="0" xfId="0" applyFont="1" applyAlignment="1">
      <alignment horizontal="right" wrapText="1"/>
    </xf>
    <xf numFmtId="0" fontId="38" fillId="0" borderId="0" xfId="0" applyFont="1" applyAlignment="1">
      <alignment horizontal="right"/>
    </xf>
    <xf numFmtId="164" fontId="35" fillId="0" borderId="3" xfId="0" applyNumberFormat="1" applyFont="1" applyBorder="1" applyAlignment="1">
      <alignment horizontal="center"/>
    </xf>
    <xf numFmtId="0" fontId="54" fillId="0" borderId="0" xfId="0" applyFont="1" applyAlignment="1">
      <alignment horizontal="left"/>
    </xf>
    <xf numFmtId="2" fontId="5" fillId="0" borderId="10" xfId="0" applyNumberFormat="1" applyFont="1" applyBorder="1" applyAlignment="1">
      <alignment horizontal="center"/>
    </xf>
    <xf numFmtId="2" fontId="35" fillId="13" borderId="3" xfId="10" applyNumberFormat="1" applyFont="1" applyFill="1" applyBorder="1" applyAlignment="1" applyProtection="1">
      <alignment horizontal="center"/>
    </xf>
    <xf numFmtId="2" fontId="5" fillId="0" borderId="11" xfId="0" applyNumberFormat="1" applyFont="1" applyBorder="1" applyAlignment="1">
      <alignment horizontal="center"/>
    </xf>
    <xf numFmtId="0" fontId="56" fillId="0" borderId="0" xfId="0" applyFont="1" applyAlignment="1">
      <alignment horizontal="right"/>
    </xf>
    <xf numFmtId="2" fontId="13" fillId="2" borderId="5" xfId="10" applyNumberFormat="1" applyFont="1" applyAlignment="1" applyProtection="1">
      <alignment horizontal="center"/>
    </xf>
    <xf numFmtId="0" fontId="58" fillId="0" borderId="0" xfId="0" applyFont="1" applyAlignment="1">
      <alignment horizontal="center"/>
    </xf>
    <xf numFmtId="164" fontId="35" fillId="13" borderId="3" xfId="10" applyNumberFormat="1" applyFont="1" applyFill="1" applyBorder="1" applyAlignment="1" applyProtection="1">
      <alignment horizontal="center"/>
    </xf>
    <xf numFmtId="165" fontId="35" fillId="13" borderId="5" xfId="10" applyNumberFormat="1" applyFont="1" applyFill="1" applyAlignment="1" applyProtection="1">
      <alignment horizontal="center"/>
    </xf>
    <xf numFmtId="164" fontId="9" fillId="0" borderId="3" xfId="10" applyNumberFormat="1" applyFont="1" applyFill="1" applyBorder="1" applyAlignment="1" applyProtection="1">
      <alignment horizontal="center"/>
    </xf>
    <xf numFmtId="165" fontId="35" fillId="13" borderId="3" xfId="10" applyNumberFormat="1" applyFont="1" applyFill="1" applyBorder="1" applyAlignment="1" applyProtection="1">
      <alignment horizontal="center"/>
    </xf>
    <xf numFmtId="0" fontId="62" fillId="0" borderId="0" xfId="0" applyFont="1" applyAlignment="1">
      <alignment horizontal="right"/>
    </xf>
    <xf numFmtId="0" fontId="62" fillId="0" borderId="0" xfId="0" applyFont="1" applyAlignment="1">
      <alignment horizontal="center"/>
    </xf>
    <xf numFmtId="0" fontId="63" fillId="0" borderId="0" xfId="0" applyFont="1" applyAlignment="1">
      <alignment horizontal="right"/>
    </xf>
    <xf numFmtId="0" fontId="63" fillId="0" borderId="0" xfId="0" applyFont="1" applyAlignment="1">
      <alignment horizontal="center"/>
    </xf>
    <xf numFmtId="0" fontId="63" fillId="0" borderId="0" xfId="0" applyFont="1" applyAlignment="1">
      <alignment horizontal="center" vertical="center"/>
    </xf>
    <xf numFmtId="0" fontId="5" fillId="11" borderId="2" xfId="3" applyFont="1" applyFill="1" applyAlignment="1" applyProtection="1">
      <alignment horizontal="center"/>
      <protection locked="0"/>
    </xf>
    <xf numFmtId="0" fontId="38" fillId="3" borderId="2" xfId="3" applyFont="1" applyAlignment="1" applyProtection="1">
      <alignment horizontal="center"/>
      <protection locked="0"/>
    </xf>
    <xf numFmtId="2" fontId="9" fillId="3" borderId="4" xfId="3" applyNumberFormat="1" applyFont="1" applyBorder="1" applyAlignment="1" applyProtection="1">
      <alignment horizontal="center"/>
      <protection locked="0"/>
    </xf>
    <xf numFmtId="2" fontId="9" fillId="3" borderId="2" xfId="3" applyNumberFormat="1" applyFont="1" applyAlignment="1" applyProtection="1">
      <alignment horizontal="center"/>
      <protection locked="0"/>
    </xf>
    <xf numFmtId="2" fontId="5" fillId="3" borderId="4" xfId="3" applyNumberFormat="1" applyFont="1" applyBorder="1" applyAlignment="1" applyProtection="1">
      <alignment horizontal="center"/>
      <protection locked="0"/>
    </xf>
    <xf numFmtId="2" fontId="5" fillId="3" borderId="2" xfId="3" applyNumberFormat="1" applyFont="1" applyAlignment="1" applyProtection="1">
      <alignment horizontal="center"/>
      <protection locked="0"/>
    </xf>
    <xf numFmtId="0" fontId="15" fillId="0" borderId="0" xfId="0" applyFont="1" applyAlignment="1">
      <alignment horizontal="left"/>
    </xf>
    <xf numFmtId="0" fontId="13" fillId="2" borderId="5" xfId="10" applyFont="1" applyAlignment="1">
      <alignment horizontal="center"/>
    </xf>
    <xf numFmtId="0" fontId="39" fillId="3" borderId="2" xfId="3" applyFont="1" applyAlignment="1" applyProtection="1">
      <alignment horizontal="center"/>
      <protection locked="0"/>
    </xf>
    <xf numFmtId="0" fontId="55" fillId="0" borderId="0" xfId="0" applyFont="1" applyAlignment="1">
      <alignment horizontal="right"/>
    </xf>
    <xf numFmtId="0" fontId="6" fillId="0" borderId="0" xfId="0" applyFont="1" applyAlignment="1">
      <alignment horizontal="right" wrapText="1"/>
    </xf>
    <xf numFmtId="0" fontId="45" fillId="10" borderId="1" xfId="11" applyFont="1" applyAlignment="1" applyProtection="1">
      <alignment horizontal="center" vertical="center"/>
      <protection locked="0"/>
    </xf>
    <xf numFmtId="0" fontId="6" fillId="0" borderId="0" xfId="0" applyFont="1" applyAlignment="1">
      <alignment horizontal="right" vertical="center"/>
    </xf>
    <xf numFmtId="0" fontId="16" fillId="0" borderId="0" xfId="0" applyFont="1" applyAlignment="1">
      <alignment horizontal="left"/>
    </xf>
    <xf numFmtId="0" fontId="9" fillId="0" borderId="0" xfId="0" applyFont="1" applyAlignment="1">
      <alignment horizontal="left"/>
    </xf>
    <xf numFmtId="0" fontId="9" fillId="0" borderId="0" xfId="0" quotePrefix="1" applyFont="1" applyAlignment="1">
      <alignment horizontal="center"/>
    </xf>
    <xf numFmtId="0" fontId="16" fillId="0" borderId="0" xfId="0" applyFont="1" applyAlignment="1">
      <alignment horizontal="center"/>
    </xf>
    <xf numFmtId="0" fontId="17" fillId="0" borderId="9" xfId="4" applyFont="1" applyBorder="1" applyAlignment="1">
      <alignment horizontal="center"/>
    </xf>
    <xf numFmtId="0" fontId="6" fillId="0" borderId="9" xfId="0" applyFont="1" applyBorder="1" applyAlignment="1">
      <alignment horizontal="center"/>
    </xf>
    <xf numFmtId="0" fontId="18" fillId="0" borderId="9" xfId="4" applyFont="1" applyBorder="1" applyAlignment="1">
      <alignment horizontal="center"/>
    </xf>
    <xf numFmtId="0" fontId="18" fillId="0" borderId="9" xfId="0" applyFont="1" applyBorder="1" applyAlignment="1">
      <alignment horizontal="center"/>
    </xf>
    <xf numFmtId="0" fontId="9" fillId="0" borderId="0" xfId="4" applyFont="1" applyAlignment="1">
      <alignment horizontal="center"/>
    </xf>
    <xf numFmtId="164" fontId="9" fillId="0" borderId="0" xfId="4" applyNumberFormat="1" applyFont="1" applyAlignment="1">
      <alignment horizontal="center"/>
    </xf>
    <xf numFmtId="2" fontId="9" fillId="0" borderId="0" xfId="4" applyNumberFormat="1" applyFont="1" applyAlignment="1">
      <alignment horizontal="center"/>
    </xf>
    <xf numFmtId="2" fontId="9" fillId="0" borderId="0" xfId="5" applyNumberFormat="1" applyFont="1" applyAlignment="1">
      <alignment horizontal="center"/>
    </xf>
    <xf numFmtId="0" fontId="9" fillId="0" borderId="0" xfId="5" applyFont="1" applyAlignment="1">
      <alignment horizontal="center"/>
    </xf>
    <xf numFmtId="165" fontId="9" fillId="0" borderId="0" xfId="4" applyNumberFormat="1" applyFont="1" applyAlignment="1">
      <alignment horizontal="center"/>
    </xf>
    <xf numFmtId="1" fontId="9" fillId="0" borderId="0" xfId="4" applyNumberFormat="1" applyFont="1" applyAlignment="1">
      <alignment horizontal="center"/>
    </xf>
    <xf numFmtId="164" fontId="9" fillId="0" borderId="0" xfId="5" applyNumberFormat="1" applyFont="1" applyAlignment="1">
      <alignment horizontal="center"/>
    </xf>
    <xf numFmtId="166" fontId="9" fillId="0" borderId="0" xfId="4" applyNumberFormat="1" applyFont="1" applyAlignment="1">
      <alignment horizontal="center"/>
    </xf>
    <xf numFmtId="0" fontId="9" fillId="0" borderId="0" xfId="4" quotePrefix="1" applyFont="1" applyAlignment="1">
      <alignment horizontal="center"/>
    </xf>
    <xf numFmtId="167" fontId="9" fillId="0" borderId="0" xfId="4" applyNumberFormat="1" applyFont="1" applyAlignment="1">
      <alignment horizontal="center"/>
    </xf>
    <xf numFmtId="164" fontId="9" fillId="0" borderId="0" xfId="0" applyNumberFormat="1" applyFont="1" applyAlignment="1">
      <alignment horizontal="center"/>
    </xf>
    <xf numFmtId="12" fontId="9" fillId="0" borderId="0" xfId="0" applyNumberFormat="1" applyFont="1" applyAlignment="1">
      <alignment horizontal="center"/>
    </xf>
    <xf numFmtId="0" fontId="41" fillId="0" borderId="0" xfId="0" applyFont="1"/>
    <xf numFmtId="165" fontId="9" fillId="0" borderId="0" xfId="5" applyNumberFormat="1" applyFont="1" applyAlignment="1">
      <alignment horizontal="center"/>
    </xf>
    <xf numFmtId="0" fontId="9" fillId="0" borderId="9" xfId="4" applyFont="1" applyBorder="1" applyAlignment="1">
      <alignment horizontal="center"/>
    </xf>
    <xf numFmtId="2" fontId="9" fillId="0" borderId="9" xfId="4" applyNumberFormat="1" applyFont="1" applyBorder="1" applyAlignment="1">
      <alignment horizontal="center"/>
    </xf>
    <xf numFmtId="165" fontId="9" fillId="0" borderId="9" xfId="4" applyNumberFormat="1" applyFont="1" applyBorder="1" applyAlignment="1">
      <alignment horizontal="center"/>
    </xf>
    <xf numFmtId="166" fontId="9" fillId="0" borderId="9" xfId="4" applyNumberFormat="1" applyFont="1" applyBorder="1" applyAlignment="1">
      <alignment horizontal="center"/>
    </xf>
    <xf numFmtId="0" fontId="39" fillId="0" borderId="9" xfId="0" applyFont="1" applyBorder="1" applyAlignment="1">
      <alignment horizontal="center"/>
    </xf>
    <xf numFmtId="0" fontId="41" fillId="0" borderId="9" xfId="0" applyFont="1" applyBorder="1"/>
    <xf numFmtId="0" fontId="9" fillId="0" borderId="9" xfId="0" applyFont="1" applyBorder="1" applyAlignment="1">
      <alignment horizontal="center"/>
    </xf>
    <xf numFmtId="0" fontId="16" fillId="0" borderId="0" xfId="4" applyFont="1" applyAlignment="1">
      <alignment horizontal="left"/>
    </xf>
    <xf numFmtId="0" fontId="9" fillId="0" borderId="0" xfId="4" applyFont="1" applyAlignment="1">
      <alignment horizontal="left"/>
    </xf>
    <xf numFmtId="165" fontId="9" fillId="0" borderId="0" xfId="7" applyNumberFormat="1" applyFont="1" applyFill="1" applyBorder="1" applyAlignment="1" applyProtection="1">
      <alignment horizontal="center"/>
    </xf>
    <xf numFmtId="1" fontId="9" fillId="0" borderId="0" xfId="7" applyNumberFormat="1" applyFont="1" applyFill="1" applyBorder="1" applyAlignment="1" applyProtection="1">
      <alignment horizontal="center"/>
    </xf>
    <xf numFmtId="2" fontId="9" fillId="0" borderId="0" xfId="7" applyNumberFormat="1" applyFont="1" applyFill="1" applyBorder="1" applyAlignment="1" applyProtection="1">
      <alignment horizontal="center"/>
    </xf>
    <xf numFmtId="0" fontId="9" fillId="0" borderId="0" xfId="7" applyNumberFormat="1" applyFont="1" applyFill="1" applyBorder="1" applyAlignment="1" applyProtection="1">
      <alignment horizontal="center"/>
    </xf>
    <xf numFmtId="164" fontId="9" fillId="0" borderId="0" xfId="7" applyNumberFormat="1" applyFont="1" applyFill="1" applyBorder="1" applyAlignment="1" applyProtection="1">
      <alignment horizontal="center"/>
    </xf>
    <xf numFmtId="0" fontId="51" fillId="0" borderId="0" xfId="0" applyFont="1" applyAlignment="1">
      <alignment horizontal="left"/>
    </xf>
    <xf numFmtId="0" fontId="6" fillId="3" borderId="2" xfId="3" applyFont="1" applyAlignment="1" applyProtection="1">
      <alignment horizontal="center" vertical="center" wrapText="1"/>
      <protection locked="0"/>
    </xf>
    <xf numFmtId="0" fontId="15" fillId="0" borderId="0" xfId="0" applyFont="1"/>
    <xf numFmtId="0" fontId="6" fillId="0" borderId="0" xfId="0" applyFont="1" applyProtection="1">
      <protection hidden="1"/>
    </xf>
    <xf numFmtId="0" fontId="5" fillId="0" borderId="0" xfId="0" applyFont="1" applyProtection="1">
      <protection hidden="1"/>
    </xf>
    <xf numFmtId="0" fontId="6" fillId="0" borderId="0" xfId="0" applyFont="1" applyAlignment="1" applyProtection="1">
      <alignment wrapText="1"/>
      <protection hidden="1"/>
    </xf>
    <xf numFmtId="0" fontId="5" fillId="0" borderId="0" xfId="0" applyFont="1" applyAlignment="1" applyProtection="1">
      <alignment horizontal="left" vertical="top" wrapText="1"/>
      <protection hidden="1"/>
    </xf>
    <xf numFmtId="0" fontId="5" fillId="0" borderId="0" xfId="0" applyFont="1" applyAlignment="1" applyProtection="1">
      <alignment vertical="top" wrapText="1"/>
      <protection hidden="1"/>
    </xf>
    <xf numFmtId="0" fontId="5" fillId="0" borderId="0" xfId="0" applyFont="1" applyAlignment="1" applyProtection="1">
      <alignment horizontal="left" wrapText="1"/>
      <protection hidden="1"/>
    </xf>
    <xf numFmtId="0" fontId="61" fillId="0" borderId="0" xfId="0" applyFont="1" applyProtection="1">
      <protection hidden="1"/>
    </xf>
    <xf numFmtId="0" fontId="5" fillId="0" borderId="0" xfId="0" applyFont="1" applyAlignment="1" applyProtection="1">
      <alignment horizontal="left"/>
      <protection hidden="1"/>
    </xf>
    <xf numFmtId="0" fontId="61" fillId="0" borderId="0" xfId="0" applyFont="1" applyAlignment="1" applyProtection="1">
      <alignment horizontal="left"/>
      <protection hidden="1"/>
    </xf>
    <xf numFmtId="0" fontId="6" fillId="0" borderId="0" xfId="0" applyFont="1" applyAlignment="1" applyProtection="1">
      <alignment horizontal="left" wrapText="1"/>
      <protection hidden="1"/>
    </xf>
    <xf numFmtId="0" fontId="9" fillId="0" borderId="0" xfId="0" quotePrefix="1" applyFont="1" applyAlignment="1" applyProtection="1">
      <alignment horizontal="right" vertical="top"/>
      <protection hidden="1"/>
    </xf>
    <xf numFmtId="0" fontId="65" fillId="0" borderId="0" xfId="0" applyFont="1" applyAlignment="1" applyProtection="1">
      <alignment horizontal="left"/>
      <protection hidden="1"/>
    </xf>
    <xf numFmtId="0" fontId="66" fillId="0" borderId="0" xfId="0" applyFont="1" applyAlignment="1" applyProtection="1">
      <alignment horizontal="left"/>
      <protection hidden="1"/>
    </xf>
    <xf numFmtId="0" fontId="60" fillId="0" borderId="0" xfId="0" applyFont="1" applyAlignment="1" applyProtection="1">
      <alignment horizontal="left" wrapText="1"/>
      <protection hidden="1"/>
    </xf>
    <xf numFmtId="0" fontId="62" fillId="0" borderId="0" xfId="0" applyFont="1" applyAlignment="1" applyProtection="1">
      <alignment horizontal="left" wrapText="1"/>
      <protection hidden="1"/>
    </xf>
    <xf numFmtId="0" fontId="31" fillId="0" borderId="0" xfId="0" applyFont="1" applyAlignment="1" applyProtection="1">
      <alignment horizontal="left" wrapText="1"/>
      <protection hidden="1"/>
    </xf>
    <xf numFmtId="0" fontId="36" fillId="0" borderId="0" xfId="0" applyFont="1" applyAlignment="1" applyProtection="1">
      <alignment horizontal="left" wrapText="1"/>
      <protection hidden="1"/>
    </xf>
    <xf numFmtId="0" fontId="26" fillId="0" borderId="0" xfId="0" applyFont="1" applyAlignment="1" applyProtection="1">
      <alignment horizontal="left" wrapText="1"/>
      <protection hidden="1"/>
    </xf>
    <xf numFmtId="0" fontId="72" fillId="0" borderId="0" xfId="0" applyFont="1" applyAlignment="1" applyProtection="1">
      <alignment horizontal="left" wrapText="1"/>
      <protection hidden="1"/>
    </xf>
    <xf numFmtId="0" fontId="67" fillId="0" borderId="0" xfId="0" applyFont="1" applyProtection="1">
      <protection hidden="1"/>
    </xf>
    <xf numFmtId="0" fontId="50" fillId="0" borderId="0" xfId="0" applyFont="1" applyAlignment="1" applyProtection="1">
      <alignment horizontal="left" wrapText="1"/>
      <protection hidden="1"/>
    </xf>
    <xf numFmtId="0" fontId="25" fillId="0" borderId="0" xfId="0" applyFont="1" applyProtection="1">
      <protection hidden="1"/>
    </xf>
    <xf numFmtId="0" fontId="51" fillId="0" borderId="0" xfId="0" applyFont="1" applyAlignment="1" applyProtection="1">
      <alignment horizontal="center"/>
      <protection hidden="1"/>
    </xf>
    <xf numFmtId="0" fontId="51" fillId="0" borderId="0" xfId="0" applyFont="1" applyAlignment="1" applyProtection="1">
      <alignment horizontal="left" wrapText="1"/>
      <protection hidden="1"/>
    </xf>
    <xf numFmtId="0" fontId="45" fillId="10" borderId="1" xfId="11" applyFont="1" applyAlignment="1" applyProtection="1">
      <alignment horizontal="center"/>
      <protection hidden="1"/>
    </xf>
    <xf numFmtId="0" fontId="5" fillId="0" borderId="0" xfId="0" quotePrefix="1" applyFont="1" applyProtection="1">
      <protection hidden="1"/>
    </xf>
    <xf numFmtId="0" fontId="5" fillId="3" borderId="4" xfId="3" applyFont="1" applyBorder="1" applyAlignment="1" applyProtection="1">
      <alignment horizontal="center"/>
      <protection hidden="1"/>
    </xf>
    <xf numFmtId="0" fontId="15" fillId="11" borderId="2" xfId="3" applyFont="1" applyFill="1" applyAlignment="1" applyProtection="1">
      <alignment horizontal="center"/>
      <protection hidden="1"/>
    </xf>
    <xf numFmtId="0" fontId="5" fillId="0" borderId="3" xfId="0" applyFont="1" applyBorder="1" applyAlignment="1" applyProtection="1">
      <alignment horizontal="center"/>
      <protection hidden="1"/>
    </xf>
    <xf numFmtId="0" fontId="35" fillId="13" borderId="3" xfId="0" applyFont="1" applyFill="1" applyBorder="1" applyAlignment="1" applyProtection="1">
      <alignment horizontal="center"/>
      <protection hidden="1"/>
    </xf>
    <xf numFmtId="0" fontId="13" fillId="2" borderId="6" xfId="10" applyFont="1" applyBorder="1" applyAlignment="1" applyProtection="1">
      <alignment horizontal="center"/>
      <protection hidden="1"/>
    </xf>
    <xf numFmtId="1" fontId="31" fillId="0" borderId="3" xfId="0" applyNumberFormat="1" applyFont="1" applyBorder="1" applyAlignment="1" applyProtection="1">
      <alignment horizontal="center"/>
      <protection hidden="1"/>
    </xf>
    <xf numFmtId="1" fontId="17" fillId="8" borderId="3" xfId="0" applyNumberFormat="1" applyFont="1" applyFill="1" applyBorder="1" applyAlignment="1" applyProtection="1">
      <alignment horizontal="center"/>
      <protection hidden="1"/>
    </xf>
    <xf numFmtId="0" fontId="26" fillId="4" borderId="3" xfId="0" applyFont="1" applyFill="1" applyBorder="1" applyAlignment="1" applyProtection="1">
      <alignment horizontal="center"/>
      <protection hidden="1"/>
    </xf>
    <xf numFmtId="0" fontId="16" fillId="5" borderId="3" xfId="0" applyFont="1" applyFill="1" applyBorder="1" applyAlignment="1" applyProtection="1">
      <alignment horizontal="center"/>
      <protection hidden="1"/>
    </xf>
    <xf numFmtId="0" fontId="6" fillId="0" borderId="0" xfId="0" applyFont="1" applyAlignment="1" applyProtection="1">
      <alignment horizontal="left"/>
      <protection hidden="1"/>
    </xf>
    <xf numFmtId="0" fontId="9" fillId="0" borderId="0" xfId="0" applyFont="1" applyAlignment="1" applyProtection="1">
      <alignment horizontal="left" wrapText="1"/>
      <protection hidden="1"/>
    </xf>
    <xf numFmtId="0" fontId="60" fillId="0" borderId="0" xfId="0" applyFont="1" applyAlignment="1" applyProtection="1">
      <alignment horizontal="left"/>
      <protection hidden="1"/>
    </xf>
    <xf numFmtId="0" fontId="5" fillId="0" borderId="0" xfId="0" applyFont="1" applyAlignment="1" applyProtection="1">
      <alignment wrapText="1"/>
      <protection hidden="1"/>
    </xf>
    <xf numFmtId="0" fontId="62" fillId="0" borderId="0" xfId="0" applyFont="1" applyAlignment="1" applyProtection="1">
      <alignment horizontal="left"/>
      <protection hidden="1"/>
    </xf>
    <xf numFmtId="0" fontId="31" fillId="0" borderId="0" xfId="0" applyFont="1" applyAlignment="1" applyProtection="1">
      <alignment horizontal="left"/>
      <protection hidden="1"/>
    </xf>
    <xf numFmtId="0" fontId="36" fillId="0" borderId="0" xfId="0" applyFont="1" applyAlignment="1" applyProtection="1">
      <alignment horizontal="left"/>
      <protection hidden="1"/>
    </xf>
    <xf numFmtId="0" fontId="26" fillId="0" borderId="0" xfId="0" applyFont="1" applyAlignment="1" applyProtection="1">
      <alignment horizontal="left"/>
      <protection hidden="1"/>
    </xf>
    <xf numFmtId="0" fontId="72" fillId="0" borderId="0" xfId="0" applyFont="1" applyAlignment="1" applyProtection="1">
      <alignment horizontal="left"/>
      <protection hidden="1"/>
    </xf>
    <xf numFmtId="0" fontId="5" fillId="0" borderId="0" xfId="0" applyFont="1" applyAlignment="1" applyProtection="1">
      <alignment horizontal="center"/>
      <protection hidden="1"/>
    </xf>
    <xf numFmtId="0" fontId="60" fillId="0" borderId="0" xfId="0" applyFont="1" applyProtection="1">
      <protection hidden="1"/>
    </xf>
    <xf numFmtId="0" fontId="51" fillId="0" borderId="0" xfId="0" applyFont="1" applyProtection="1">
      <protection hidden="1"/>
    </xf>
    <xf numFmtId="0" fontId="5" fillId="0" borderId="0" xfId="0" applyFont="1" applyAlignment="1" applyProtection="1">
      <alignment horizontal="right"/>
      <protection hidden="1"/>
    </xf>
    <xf numFmtId="0" fontId="26" fillId="0" borderId="0" xfId="0" applyFont="1" applyProtection="1">
      <protection hidden="1"/>
    </xf>
    <xf numFmtId="0" fontId="9" fillId="0" borderId="0" xfId="0" applyFont="1" applyProtection="1">
      <protection hidden="1"/>
    </xf>
    <xf numFmtId="0" fontId="5" fillId="0" borderId="0" xfId="0" quotePrefix="1" applyFont="1" applyAlignment="1" applyProtection="1">
      <alignment horizontal="left" wrapText="1"/>
      <protection hidden="1"/>
    </xf>
    <xf numFmtId="0" fontId="78" fillId="0" borderId="0" xfId="0" applyFont="1" applyProtection="1">
      <protection hidden="1"/>
    </xf>
    <xf numFmtId="0" fontId="79" fillId="0" borderId="0" xfId="0" applyFont="1" applyProtection="1">
      <protection hidden="1"/>
    </xf>
    <xf numFmtId="0" fontId="80" fillId="0" borderId="0" xfId="0" applyFont="1" applyProtection="1">
      <protection hidden="1"/>
    </xf>
    <xf numFmtId="0" fontId="6" fillId="0" borderId="0" xfId="0" applyFont="1" applyAlignment="1">
      <alignment horizontal="center" vertical="center"/>
    </xf>
    <xf numFmtId="0" fontId="61" fillId="0" borderId="0" xfId="0" applyFont="1"/>
    <xf numFmtId="0" fontId="6" fillId="0" borderId="0" xfId="0" applyFont="1" applyAlignment="1">
      <alignment horizontal="left" vertical="center"/>
    </xf>
    <xf numFmtId="0" fontId="6" fillId="0" borderId="0" xfId="0" applyFont="1" applyAlignment="1">
      <alignment horizontal="left" vertical="center" wrapText="1"/>
    </xf>
    <xf numFmtId="2" fontId="38" fillId="13" borderId="3" xfId="0" applyNumberFormat="1" applyFont="1" applyFill="1" applyBorder="1" applyAlignment="1" applyProtection="1">
      <alignment horizontal="center"/>
      <protection hidden="1"/>
    </xf>
    <xf numFmtId="165" fontId="38" fillId="13" borderId="3" xfId="0" applyNumberFormat="1" applyFont="1" applyFill="1" applyBorder="1" applyAlignment="1" applyProtection="1">
      <alignment horizontal="center"/>
      <protection hidden="1"/>
    </xf>
    <xf numFmtId="2" fontId="38" fillId="11" borderId="3" xfId="0" applyNumberFormat="1" applyFont="1" applyFill="1" applyBorder="1" applyAlignment="1" applyProtection="1">
      <alignment horizontal="center"/>
      <protection hidden="1"/>
    </xf>
    <xf numFmtId="2" fontId="5" fillId="0" borderId="3" xfId="0" applyNumberFormat="1" applyFont="1" applyBorder="1" applyAlignment="1" applyProtection="1">
      <alignment horizontal="center"/>
      <protection hidden="1"/>
    </xf>
    <xf numFmtId="0" fontId="6" fillId="0" borderId="0" xfId="0" applyFont="1" applyAlignment="1">
      <alignment horizontal="left"/>
    </xf>
  </cellXfs>
  <cellStyles count="12">
    <cellStyle name="Calculation" xfId="2" builtinId="22"/>
    <cellStyle name="Input" xfId="11" builtinId="20"/>
    <cellStyle name="Normal" xfId="0" builtinId="0"/>
    <cellStyle name="Normal 2 2" xfId="5" xr:uid="{00000000-0005-0000-0000-000003000000}"/>
    <cellStyle name="Normal 6" xfId="4" xr:uid="{00000000-0005-0000-0000-000004000000}"/>
    <cellStyle name="Normal 7" xfId="8" xr:uid="{00000000-0005-0000-0000-000005000000}"/>
    <cellStyle name="Normal 9" xfId="9" xr:uid="{00000000-0005-0000-0000-000006000000}"/>
    <cellStyle name="Note" xfId="3" builtinId="10" customBuiltin="1"/>
    <cellStyle name="Note 3" xfId="6" xr:uid="{00000000-0005-0000-0000-000008000000}"/>
    <cellStyle name="Note 3 2" xfId="7" xr:uid="{00000000-0005-0000-0000-000009000000}"/>
    <cellStyle name="Output" xfId="10" builtinId="21" customBuiltin="1"/>
    <cellStyle name="Percent" xfId="1" builtinId="5"/>
  </cellStyles>
  <dxfs count="61">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C00000"/>
      </font>
      <fill>
        <patternFill patternType="solid">
          <fgColor auto="1"/>
          <bgColor rgb="FFFFCCCC"/>
        </patternFill>
      </fill>
    </dxf>
    <dxf>
      <font>
        <b/>
        <i val="0"/>
        <color rgb="FF00B050"/>
      </font>
      <fill>
        <patternFill>
          <bgColor theme="9" tint="0.79998168889431442"/>
        </patternFill>
      </fill>
    </dxf>
    <dxf>
      <font>
        <b val="0"/>
        <i val="0"/>
        <strike/>
        <color rgb="FFC00000"/>
      </font>
      <fill>
        <patternFill>
          <bgColor rgb="FFFFCCCC"/>
        </patternFill>
      </fill>
    </dxf>
    <dxf>
      <font>
        <b/>
        <i val="0"/>
        <color rgb="FFC00000"/>
      </font>
      <fill>
        <patternFill patternType="solid">
          <fgColor auto="1"/>
          <bgColor rgb="FFFFCCCC"/>
        </patternFill>
      </fill>
    </dxf>
    <dxf>
      <font>
        <b/>
        <i val="0"/>
        <color rgb="FF00B050"/>
      </font>
      <fill>
        <patternFill>
          <bgColor theme="9" tint="0.79998168889431442"/>
        </patternFill>
      </fill>
    </dxf>
    <dxf>
      <font>
        <b/>
        <i val="0"/>
        <color rgb="FFC00000"/>
      </font>
      <fill>
        <patternFill patternType="solid">
          <fgColor auto="1"/>
          <bgColor rgb="FFFFCCCC"/>
        </patternFill>
      </fill>
    </dxf>
    <dxf>
      <font>
        <b/>
        <i val="0"/>
        <color rgb="FF00B050"/>
      </font>
      <fill>
        <patternFill>
          <bgColor theme="9" tint="0.79998168889431442"/>
        </patternFill>
      </fill>
    </dxf>
    <dxf>
      <font>
        <b val="0"/>
        <i val="0"/>
        <strike/>
        <color rgb="FFC00000"/>
      </font>
      <fill>
        <patternFill>
          <bgColor rgb="FFFFCCCC"/>
        </patternFill>
      </fill>
    </dxf>
    <dxf>
      <font>
        <b/>
        <i val="0"/>
        <color rgb="FFC00000"/>
      </font>
      <fill>
        <patternFill patternType="solid">
          <fgColor auto="1"/>
          <bgColor rgb="FFFFCCCC"/>
        </patternFill>
      </fill>
    </dxf>
    <dxf>
      <font>
        <b/>
        <i val="0"/>
        <color rgb="FF00B050"/>
      </font>
      <fill>
        <patternFill>
          <bgColor theme="9" tint="0.79998168889431442"/>
        </patternFill>
      </fill>
    </dxf>
    <dxf>
      <font>
        <color rgb="FFC00000"/>
      </font>
    </dxf>
    <dxf>
      <font>
        <color rgb="FF00B050"/>
      </font>
    </dxf>
    <dxf>
      <font>
        <color rgb="FFC00000"/>
      </font>
      <fill>
        <patternFill patternType="none">
          <bgColor auto="1"/>
        </patternFill>
      </fill>
    </dxf>
    <dxf>
      <font>
        <color rgb="FF00B050"/>
      </font>
      <fill>
        <patternFill patternType="none">
          <bgColor auto="1"/>
        </patternFill>
      </fill>
    </dxf>
    <dxf>
      <font>
        <color rgb="FF00B050"/>
      </font>
    </dxf>
    <dxf>
      <font>
        <color rgb="FFC00000"/>
      </font>
    </dxf>
    <dxf>
      <font>
        <color rgb="FFC00000"/>
      </font>
      <fill>
        <patternFill patternType="none">
          <bgColor auto="1"/>
        </patternFill>
      </fill>
    </dxf>
    <dxf>
      <font>
        <color rgb="FF00B050"/>
      </font>
      <fill>
        <patternFill patternType="none">
          <bgColor auto="1"/>
        </patternFill>
      </fill>
    </dxf>
    <dxf>
      <font>
        <color rgb="FF00B050"/>
      </font>
    </dxf>
    <dxf>
      <font>
        <color rgb="FFC00000"/>
      </font>
    </dxf>
    <dxf>
      <font>
        <color rgb="FFC00000"/>
      </font>
      <fill>
        <patternFill patternType="none">
          <bgColor auto="1"/>
        </patternFill>
      </fill>
    </dxf>
    <dxf>
      <font>
        <color rgb="FF00B050"/>
      </font>
      <fill>
        <patternFill patternType="none">
          <bgColor auto="1"/>
        </patternFill>
      </fill>
    </dxf>
    <dxf>
      <font>
        <b/>
        <i val="0"/>
        <color rgb="FF00B050"/>
      </font>
      <fill>
        <patternFill>
          <bgColor theme="9" tint="0.79998168889431442"/>
        </patternFill>
      </fill>
    </dxf>
    <dxf>
      <font>
        <b/>
        <i val="0"/>
        <color rgb="FFC00000"/>
      </font>
      <fill>
        <patternFill patternType="solid">
          <fgColor auto="1"/>
          <bgColor rgb="FFFFCCCC"/>
        </patternFill>
      </fill>
    </dxf>
    <dxf>
      <font>
        <color theme="5"/>
      </font>
    </dxf>
    <dxf>
      <font>
        <color rgb="FFFF0000"/>
      </font>
    </dxf>
    <dxf>
      <font>
        <color rgb="FFFF0000"/>
      </font>
    </dxf>
    <dxf>
      <font>
        <b/>
        <i val="0"/>
        <color rgb="FFC00000"/>
      </font>
      <fill>
        <patternFill patternType="solid">
          <fgColor auto="1"/>
          <bgColor rgb="FFFFCCCC"/>
        </patternFill>
      </fill>
    </dxf>
    <dxf>
      <font>
        <b/>
        <i val="0"/>
        <color rgb="FF00B050"/>
      </font>
      <fill>
        <patternFill>
          <bgColor theme="9" tint="0.79998168889431442"/>
        </patternFill>
      </fill>
    </dxf>
    <dxf>
      <font>
        <color rgb="FFFF0000"/>
      </font>
    </dxf>
    <dxf>
      <font>
        <color theme="5"/>
      </font>
    </dxf>
    <dxf>
      <font>
        <color rgb="FFFF0000"/>
      </font>
    </dxf>
    <dxf>
      <font>
        <b/>
        <i val="0"/>
        <color rgb="FF00B050"/>
      </font>
      <fill>
        <patternFill>
          <bgColor theme="9" tint="0.79998168889431442"/>
        </patternFill>
      </fill>
    </dxf>
    <dxf>
      <font>
        <b/>
        <i val="0"/>
        <color rgb="FFC00000"/>
      </font>
      <fill>
        <patternFill patternType="solid">
          <fgColor auto="1"/>
          <bgColor rgb="FFFFCCCC"/>
        </patternFill>
      </fill>
    </dxf>
    <dxf>
      <font>
        <b/>
        <i val="0"/>
        <color theme="8"/>
      </font>
    </dxf>
    <dxf>
      <font>
        <b/>
        <i val="0"/>
      </font>
      <fill>
        <patternFill>
          <bgColor rgb="FF99FF33"/>
        </patternFill>
      </fill>
    </dxf>
    <dxf>
      <font>
        <color theme="1" tint="0.499984740745262"/>
      </font>
    </dxf>
    <dxf>
      <font>
        <color rgb="FFFF0000"/>
      </font>
    </dxf>
    <dxf>
      <font>
        <strike val="0"/>
        <color rgb="FFFF0000"/>
      </font>
    </dxf>
    <dxf>
      <font>
        <b val="0"/>
        <i val="0"/>
        <color theme="1" tint="0.499984740745262"/>
      </font>
    </dxf>
    <dxf>
      <font>
        <color theme="5"/>
      </font>
    </dxf>
    <dxf>
      <font>
        <color rgb="FFFF0000"/>
      </font>
    </dxf>
    <dxf>
      <font>
        <color rgb="FFFF0000"/>
      </font>
    </dxf>
    <dxf>
      <font>
        <b/>
        <i val="0"/>
        <color rgb="FF7030A0"/>
      </font>
    </dxf>
    <dxf>
      <font>
        <b/>
        <i val="0"/>
        <color rgb="FF00B050"/>
      </font>
    </dxf>
    <dxf>
      <font>
        <b/>
        <i val="0"/>
        <color theme="8"/>
      </font>
    </dxf>
    <dxf>
      <font>
        <b/>
        <i val="0"/>
      </font>
      <fill>
        <patternFill>
          <bgColor rgb="FF99FF33"/>
        </patternFill>
      </fill>
    </dxf>
    <dxf>
      <font>
        <b/>
        <i val="0"/>
      </font>
      <fill>
        <patternFill>
          <bgColor rgb="FF99FF33"/>
        </patternFill>
      </fill>
    </dxf>
    <dxf>
      <font>
        <b/>
        <i val="0"/>
        <color theme="8"/>
      </font>
    </dxf>
    <dxf>
      <font>
        <strike val="0"/>
        <outline val="0"/>
        <shadow val="0"/>
        <sz val="10"/>
        <name val="Calibri"/>
        <scheme val="minor"/>
      </font>
      <alignment horizontal="center" vertical="bottom" textRotation="0" wrapText="0" indent="0" justifyLastLine="0" shrinkToFit="0" readingOrder="0"/>
      <protection locked="1" hidden="0"/>
    </dxf>
    <dxf>
      <font>
        <strike val="0"/>
        <outline val="0"/>
        <shadow val="0"/>
        <sz val="10"/>
        <name val="Calibri"/>
        <scheme val="minor"/>
      </font>
      <alignment horizontal="center" vertical="bottom" textRotation="0" wrapText="0" indent="0" justifyLastLine="0" shrinkToFit="0" readingOrder="0"/>
      <protection locked="1" hidden="0"/>
    </dxf>
    <dxf>
      <font>
        <strike val="0"/>
        <outline val="0"/>
        <shadow val="0"/>
        <sz val="10"/>
        <name val="Calibri"/>
        <scheme val="minor"/>
      </font>
      <alignment horizontal="center" vertical="bottom" textRotation="0" wrapText="0" indent="0" justifyLastLine="0" shrinkToFit="0" readingOrder="0"/>
      <protection locked="1" hidden="0"/>
    </dxf>
    <dxf>
      <font>
        <strike val="0"/>
        <outline val="0"/>
        <shadow val="0"/>
        <sz val="10"/>
        <name val="Calibri"/>
        <scheme val="minor"/>
      </font>
      <alignment horizontal="center" vertical="bottom" textRotation="0" wrapText="0" indent="0" justifyLastLine="0" shrinkToFit="0" readingOrder="0"/>
      <protection locked="1" hidden="0"/>
    </dxf>
    <dxf>
      <font>
        <strike val="0"/>
        <outline val="0"/>
        <shadow val="0"/>
        <sz val="10"/>
        <name val="Calibri"/>
        <scheme val="minor"/>
      </font>
      <alignment horizontal="center" vertical="bottom" textRotation="0" wrapText="0" indent="0" justifyLastLine="0" shrinkToFit="0" readingOrder="0"/>
      <protection locked="1" hidden="0"/>
    </dxf>
    <dxf>
      <font>
        <b/>
        <i val="0"/>
        <strike val="0"/>
        <condense val="0"/>
        <extend val="0"/>
        <outline val="0"/>
        <shadow val="0"/>
        <u val="none"/>
        <vertAlign val="baseline"/>
        <sz val="10"/>
        <color theme="1"/>
        <name val="Calibri"/>
        <scheme val="minor"/>
      </font>
      <alignment horizontal="left" vertical="center" textRotation="0" wrapText="0" indent="0" justifyLastLine="0" shrinkToFit="0" readingOrder="0"/>
      <protection locked="1" hidden="0"/>
    </dxf>
  </dxfs>
  <tableStyles count="0" defaultTableStyle="TableStyleMedium2" defaultPivotStyle="PivotStyleLight16"/>
  <colors>
    <mruColors>
      <color rgb="FF0000FF"/>
      <color rgb="FFFF00FF"/>
      <color rgb="FFCCFFFF"/>
      <color rgb="FFFFFF00"/>
      <color rgb="FFFFCCCC"/>
      <color rgb="FFFF7C80"/>
      <color rgb="FFCC00CC"/>
      <color rgb="FFFF9999"/>
      <color rgb="FFFFFF6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openxmlformats.org/officeDocument/2006/relationships/sheetMetadata" Target="metadata.xml"/><Relationship Id="rId10" Type="http://schemas.microsoft.com/office/2007/relationships/slicerCache" Target="slicerCaches/slicerCach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Bending Moment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v>Required Bending Strength</c:v>
          </c:tx>
          <c:spPr>
            <a:ln w="19050" cap="rnd">
              <a:solidFill>
                <a:schemeClr val="accent1"/>
              </a:solidFill>
              <a:round/>
            </a:ln>
            <a:effectLst/>
          </c:spPr>
          <c:marker>
            <c:symbol val="none"/>
          </c:marker>
          <c:xVal>
            <c:numRef>
              <c:f>Analysis!$H$9:$H$109</c:f>
              <c:numCache>
                <c:formatCode>General</c:formatCode>
                <c:ptCount val="101"/>
                <c:pt idx="0">
                  <c:v>0</c:v>
                </c:pt>
                <c:pt idx="1">
                  <c:v>0.24</c:v>
                </c:pt>
                <c:pt idx="2">
                  <c:v>0.48</c:v>
                </c:pt>
                <c:pt idx="3">
                  <c:v>0.72</c:v>
                </c:pt>
                <c:pt idx="4">
                  <c:v>0.96</c:v>
                </c:pt>
                <c:pt idx="5">
                  <c:v>1.2</c:v>
                </c:pt>
                <c:pt idx="6">
                  <c:v>1.44</c:v>
                </c:pt>
                <c:pt idx="7">
                  <c:v>1.68</c:v>
                </c:pt>
                <c:pt idx="8">
                  <c:v>1.92</c:v>
                </c:pt>
                <c:pt idx="9">
                  <c:v>2.16</c:v>
                </c:pt>
                <c:pt idx="10">
                  <c:v>2.4000000000000004</c:v>
                </c:pt>
                <c:pt idx="11">
                  <c:v>2.6400000000000006</c:v>
                </c:pt>
                <c:pt idx="12">
                  <c:v>2.8800000000000008</c:v>
                </c:pt>
                <c:pt idx="13">
                  <c:v>3.120000000000001</c:v>
                </c:pt>
                <c:pt idx="14">
                  <c:v>3.3600000000000012</c:v>
                </c:pt>
                <c:pt idx="15">
                  <c:v>3.6000000000000014</c:v>
                </c:pt>
                <c:pt idx="16">
                  <c:v>3.8400000000000016</c:v>
                </c:pt>
                <c:pt idx="17">
                  <c:v>4.0800000000000018</c:v>
                </c:pt>
                <c:pt idx="18">
                  <c:v>4.3200000000000021</c:v>
                </c:pt>
                <c:pt idx="19">
                  <c:v>4.5600000000000023</c:v>
                </c:pt>
                <c:pt idx="20">
                  <c:v>4.8000000000000025</c:v>
                </c:pt>
                <c:pt idx="21">
                  <c:v>5.0400000000000027</c:v>
                </c:pt>
                <c:pt idx="22">
                  <c:v>5.2800000000000029</c:v>
                </c:pt>
                <c:pt idx="23">
                  <c:v>5.5200000000000031</c:v>
                </c:pt>
                <c:pt idx="24">
                  <c:v>5.7600000000000033</c:v>
                </c:pt>
                <c:pt idx="25">
                  <c:v>6.0000000000000036</c:v>
                </c:pt>
                <c:pt idx="26">
                  <c:v>6.2400000000000038</c:v>
                </c:pt>
                <c:pt idx="27">
                  <c:v>6.480000000000004</c:v>
                </c:pt>
                <c:pt idx="28">
                  <c:v>6.7200000000000042</c:v>
                </c:pt>
                <c:pt idx="29">
                  <c:v>6.9600000000000044</c:v>
                </c:pt>
                <c:pt idx="30">
                  <c:v>7.2000000000000046</c:v>
                </c:pt>
                <c:pt idx="31">
                  <c:v>7.4400000000000048</c:v>
                </c:pt>
                <c:pt idx="32">
                  <c:v>7.680000000000005</c:v>
                </c:pt>
                <c:pt idx="33">
                  <c:v>7.9200000000000053</c:v>
                </c:pt>
                <c:pt idx="34">
                  <c:v>8.1600000000000055</c:v>
                </c:pt>
                <c:pt idx="35">
                  <c:v>8.4000000000000057</c:v>
                </c:pt>
                <c:pt idx="36">
                  <c:v>8.6400000000000059</c:v>
                </c:pt>
                <c:pt idx="37">
                  <c:v>8.8800000000000061</c:v>
                </c:pt>
                <c:pt idx="38">
                  <c:v>9.1200000000000063</c:v>
                </c:pt>
                <c:pt idx="39">
                  <c:v>9.3600000000000065</c:v>
                </c:pt>
                <c:pt idx="40">
                  <c:v>9.6000000000000068</c:v>
                </c:pt>
                <c:pt idx="41">
                  <c:v>9.840000000000007</c:v>
                </c:pt>
                <c:pt idx="42">
                  <c:v>10.080000000000007</c:v>
                </c:pt>
                <c:pt idx="43">
                  <c:v>10.320000000000007</c:v>
                </c:pt>
                <c:pt idx="44">
                  <c:v>10.560000000000008</c:v>
                </c:pt>
                <c:pt idx="45">
                  <c:v>10.800000000000008</c:v>
                </c:pt>
                <c:pt idx="46">
                  <c:v>11.040000000000008</c:v>
                </c:pt>
                <c:pt idx="47">
                  <c:v>11.280000000000008</c:v>
                </c:pt>
                <c:pt idx="48">
                  <c:v>11.520000000000008</c:v>
                </c:pt>
                <c:pt idx="49">
                  <c:v>11.760000000000009</c:v>
                </c:pt>
                <c:pt idx="50">
                  <c:v>12.000000000000009</c:v>
                </c:pt>
                <c:pt idx="51">
                  <c:v>12.240000000000009</c:v>
                </c:pt>
                <c:pt idx="52">
                  <c:v>12.480000000000009</c:v>
                </c:pt>
                <c:pt idx="53">
                  <c:v>12.72000000000001</c:v>
                </c:pt>
                <c:pt idx="54">
                  <c:v>12.96000000000001</c:v>
                </c:pt>
                <c:pt idx="55">
                  <c:v>13.20000000000001</c:v>
                </c:pt>
                <c:pt idx="56">
                  <c:v>13.44000000000001</c:v>
                </c:pt>
                <c:pt idx="57">
                  <c:v>13.68000000000001</c:v>
                </c:pt>
                <c:pt idx="58">
                  <c:v>13.920000000000011</c:v>
                </c:pt>
                <c:pt idx="59">
                  <c:v>14.160000000000011</c:v>
                </c:pt>
                <c:pt idx="60">
                  <c:v>14.400000000000011</c:v>
                </c:pt>
                <c:pt idx="61">
                  <c:v>14.640000000000011</c:v>
                </c:pt>
                <c:pt idx="62">
                  <c:v>14.880000000000011</c:v>
                </c:pt>
                <c:pt idx="63">
                  <c:v>15.120000000000012</c:v>
                </c:pt>
                <c:pt idx="64">
                  <c:v>15.360000000000012</c:v>
                </c:pt>
                <c:pt idx="65">
                  <c:v>15.600000000000012</c:v>
                </c:pt>
                <c:pt idx="66">
                  <c:v>15.840000000000012</c:v>
                </c:pt>
                <c:pt idx="67">
                  <c:v>16.080000000000013</c:v>
                </c:pt>
                <c:pt idx="68">
                  <c:v>16.320000000000011</c:v>
                </c:pt>
                <c:pt idx="69">
                  <c:v>16.560000000000009</c:v>
                </c:pt>
                <c:pt idx="70">
                  <c:v>16.800000000000008</c:v>
                </c:pt>
                <c:pt idx="71">
                  <c:v>17.040000000000006</c:v>
                </c:pt>
                <c:pt idx="72">
                  <c:v>17.280000000000005</c:v>
                </c:pt>
                <c:pt idx="73">
                  <c:v>17.520000000000003</c:v>
                </c:pt>
                <c:pt idx="74">
                  <c:v>17.760000000000002</c:v>
                </c:pt>
                <c:pt idx="75">
                  <c:v>18</c:v>
                </c:pt>
                <c:pt idx="76">
                  <c:v>18.239999999999998</c:v>
                </c:pt>
                <c:pt idx="77">
                  <c:v>18.479999999999997</c:v>
                </c:pt>
                <c:pt idx="78">
                  <c:v>18.719999999999995</c:v>
                </c:pt>
                <c:pt idx="79">
                  <c:v>18.959999999999994</c:v>
                </c:pt>
                <c:pt idx="80">
                  <c:v>19.199999999999992</c:v>
                </c:pt>
                <c:pt idx="81">
                  <c:v>19.439999999999991</c:v>
                </c:pt>
                <c:pt idx="82">
                  <c:v>19.679999999999989</c:v>
                </c:pt>
                <c:pt idx="83">
                  <c:v>19.919999999999987</c:v>
                </c:pt>
                <c:pt idx="84">
                  <c:v>20.159999999999986</c:v>
                </c:pt>
                <c:pt idx="85">
                  <c:v>20.399999999999984</c:v>
                </c:pt>
                <c:pt idx="86">
                  <c:v>20.639999999999983</c:v>
                </c:pt>
                <c:pt idx="87">
                  <c:v>20.879999999999981</c:v>
                </c:pt>
                <c:pt idx="88">
                  <c:v>21.11999999999998</c:v>
                </c:pt>
                <c:pt idx="89">
                  <c:v>21.359999999999978</c:v>
                </c:pt>
                <c:pt idx="90">
                  <c:v>21.599999999999977</c:v>
                </c:pt>
                <c:pt idx="91">
                  <c:v>21.839999999999975</c:v>
                </c:pt>
                <c:pt idx="92">
                  <c:v>22.079999999999973</c:v>
                </c:pt>
                <c:pt idx="93">
                  <c:v>22.319999999999972</c:v>
                </c:pt>
                <c:pt idx="94">
                  <c:v>22.55999999999997</c:v>
                </c:pt>
                <c:pt idx="95">
                  <c:v>22.799999999999969</c:v>
                </c:pt>
                <c:pt idx="96">
                  <c:v>23.039999999999967</c:v>
                </c:pt>
                <c:pt idx="97">
                  <c:v>23.279999999999966</c:v>
                </c:pt>
                <c:pt idx="98">
                  <c:v>23.519999999999964</c:v>
                </c:pt>
                <c:pt idx="99">
                  <c:v>23.759999999999962</c:v>
                </c:pt>
                <c:pt idx="100">
                  <c:v>23.999999999999961</c:v>
                </c:pt>
              </c:numCache>
            </c:numRef>
          </c:xVal>
          <c:yVal>
            <c:numRef>
              <c:f>Analysis!$Q$9:$Q$109</c:f>
              <c:numCache>
                <c:formatCode>0.00</c:formatCode>
                <c:ptCount val="101"/>
                <c:pt idx="0">
                  <c:v>0</c:v>
                </c:pt>
                <c:pt idx="1">
                  <c:v>6.135782400000001</c:v>
                </c:pt>
                <c:pt idx="2">
                  <c:v>12.147609599999999</c:v>
                </c:pt>
                <c:pt idx="3">
                  <c:v>18.035481600000001</c:v>
                </c:pt>
                <c:pt idx="4">
                  <c:v>23.799398399999998</c:v>
                </c:pt>
                <c:pt idx="5">
                  <c:v>29.439360000000004</c:v>
                </c:pt>
                <c:pt idx="6">
                  <c:v>34.955366400000003</c:v>
                </c:pt>
                <c:pt idx="7">
                  <c:v>40.3474176</c:v>
                </c:pt>
                <c:pt idx="8">
                  <c:v>45.6155136</c:v>
                </c:pt>
                <c:pt idx="9">
                  <c:v>50.759654400000009</c:v>
                </c:pt>
                <c:pt idx="10">
                  <c:v>55.779840000000014</c:v>
                </c:pt>
                <c:pt idx="11">
                  <c:v>60.676070400000015</c:v>
                </c:pt>
                <c:pt idx="12">
                  <c:v>65.44834560000001</c:v>
                </c:pt>
                <c:pt idx="13">
                  <c:v>70.096665600000023</c:v>
                </c:pt>
                <c:pt idx="14">
                  <c:v>74.621030400000024</c:v>
                </c:pt>
                <c:pt idx="15">
                  <c:v>79.021440000000041</c:v>
                </c:pt>
                <c:pt idx="16">
                  <c:v>83.297894400000018</c:v>
                </c:pt>
                <c:pt idx="17">
                  <c:v>87.450393600000041</c:v>
                </c:pt>
                <c:pt idx="18">
                  <c:v>91.478937600000037</c:v>
                </c:pt>
                <c:pt idx="19">
                  <c:v>95.383526400000051</c:v>
                </c:pt>
                <c:pt idx="20">
                  <c:v>99.164160000000038</c:v>
                </c:pt>
                <c:pt idx="21">
                  <c:v>102.82083840000006</c:v>
                </c:pt>
                <c:pt idx="22">
                  <c:v>106.35356160000006</c:v>
                </c:pt>
                <c:pt idx="23">
                  <c:v>109.76232960000004</c:v>
                </c:pt>
                <c:pt idx="24">
                  <c:v>113.04714240000003</c:v>
                </c:pt>
                <c:pt idx="25">
                  <c:v>116.20800000000004</c:v>
                </c:pt>
                <c:pt idx="26">
                  <c:v>119.24490240000006</c:v>
                </c:pt>
                <c:pt idx="27">
                  <c:v>122.15784960000005</c:v>
                </c:pt>
                <c:pt idx="28">
                  <c:v>124.94684160000004</c:v>
                </c:pt>
                <c:pt idx="29">
                  <c:v>127.61187840000005</c:v>
                </c:pt>
                <c:pt idx="30">
                  <c:v>130.15296000000006</c:v>
                </c:pt>
                <c:pt idx="31">
                  <c:v>132.57008640000004</c:v>
                </c:pt>
                <c:pt idx="32">
                  <c:v>134.86325760000003</c:v>
                </c:pt>
                <c:pt idx="33">
                  <c:v>137.03247360000009</c:v>
                </c:pt>
                <c:pt idx="34">
                  <c:v>139.07773440000005</c:v>
                </c:pt>
                <c:pt idx="35">
                  <c:v>140.99904000000006</c:v>
                </c:pt>
                <c:pt idx="36">
                  <c:v>142.79639040000006</c:v>
                </c:pt>
                <c:pt idx="37">
                  <c:v>144.46978560000005</c:v>
                </c:pt>
                <c:pt idx="38">
                  <c:v>146.01922560000006</c:v>
                </c:pt>
                <c:pt idx="39">
                  <c:v>147.44471040000005</c:v>
                </c:pt>
                <c:pt idx="40">
                  <c:v>148.74624000000006</c:v>
                </c:pt>
                <c:pt idx="41">
                  <c:v>149.92381440000003</c:v>
                </c:pt>
                <c:pt idx="42">
                  <c:v>150.97743360000004</c:v>
                </c:pt>
                <c:pt idx="43">
                  <c:v>151.90709760000004</c:v>
                </c:pt>
                <c:pt idx="44">
                  <c:v>152.71280640000003</c:v>
                </c:pt>
                <c:pt idx="45">
                  <c:v>153.39456000000004</c:v>
                </c:pt>
                <c:pt idx="46">
                  <c:v>153.95235840000001</c:v>
                </c:pt>
                <c:pt idx="47">
                  <c:v>154.38620160000002</c:v>
                </c:pt>
                <c:pt idx="48">
                  <c:v>154.69608960000002</c:v>
                </c:pt>
                <c:pt idx="49">
                  <c:v>154.88202240000001</c:v>
                </c:pt>
                <c:pt idx="50">
                  <c:v>154.94399999999999</c:v>
                </c:pt>
                <c:pt idx="51">
                  <c:v>154.88202240000001</c:v>
                </c:pt>
                <c:pt idx="52">
                  <c:v>154.69608959999999</c:v>
                </c:pt>
                <c:pt idx="53">
                  <c:v>154.38620159999999</c:v>
                </c:pt>
                <c:pt idx="54">
                  <c:v>153.95235839999998</c:v>
                </c:pt>
                <c:pt idx="55">
                  <c:v>153.39455999999998</c:v>
                </c:pt>
                <c:pt idx="56">
                  <c:v>152.71280639999998</c:v>
                </c:pt>
                <c:pt idx="57">
                  <c:v>151.90709759999996</c:v>
                </c:pt>
                <c:pt idx="58">
                  <c:v>150.97743359999998</c:v>
                </c:pt>
                <c:pt idx="59">
                  <c:v>149.92381439999994</c:v>
                </c:pt>
                <c:pt idx="60">
                  <c:v>148.74623999999997</c:v>
                </c:pt>
                <c:pt idx="61">
                  <c:v>147.44471039999996</c:v>
                </c:pt>
                <c:pt idx="62">
                  <c:v>146.01922559999994</c:v>
                </c:pt>
                <c:pt idx="63">
                  <c:v>144.46978559999994</c:v>
                </c:pt>
                <c:pt idx="64">
                  <c:v>142.79639039999995</c:v>
                </c:pt>
                <c:pt idx="65">
                  <c:v>140.99903999999989</c:v>
                </c:pt>
                <c:pt idx="66">
                  <c:v>139.07773439999988</c:v>
                </c:pt>
                <c:pt idx="67">
                  <c:v>137.03247359999989</c:v>
                </c:pt>
                <c:pt idx="68">
                  <c:v>134.86325759999991</c:v>
                </c:pt>
                <c:pt idx="69">
                  <c:v>132.57008639999989</c:v>
                </c:pt>
                <c:pt idx="70">
                  <c:v>130.15295999999992</c:v>
                </c:pt>
                <c:pt idx="71">
                  <c:v>127.61187839999994</c:v>
                </c:pt>
                <c:pt idx="72">
                  <c:v>124.94684159999994</c:v>
                </c:pt>
                <c:pt idx="73">
                  <c:v>122.15784959999996</c:v>
                </c:pt>
                <c:pt idx="74">
                  <c:v>119.24490239999997</c:v>
                </c:pt>
                <c:pt idx="75">
                  <c:v>116.20800000000001</c:v>
                </c:pt>
                <c:pt idx="76">
                  <c:v>113.04714240000003</c:v>
                </c:pt>
                <c:pt idx="77">
                  <c:v>109.76232960000006</c:v>
                </c:pt>
                <c:pt idx="78">
                  <c:v>106.35356160000008</c:v>
                </c:pt>
                <c:pt idx="79">
                  <c:v>102.8208384000001</c:v>
                </c:pt>
                <c:pt idx="80">
                  <c:v>99.164160000000109</c:v>
                </c:pt>
                <c:pt idx="81">
                  <c:v>95.383526400000164</c:v>
                </c:pt>
                <c:pt idx="82">
                  <c:v>91.478937600000194</c:v>
                </c:pt>
                <c:pt idx="83">
                  <c:v>87.450393600000211</c:v>
                </c:pt>
                <c:pt idx="84">
                  <c:v>83.297894400000246</c:v>
                </c:pt>
                <c:pt idx="85">
                  <c:v>79.021440000000283</c:v>
                </c:pt>
                <c:pt idx="86">
                  <c:v>74.621030400000336</c:v>
                </c:pt>
                <c:pt idx="87">
                  <c:v>70.096665600000364</c:v>
                </c:pt>
                <c:pt idx="88">
                  <c:v>65.448345600000408</c:v>
                </c:pt>
                <c:pt idx="89">
                  <c:v>60.676070400000441</c:v>
                </c:pt>
                <c:pt idx="90">
                  <c:v>55.779840000000483</c:v>
                </c:pt>
                <c:pt idx="91">
                  <c:v>50.759654400000535</c:v>
                </c:pt>
                <c:pt idx="92">
                  <c:v>45.615513600000575</c:v>
                </c:pt>
                <c:pt idx="93">
                  <c:v>40.347417600000632</c:v>
                </c:pt>
                <c:pt idx="94">
                  <c:v>34.955366400000671</c:v>
                </c:pt>
                <c:pt idx="95">
                  <c:v>29.439360000000725</c:v>
                </c:pt>
                <c:pt idx="96">
                  <c:v>23.799398400000783</c:v>
                </c:pt>
                <c:pt idx="97">
                  <c:v>18.035481600000836</c:v>
                </c:pt>
                <c:pt idx="98">
                  <c:v>12.147609600000891</c:v>
                </c:pt>
                <c:pt idx="99">
                  <c:v>6.1357824000009495</c:v>
                </c:pt>
                <c:pt idx="100">
                  <c:v>1.0091980584547838E-12</c:v>
                </c:pt>
              </c:numCache>
            </c:numRef>
          </c:yVal>
          <c:smooth val="1"/>
          <c:extLst>
            <c:ext xmlns:c16="http://schemas.microsoft.com/office/drawing/2014/chart" uri="{C3380CC4-5D6E-409C-BE32-E72D297353CC}">
              <c16:uniqueId val="{00000000-78BC-4EBE-9928-E05169D73387}"/>
            </c:ext>
          </c:extLst>
        </c:ser>
        <c:ser>
          <c:idx val="1"/>
          <c:order val="1"/>
          <c:tx>
            <c:v>Available Bending Strength</c:v>
          </c:tx>
          <c:spPr>
            <a:ln w="28575" cap="rnd">
              <a:solidFill>
                <a:srgbClr val="FF0000"/>
              </a:solidFill>
              <a:prstDash val="dash"/>
              <a:round/>
            </a:ln>
            <a:effectLst/>
          </c:spPr>
          <c:marker>
            <c:symbol val="none"/>
          </c:marker>
          <c:xVal>
            <c:numRef>
              <c:f>Analysis!$H$9:$H$109</c:f>
              <c:numCache>
                <c:formatCode>General</c:formatCode>
                <c:ptCount val="101"/>
                <c:pt idx="0">
                  <c:v>0</c:v>
                </c:pt>
                <c:pt idx="1">
                  <c:v>0.24</c:v>
                </c:pt>
                <c:pt idx="2">
                  <c:v>0.48</c:v>
                </c:pt>
                <c:pt idx="3">
                  <c:v>0.72</c:v>
                </c:pt>
                <c:pt idx="4">
                  <c:v>0.96</c:v>
                </c:pt>
                <c:pt idx="5">
                  <c:v>1.2</c:v>
                </c:pt>
                <c:pt idx="6">
                  <c:v>1.44</c:v>
                </c:pt>
                <c:pt idx="7">
                  <c:v>1.68</c:v>
                </c:pt>
                <c:pt idx="8">
                  <c:v>1.92</c:v>
                </c:pt>
                <c:pt idx="9">
                  <c:v>2.16</c:v>
                </c:pt>
                <c:pt idx="10">
                  <c:v>2.4000000000000004</c:v>
                </c:pt>
                <c:pt idx="11">
                  <c:v>2.6400000000000006</c:v>
                </c:pt>
                <c:pt idx="12">
                  <c:v>2.8800000000000008</c:v>
                </c:pt>
                <c:pt idx="13">
                  <c:v>3.120000000000001</c:v>
                </c:pt>
                <c:pt idx="14">
                  <c:v>3.3600000000000012</c:v>
                </c:pt>
                <c:pt idx="15">
                  <c:v>3.6000000000000014</c:v>
                </c:pt>
                <c:pt idx="16">
                  <c:v>3.8400000000000016</c:v>
                </c:pt>
                <c:pt idx="17">
                  <c:v>4.0800000000000018</c:v>
                </c:pt>
                <c:pt idx="18">
                  <c:v>4.3200000000000021</c:v>
                </c:pt>
                <c:pt idx="19">
                  <c:v>4.5600000000000023</c:v>
                </c:pt>
                <c:pt idx="20">
                  <c:v>4.8000000000000025</c:v>
                </c:pt>
                <c:pt idx="21">
                  <c:v>5.0400000000000027</c:v>
                </c:pt>
                <c:pt idx="22">
                  <c:v>5.2800000000000029</c:v>
                </c:pt>
                <c:pt idx="23">
                  <c:v>5.5200000000000031</c:v>
                </c:pt>
                <c:pt idx="24">
                  <c:v>5.7600000000000033</c:v>
                </c:pt>
                <c:pt idx="25">
                  <c:v>6.0000000000000036</c:v>
                </c:pt>
                <c:pt idx="26">
                  <c:v>6.2400000000000038</c:v>
                </c:pt>
                <c:pt idx="27">
                  <c:v>6.480000000000004</c:v>
                </c:pt>
                <c:pt idx="28">
                  <c:v>6.7200000000000042</c:v>
                </c:pt>
                <c:pt idx="29">
                  <c:v>6.9600000000000044</c:v>
                </c:pt>
                <c:pt idx="30">
                  <c:v>7.2000000000000046</c:v>
                </c:pt>
                <c:pt idx="31">
                  <c:v>7.4400000000000048</c:v>
                </c:pt>
                <c:pt idx="32">
                  <c:v>7.680000000000005</c:v>
                </c:pt>
                <c:pt idx="33">
                  <c:v>7.9200000000000053</c:v>
                </c:pt>
                <c:pt idx="34">
                  <c:v>8.1600000000000055</c:v>
                </c:pt>
                <c:pt idx="35">
                  <c:v>8.4000000000000057</c:v>
                </c:pt>
                <c:pt idx="36">
                  <c:v>8.6400000000000059</c:v>
                </c:pt>
                <c:pt idx="37">
                  <c:v>8.8800000000000061</c:v>
                </c:pt>
                <c:pt idx="38">
                  <c:v>9.1200000000000063</c:v>
                </c:pt>
                <c:pt idx="39">
                  <c:v>9.3600000000000065</c:v>
                </c:pt>
                <c:pt idx="40">
                  <c:v>9.6000000000000068</c:v>
                </c:pt>
                <c:pt idx="41">
                  <c:v>9.840000000000007</c:v>
                </c:pt>
                <c:pt idx="42">
                  <c:v>10.080000000000007</c:v>
                </c:pt>
                <c:pt idx="43">
                  <c:v>10.320000000000007</c:v>
                </c:pt>
                <c:pt idx="44">
                  <c:v>10.560000000000008</c:v>
                </c:pt>
                <c:pt idx="45">
                  <c:v>10.800000000000008</c:v>
                </c:pt>
                <c:pt idx="46">
                  <c:v>11.040000000000008</c:v>
                </c:pt>
                <c:pt idx="47">
                  <c:v>11.280000000000008</c:v>
                </c:pt>
                <c:pt idx="48">
                  <c:v>11.520000000000008</c:v>
                </c:pt>
                <c:pt idx="49">
                  <c:v>11.760000000000009</c:v>
                </c:pt>
                <c:pt idx="50">
                  <c:v>12.000000000000009</c:v>
                </c:pt>
                <c:pt idx="51">
                  <c:v>12.240000000000009</c:v>
                </c:pt>
                <c:pt idx="52">
                  <c:v>12.480000000000009</c:v>
                </c:pt>
                <c:pt idx="53">
                  <c:v>12.72000000000001</c:v>
                </c:pt>
                <c:pt idx="54">
                  <c:v>12.96000000000001</c:v>
                </c:pt>
                <c:pt idx="55">
                  <c:v>13.20000000000001</c:v>
                </c:pt>
                <c:pt idx="56">
                  <c:v>13.44000000000001</c:v>
                </c:pt>
                <c:pt idx="57">
                  <c:v>13.68000000000001</c:v>
                </c:pt>
                <c:pt idx="58">
                  <c:v>13.920000000000011</c:v>
                </c:pt>
                <c:pt idx="59">
                  <c:v>14.160000000000011</c:v>
                </c:pt>
                <c:pt idx="60">
                  <c:v>14.400000000000011</c:v>
                </c:pt>
                <c:pt idx="61">
                  <c:v>14.640000000000011</c:v>
                </c:pt>
                <c:pt idx="62">
                  <c:v>14.880000000000011</c:v>
                </c:pt>
                <c:pt idx="63">
                  <c:v>15.120000000000012</c:v>
                </c:pt>
                <c:pt idx="64">
                  <c:v>15.360000000000012</c:v>
                </c:pt>
                <c:pt idx="65">
                  <c:v>15.600000000000012</c:v>
                </c:pt>
                <c:pt idx="66">
                  <c:v>15.840000000000012</c:v>
                </c:pt>
                <c:pt idx="67">
                  <c:v>16.080000000000013</c:v>
                </c:pt>
                <c:pt idx="68">
                  <c:v>16.320000000000011</c:v>
                </c:pt>
                <c:pt idx="69">
                  <c:v>16.560000000000009</c:v>
                </c:pt>
                <c:pt idx="70">
                  <c:v>16.800000000000008</c:v>
                </c:pt>
                <c:pt idx="71">
                  <c:v>17.040000000000006</c:v>
                </c:pt>
                <c:pt idx="72">
                  <c:v>17.280000000000005</c:v>
                </c:pt>
                <c:pt idx="73">
                  <c:v>17.520000000000003</c:v>
                </c:pt>
                <c:pt idx="74">
                  <c:v>17.760000000000002</c:v>
                </c:pt>
                <c:pt idx="75">
                  <c:v>18</c:v>
                </c:pt>
                <c:pt idx="76">
                  <c:v>18.239999999999998</c:v>
                </c:pt>
                <c:pt idx="77">
                  <c:v>18.479999999999997</c:v>
                </c:pt>
                <c:pt idx="78">
                  <c:v>18.719999999999995</c:v>
                </c:pt>
                <c:pt idx="79">
                  <c:v>18.959999999999994</c:v>
                </c:pt>
                <c:pt idx="80">
                  <c:v>19.199999999999992</c:v>
                </c:pt>
                <c:pt idx="81">
                  <c:v>19.439999999999991</c:v>
                </c:pt>
                <c:pt idx="82">
                  <c:v>19.679999999999989</c:v>
                </c:pt>
                <c:pt idx="83">
                  <c:v>19.919999999999987</c:v>
                </c:pt>
                <c:pt idx="84">
                  <c:v>20.159999999999986</c:v>
                </c:pt>
                <c:pt idx="85">
                  <c:v>20.399999999999984</c:v>
                </c:pt>
                <c:pt idx="86">
                  <c:v>20.639999999999983</c:v>
                </c:pt>
                <c:pt idx="87">
                  <c:v>20.879999999999981</c:v>
                </c:pt>
                <c:pt idx="88">
                  <c:v>21.11999999999998</c:v>
                </c:pt>
                <c:pt idx="89">
                  <c:v>21.359999999999978</c:v>
                </c:pt>
                <c:pt idx="90">
                  <c:v>21.599999999999977</c:v>
                </c:pt>
                <c:pt idx="91">
                  <c:v>21.839999999999975</c:v>
                </c:pt>
                <c:pt idx="92">
                  <c:v>22.079999999999973</c:v>
                </c:pt>
                <c:pt idx="93">
                  <c:v>22.319999999999972</c:v>
                </c:pt>
                <c:pt idx="94">
                  <c:v>22.55999999999997</c:v>
                </c:pt>
                <c:pt idx="95">
                  <c:v>22.799999999999969</c:v>
                </c:pt>
                <c:pt idx="96">
                  <c:v>23.039999999999967</c:v>
                </c:pt>
                <c:pt idx="97">
                  <c:v>23.279999999999966</c:v>
                </c:pt>
                <c:pt idx="98">
                  <c:v>23.519999999999964</c:v>
                </c:pt>
                <c:pt idx="99">
                  <c:v>23.759999999999962</c:v>
                </c:pt>
                <c:pt idx="100">
                  <c:v>23.999999999999961</c:v>
                </c:pt>
              </c:numCache>
            </c:numRef>
          </c:xVal>
          <c:yVal>
            <c:numRef>
              <c:f>Analysis!$AK$9:$AK$109</c:f>
              <c:numCache>
                <c:formatCode>General</c:formatCode>
                <c:ptCount val="101"/>
                <c:pt idx="0">
                  <c:v>138.4</c:v>
                </c:pt>
                <c:pt idx="1">
                  <c:v>138.4</c:v>
                </c:pt>
                <c:pt idx="2">
                  <c:v>138.4</c:v>
                </c:pt>
                <c:pt idx="3">
                  <c:v>138.4</c:v>
                </c:pt>
                <c:pt idx="4">
                  <c:v>138.4</c:v>
                </c:pt>
                <c:pt idx="5">
                  <c:v>138.4</c:v>
                </c:pt>
                <c:pt idx="6">
                  <c:v>138.4</c:v>
                </c:pt>
                <c:pt idx="7">
                  <c:v>138.4</c:v>
                </c:pt>
                <c:pt idx="8">
                  <c:v>138.4</c:v>
                </c:pt>
                <c:pt idx="9">
                  <c:v>138.4</c:v>
                </c:pt>
                <c:pt idx="10">
                  <c:v>138.4</c:v>
                </c:pt>
                <c:pt idx="11">
                  <c:v>138.4</c:v>
                </c:pt>
                <c:pt idx="12">
                  <c:v>138.4</c:v>
                </c:pt>
                <c:pt idx="13">
                  <c:v>138.4</c:v>
                </c:pt>
                <c:pt idx="14">
                  <c:v>138.4</c:v>
                </c:pt>
                <c:pt idx="15">
                  <c:v>138.4</c:v>
                </c:pt>
                <c:pt idx="16">
                  <c:v>138.4</c:v>
                </c:pt>
                <c:pt idx="17">
                  <c:v>138.4</c:v>
                </c:pt>
                <c:pt idx="18">
                  <c:v>138.4</c:v>
                </c:pt>
                <c:pt idx="19">
                  <c:v>138.4</c:v>
                </c:pt>
                <c:pt idx="20">
                  <c:v>138.4</c:v>
                </c:pt>
                <c:pt idx="21">
                  <c:v>138.4</c:v>
                </c:pt>
                <c:pt idx="22">
                  <c:v>138.4</c:v>
                </c:pt>
                <c:pt idx="23">
                  <c:v>138.4</c:v>
                </c:pt>
                <c:pt idx="24">
                  <c:v>138.4</c:v>
                </c:pt>
                <c:pt idx="25">
                  <c:v>138.4</c:v>
                </c:pt>
                <c:pt idx="26">
                  <c:v>138.4</c:v>
                </c:pt>
                <c:pt idx="27">
                  <c:v>138.4</c:v>
                </c:pt>
                <c:pt idx="28">
                  <c:v>138.4</c:v>
                </c:pt>
                <c:pt idx="29">
                  <c:v>138.4</c:v>
                </c:pt>
                <c:pt idx="30">
                  <c:v>138.4</c:v>
                </c:pt>
                <c:pt idx="31">
                  <c:v>138.4</c:v>
                </c:pt>
                <c:pt idx="32">
                  <c:v>138.4</c:v>
                </c:pt>
                <c:pt idx="33">
                  <c:v>138.4</c:v>
                </c:pt>
                <c:pt idx="34">
                  <c:v>138.4</c:v>
                </c:pt>
                <c:pt idx="35">
                  <c:v>138.4</c:v>
                </c:pt>
                <c:pt idx="36">
                  <c:v>138.4</c:v>
                </c:pt>
                <c:pt idx="37">
                  <c:v>138.4</c:v>
                </c:pt>
                <c:pt idx="38">
                  <c:v>138.4</c:v>
                </c:pt>
                <c:pt idx="39">
                  <c:v>138.4</c:v>
                </c:pt>
                <c:pt idx="40">
                  <c:v>138.4</c:v>
                </c:pt>
                <c:pt idx="41">
                  <c:v>138.4</c:v>
                </c:pt>
                <c:pt idx="42">
                  <c:v>138.4</c:v>
                </c:pt>
                <c:pt idx="43">
                  <c:v>138.4</c:v>
                </c:pt>
                <c:pt idx="44">
                  <c:v>138.4</c:v>
                </c:pt>
                <c:pt idx="45">
                  <c:v>138.4</c:v>
                </c:pt>
                <c:pt idx="46">
                  <c:v>138.4</c:v>
                </c:pt>
                <c:pt idx="47">
                  <c:v>138.4</c:v>
                </c:pt>
                <c:pt idx="48">
                  <c:v>138.4</c:v>
                </c:pt>
                <c:pt idx="49">
                  <c:v>138.4</c:v>
                </c:pt>
                <c:pt idx="50">
                  <c:v>138.4</c:v>
                </c:pt>
                <c:pt idx="51">
                  <c:v>138.4</c:v>
                </c:pt>
                <c:pt idx="52">
                  <c:v>138.4</c:v>
                </c:pt>
                <c:pt idx="53">
                  <c:v>138.4</c:v>
                </c:pt>
                <c:pt idx="54">
                  <c:v>138.4</c:v>
                </c:pt>
                <c:pt idx="55">
                  <c:v>138.4</c:v>
                </c:pt>
                <c:pt idx="56">
                  <c:v>138.4</c:v>
                </c:pt>
                <c:pt idx="57">
                  <c:v>138.4</c:v>
                </c:pt>
                <c:pt idx="58">
                  <c:v>138.4</c:v>
                </c:pt>
                <c:pt idx="59">
                  <c:v>138.4</c:v>
                </c:pt>
                <c:pt idx="60">
                  <c:v>138.4</c:v>
                </c:pt>
                <c:pt idx="61">
                  <c:v>138.4</c:v>
                </c:pt>
                <c:pt idx="62">
                  <c:v>138.4</c:v>
                </c:pt>
                <c:pt idx="63">
                  <c:v>138.4</c:v>
                </c:pt>
                <c:pt idx="64">
                  <c:v>138.4</c:v>
                </c:pt>
                <c:pt idx="65">
                  <c:v>138.4</c:v>
                </c:pt>
                <c:pt idx="66">
                  <c:v>138.4</c:v>
                </c:pt>
                <c:pt idx="67">
                  <c:v>138.4</c:v>
                </c:pt>
                <c:pt idx="68">
                  <c:v>138.4</c:v>
                </c:pt>
                <c:pt idx="69">
                  <c:v>138.4</c:v>
                </c:pt>
                <c:pt idx="70">
                  <c:v>138.4</c:v>
                </c:pt>
                <c:pt idx="71">
                  <c:v>138.4</c:v>
                </c:pt>
                <c:pt idx="72">
                  <c:v>138.4</c:v>
                </c:pt>
                <c:pt idx="73">
                  <c:v>138.4</c:v>
                </c:pt>
                <c:pt idx="74">
                  <c:v>138.4</c:v>
                </c:pt>
                <c:pt idx="75">
                  <c:v>138.4</c:v>
                </c:pt>
                <c:pt idx="76">
                  <c:v>138.4</c:v>
                </c:pt>
                <c:pt idx="77">
                  <c:v>138.4</c:v>
                </c:pt>
                <c:pt idx="78">
                  <c:v>138.4</c:v>
                </c:pt>
                <c:pt idx="79">
                  <c:v>138.4</c:v>
                </c:pt>
                <c:pt idx="80">
                  <c:v>138.4</c:v>
                </c:pt>
                <c:pt idx="81">
                  <c:v>138.4</c:v>
                </c:pt>
                <c:pt idx="82">
                  <c:v>138.4</c:v>
                </c:pt>
                <c:pt idx="83">
                  <c:v>138.4</c:v>
                </c:pt>
                <c:pt idx="84">
                  <c:v>138.4</c:v>
                </c:pt>
                <c:pt idx="85">
                  <c:v>138.4</c:v>
                </c:pt>
                <c:pt idx="86">
                  <c:v>138.4</c:v>
                </c:pt>
                <c:pt idx="87">
                  <c:v>138.4</c:v>
                </c:pt>
                <c:pt idx="88">
                  <c:v>138.4</c:v>
                </c:pt>
                <c:pt idx="89">
                  <c:v>138.4</c:v>
                </c:pt>
                <c:pt idx="90">
                  <c:v>138.4</c:v>
                </c:pt>
                <c:pt idx="91">
                  <c:v>138.4</c:v>
                </c:pt>
                <c:pt idx="92">
                  <c:v>138.4</c:v>
                </c:pt>
                <c:pt idx="93">
                  <c:v>138.4</c:v>
                </c:pt>
                <c:pt idx="94">
                  <c:v>138.4</c:v>
                </c:pt>
                <c:pt idx="95">
                  <c:v>138.4</c:v>
                </c:pt>
                <c:pt idx="96">
                  <c:v>138.4</c:v>
                </c:pt>
                <c:pt idx="97">
                  <c:v>138.4</c:v>
                </c:pt>
                <c:pt idx="98">
                  <c:v>138.4</c:v>
                </c:pt>
                <c:pt idx="99">
                  <c:v>138.4</c:v>
                </c:pt>
                <c:pt idx="100">
                  <c:v>138.4</c:v>
                </c:pt>
              </c:numCache>
            </c:numRef>
          </c:yVal>
          <c:smooth val="1"/>
          <c:extLst>
            <c:ext xmlns:c16="http://schemas.microsoft.com/office/drawing/2014/chart" uri="{C3380CC4-5D6E-409C-BE32-E72D297353CC}">
              <c16:uniqueId val="{00000000-764C-4C6D-AFE7-EB38D2BC4939}"/>
            </c:ext>
          </c:extLst>
        </c:ser>
        <c:dLbls>
          <c:showLegendKey val="0"/>
          <c:showVal val="0"/>
          <c:showCatName val="0"/>
          <c:showSerName val="0"/>
          <c:showPercent val="0"/>
          <c:showBubbleSize val="0"/>
        </c:dLbls>
        <c:axId val="467103000"/>
        <c:axId val="548678496"/>
      </c:scatterChart>
      <c:valAx>
        <c:axId val="4671030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Distance (ft)</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548678496"/>
        <c:crosses val="autoZero"/>
        <c:crossBetween val="midCat"/>
      </c:valAx>
      <c:valAx>
        <c:axId val="548678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solidFill>
                      <a:schemeClr val="tx1"/>
                    </a:solidFill>
                  </a:rPr>
                  <a:t>Bending Moment (kip-ft)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00" sourceLinked="1"/>
        <c:majorTickMark val="out"/>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67103000"/>
        <c:crosses val="autoZero"/>
        <c:crossBetween val="midCat"/>
      </c:val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Shear</a:t>
            </a:r>
            <a:r>
              <a:rPr lang="en-US" baseline="0">
                <a:solidFill>
                  <a:sysClr val="windowText" lastClr="000000"/>
                </a:solidFill>
              </a:rPr>
              <a:t> Force</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v>Required Shear Strength</c:v>
          </c:tx>
          <c:spPr>
            <a:ln w="19050" cap="rnd">
              <a:solidFill>
                <a:schemeClr val="accent6"/>
              </a:solidFill>
              <a:round/>
            </a:ln>
            <a:effectLst/>
          </c:spPr>
          <c:marker>
            <c:symbol val="none"/>
          </c:marker>
          <c:xVal>
            <c:numRef>
              <c:f>Analysis!$H$9:$H$109</c:f>
              <c:numCache>
                <c:formatCode>General</c:formatCode>
                <c:ptCount val="101"/>
                <c:pt idx="0">
                  <c:v>0</c:v>
                </c:pt>
                <c:pt idx="1">
                  <c:v>0.24</c:v>
                </c:pt>
                <c:pt idx="2">
                  <c:v>0.48</c:v>
                </c:pt>
                <c:pt idx="3">
                  <c:v>0.72</c:v>
                </c:pt>
                <c:pt idx="4">
                  <c:v>0.96</c:v>
                </c:pt>
                <c:pt idx="5">
                  <c:v>1.2</c:v>
                </c:pt>
                <c:pt idx="6">
                  <c:v>1.44</c:v>
                </c:pt>
                <c:pt idx="7">
                  <c:v>1.68</c:v>
                </c:pt>
                <c:pt idx="8">
                  <c:v>1.92</c:v>
                </c:pt>
                <c:pt idx="9">
                  <c:v>2.16</c:v>
                </c:pt>
                <c:pt idx="10">
                  <c:v>2.4000000000000004</c:v>
                </c:pt>
                <c:pt idx="11">
                  <c:v>2.6400000000000006</c:v>
                </c:pt>
                <c:pt idx="12">
                  <c:v>2.8800000000000008</c:v>
                </c:pt>
                <c:pt idx="13">
                  <c:v>3.120000000000001</c:v>
                </c:pt>
                <c:pt idx="14">
                  <c:v>3.3600000000000012</c:v>
                </c:pt>
                <c:pt idx="15">
                  <c:v>3.6000000000000014</c:v>
                </c:pt>
                <c:pt idx="16">
                  <c:v>3.8400000000000016</c:v>
                </c:pt>
                <c:pt idx="17">
                  <c:v>4.0800000000000018</c:v>
                </c:pt>
                <c:pt idx="18">
                  <c:v>4.3200000000000021</c:v>
                </c:pt>
                <c:pt idx="19">
                  <c:v>4.5600000000000023</c:v>
                </c:pt>
                <c:pt idx="20">
                  <c:v>4.8000000000000025</c:v>
                </c:pt>
                <c:pt idx="21">
                  <c:v>5.0400000000000027</c:v>
                </c:pt>
                <c:pt idx="22">
                  <c:v>5.2800000000000029</c:v>
                </c:pt>
                <c:pt idx="23">
                  <c:v>5.5200000000000031</c:v>
                </c:pt>
                <c:pt idx="24">
                  <c:v>5.7600000000000033</c:v>
                </c:pt>
                <c:pt idx="25">
                  <c:v>6.0000000000000036</c:v>
                </c:pt>
                <c:pt idx="26">
                  <c:v>6.2400000000000038</c:v>
                </c:pt>
                <c:pt idx="27">
                  <c:v>6.480000000000004</c:v>
                </c:pt>
                <c:pt idx="28">
                  <c:v>6.7200000000000042</c:v>
                </c:pt>
                <c:pt idx="29">
                  <c:v>6.9600000000000044</c:v>
                </c:pt>
                <c:pt idx="30">
                  <c:v>7.2000000000000046</c:v>
                </c:pt>
                <c:pt idx="31">
                  <c:v>7.4400000000000048</c:v>
                </c:pt>
                <c:pt idx="32">
                  <c:v>7.680000000000005</c:v>
                </c:pt>
                <c:pt idx="33">
                  <c:v>7.9200000000000053</c:v>
                </c:pt>
                <c:pt idx="34">
                  <c:v>8.1600000000000055</c:v>
                </c:pt>
                <c:pt idx="35">
                  <c:v>8.4000000000000057</c:v>
                </c:pt>
                <c:pt idx="36">
                  <c:v>8.6400000000000059</c:v>
                </c:pt>
                <c:pt idx="37">
                  <c:v>8.8800000000000061</c:v>
                </c:pt>
                <c:pt idx="38">
                  <c:v>9.1200000000000063</c:v>
                </c:pt>
                <c:pt idx="39">
                  <c:v>9.3600000000000065</c:v>
                </c:pt>
                <c:pt idx="40">
                  <c:v>9.6000000000000068</c:v>
                </c:pt>
                <c:pt idx="41">
                  <c:v>9.840000000000007</c:v>
                </c:pt>
                <c:pt idx="42">
                  <c:v>10.080000000000007</c:v>
                </c:pt>
                <c:pt idx="43">
                  <c:v>10.320000000000007</c:v>
                </c:pt>
                <c:pt idx="44">
                  <c:v>10.560000000000008</c:v>
                </c:pt>
                <c:pt idx="45">
                  <c:v>10.800000000000008</c:v>
                </c:pt>
                <c:pt idx="46">
                  <c:v>11.040000000000008</c:v>
                </c:pt>
                <c:pt idx="47">
                  <c:v>11.280000000000008</c:v>
                </c:pt>
                <c:pt idx="48">
                  <c:v>11.520000000000008</c:v>
                </c:pt>
                <c:pt idx="49">
                  <c:v>11.760000000000009</c:v>
                </c:pt>
                <c:pt idx="50">
                  <c:v>12.000000000000009</c:v>
                </c:pt>
                <c:pt idx="51">
                  <c:v>12.240000000000009</c:v>
                </c:pt>
                <c:pt idx="52">
                  <c:v>12.480000000000009</c:v>
                </c:pt>
                <c:pt idx="53">
                  <c:v>12.72000000000001</c:v>
                </c:pt>
                <c:pt idx="54">
                  <c:v>12.96000000000001</c:v>
                </c:pt>
                <c:pt idx="55">
                  <c:v>13.20000000000001</c:v>
                </c:pt>
                <c:pt idx="56">
                  <c:v>13.44000000000001</c:v>
                </c:pt>
                <c:pt idx="57">
                  <c:v>13.68000000000001</c:v>
                </c:pt>
                <c:pt idx="58">
                  <c:v>13.920000000000011</c:v>
                </c:pt>
                <c:pt idx="59">
                  <c:v>14.160000000000011</c:v>
                </c:pt>
                <c:pt idx="60">
                  <c:v>14.400000000000011</c:v>
                </c:pt>
                <c:pt idx="61">
                  <c:v>14.640000000000011</c:v>
                </c:pt>
                <c:pt idx="62">
                  <c:v>14.880000000000011</c:v>
                </c:pt>
                <c:pt idx="63">
                  <c:v>15.120000000000012</c:v>
                </c:pt>
                <c:pt idx="64">
                  <c:v>15.360000000000012</c:v>
                </c:pt>
                <c:pt idx="65">
                  <c:v>15.600000000000012</c:v>
                </c:pt>
                <c:pt idx="66">
                  <c:v>15.840000000000012</c:v>
                </c:pt>
                <c:pt idx="67">
                  <c:v>16.080000000000013</c:v>
                </c:pt>
                <c:pt idx="68">
                  <c:v>16.320000000000011</c:v>
                </c:pt>
                <c:pt idx="69">
                  <c:v>16.560000000000009</c:v>
                </c:pt>
                <c:pt idx="70">
                  <c:v>16.800000000000008</c:v>
                </c:pt>
                <c:pt idx="71">
                  <c:v>17.040000000000006</c:v>
                </c:pt>
                <c:pt idx="72">
                  <c:v>17.280000000000005</c:v>
                </c:pt>
                <c:pt idx="73">
                  <c:v>17.520000000000003</c:v>
                </c:pt>
                <c:pt idx="74">
                  <c:v>17.760000000000002</c:v>
                </c:pt>
                <c:pt idx="75">
                  <c:v>18</c:v>
                </c:pt>
                <c:pt idx="76">
                  <c:v>18.239999999999998</c:v>
                </c:pt>
                <c:pt idx="77">
                  <c:v>18.479999999999997</c:v>
                </c:pt>
                <c:pt idx="78">
                  <c:v>18.719999999999995</c:v>
                </c:pt>
                <c:pt idx="79">
                  <c:v>18.959999999999994</c:v>
                </c:pt>
                <c:pt idx="80">
                  <c:v>19.199999999999992</c:v>
                </c:pt>
                <c:pt idx="81">
                  <c:v>19.439999999999991</c:v>
                </c:pt>
                <c:pt idx="82">
                  <c:v>19.679999999999989</c:v>
                </c:pt>
                <c:pt idx="83">
                  <c:v>19.919999999999987</c:v>
                </c:pt>
                <c:pt idx="84">
                  <c:v>20.159999999999986</c:v>
                </c:pt>
                <c:pt idx="85">
                  <c:v>20.399999999999984</c:v>
                </c:pt>
                <c:pt idx="86">
                  <c:v>20.639999999999983</c:v>
                </c:pt>
                <c:pt idx="87">
                  <c:v>20.879999999999981</c:v>
                </c:pt>
                <c:pt idx="88">
                  <c:v>21.11999999999998</c:v>
                </c:pt>
                <c:pt idx="89">
                  <c:v>21.359999999999978</c:v>
                </c:pt>
                <c:pt idx="90">
                  <c:v>21.599999999999977</c:v>
                </c:pt>
                <c:pt idx="91">
                  <c:v>21.839999999999975</c:v>
                </c:pt>
                <c:pt idx="92">
                  <c:v>22.079999999999973</c:v>
                </c:pt>
                <c:pt idx="93">
                  <c:v>22.319999999999972</c:v>
                </c:pt>
                <c:pt idx="94">
                  <c:v>22.55999999999997</c:v>
                </c:pt>
                <c:pt idx="95">
                  <c:v>22.799999999999969</c:v>
                </c:pt>
                <c:pt idx="96">
                  <c:v>23.039999999999967</c:v>
                </c:pt>
                <c:pt idx="97">
                  <c:v>23.279999999999966</c:v>
                </c:pt>
                <c:pt idx="98">
                  <c:v>23.519999999999964</c:v>
                </c:pt>
                <c:pt idx="99">
                  <c:v>23.759999999999962</c:v>
                </c:pt>
                <c:pt idx="100">
                  <c:v>23.999999999999961</c:v>
                </c:pt>
              </c:numCache>
            </c:numRef>
          </c:xVal>
          <c:yVal>
            <c:numRef>
              <c:f>Analysis!$Z$9:$Z$109</c:f>
              <c:numCache>
                <c:formatCode>0.00</c:formatCode>
                <c:ptCount val="101"/>
                <c:pt idx="0">
                  <c:v>25.824000000000002</c:v>
                </c:pt>
                <c:pt idx="1">
                  <c:v>25.307520000000004</c:v>
                </c:pt>
                <c:pt idx="2">
                  <c:v>24.791039999999999</c:v>
                </c:pt>
                <c:pt idx="3">
                  <c:v>24.274560000000001</c:v>
                </c:pt>
                <c:pt idx="4">
                  <c:v>23.75808</c:v>
                </c:pt>
                <c:pt idx="5">
                  <c:v>23.241600000000002</c:v>
                </c:pt>
                <c:pt idx="6">
                  <c:v>22.72512</c:v>
                </c:pt>
                <c:pt idx="7">
                  <c:v>22.208640000000003</c:v>
                </c:pt>
                <c:pt idx="8">
                  <c:v>21.692160000000001</c:v>
                </c:pt>
                <c:pt idx="9">
                  <c:v>21.17568</c:v>
                </c:pt>
                <c:pt idx="10">
                  <c:v>20.659200000000002</c:v>
                </c:pt>
                <c:pt idx="11">
                  <c:v>20.142720000000001</c:v>
                </c:pt>
                <c:pt idx="12">
                  <c:v>19.626239999999999</c:v>
                </c:pt>
                <c:pt idx="13">
                  <c:v>19.109759999999998</c:v>
                </c:pt>
                <c:pt idx="14">
                  <c:v>18.59328</c:v>
                </c:pt>
                <c:pt idx="15">
                  <c:v>18.076799999999995</c:v>
                </c:pt>
                <c:pt idx="16">
                  <c:v>17.560319999999997</c:v>
                </c:pt>
                <c:pt idx="17">
                  <c:v>17.043839999999996</c:v>
                </c:pt>
                <c:pt idx="18">
                  <c:v>16.527359999999994</c:v>
                </c:pt>
                <c:pt idx="19">
                  <c:v>16.010879999999997</c:v>
                </c:pt>
                <c:pt idx="20">
                  <c:v>15.494399999999995</c:v>
                </c:pt>
                <c:pt idx="21">
                  <c:v>14.977919999999994</c:v>
                </c:pt>
                <c:pt idx="22">
                  <c:v>14.461439999999994</c:v>
                </c:pt>
                <c:pt idx="23">
                  <c:v>13.944959999999995</c:v>
                </c:pt>
                <c:pt idx="24">
                  <c:v>13.428479999999993</c:v>
                </c:pt>
                <c:pt idx="25">
                  <c:v>12.911999999999994</c:v>
                </c:pt>
                <c:pt idx="26">
                  <c:v>12.395519999999992</c:v>
                </c:pt>
                <c:pt idx="27">
                  <c:v>11.879039999999993</c:v>
                </c:pt>
                <c:pt idx="28">
                  <c:v>11.362559999999991</c:v>
                </c:pt>
                <c:pt idx="29">
                  <c:v>10.84607999999999</c:v>
                </c:pt>
                <c:pt idx="30">
                  <c:v>10.32959999999999</c:v>
                </c:pt>
                <c:pt idx="31">
                  <c:v>9.813119999999989</c:v>
                </c:pt>
                <c:pt idx="32">
                  <c:v>9.2966399999999911</c:v>
                </c:pt>
                <c:pt idx="33">
                  <c:v>8.7801599999999898</c:v>
                </c:pt>
                <c:pt idx="34">
                  <c:v>8.2636799999999884</c:v>
                </c:pt>
                <c:pt idx="35">
                  <c:v>7.7471999999999888</c:v>
                </c:pt>
                <c:pt idx="36">
                  <c:v>7.2307199999999874</c:v>
                </c:pt>
                <c:pt idx="37">
                  <c:v>6.7142399999999869</c:v>
                </c:pt>
                <c:pt idx="38">
                  <c:v>6.1977599999999864</c:v>
                </c:pt>
                <c:pt idx="39">
                  <c:v>5.6812799999999868</c:v>
                </c:pt>
                <c:pt idx="40">
                  <c:v>5.1647999999999863</c:v>
                </c:pt>
                <c:pt idx="41">
                  <c:v>4.6483199999999849</c:v>
                </c:pt>
                <c:pt idx="42">
                  <c:v>4.1318399999999844</c:v>
                </c:pt>
                <c:pt idx="43">
                  <c:v>3.6153599999999844</c:v>
                </c:pt>
                <c:pt idx="44">
                  <c:v>3.0988799999999839</c:v>
                </c:pt>
                <c:pt idx="45">
                  <c:v>2.5823999999999834</c:v>
                </c:pt>
                <c:pt idx="46">
                  <c:v>2.0659199999999829</c:v>
                </c:pt>
                <c:pt idx="47">
                  <c:v>1.5494399999999824</c:v>
                </c:pt>
                <c:pt idx="48">
                  <c:v>1.0329599999999819</c:v>
                </c:pt>
                <c:pt idx="49">
                  <c:v>0.51647999999998129</c:v>
                </c:pt>
                <c:pt idx="50">
                  <c:v>-1.9113599591946695E-14</c:v>
                </c:pt>
                <c:pt idx="51">
                  <c:v>-0.51648000000001959</c:v>
                </c:pt>
                <c:pt idx="52">
                  <c:v>-1.0329600000000201</c:v>
                </c:pt>
                <c:pt idx="53">
                  <c:v>-1.5494400000000206</c:v>
                </c:pt>
                <c:pt idx="54">
                  <c:v>-2.0659200000000211</c:v>
                </c:pt>
                <c:pt idx="55">
                  <c:v>-2.5824000000000216</c:v>
                </c:pt>
                <c:pt idx="56">
                  <c:v>-3.0988800000000221</c:v>
                </c:pt>
                <c:pt idx="57">
                  <c:v>-3.6153600000000226</c:v>
                </c:pt>
                <c:pt idx="58">
                  <c:v>-4.1318400000000226</c:v>
                </c:pt>
                <c:pt idx="59">
                  <c:v>-4.6483200000000231</c:v>
                </c:pt>
                <c:pt idx="60">
                  <c:v>-5.1648000000000236</c:v>
                </c:pt>
                <c:pt idx="61">
                  <c:v>-5.681280000000025</c:v>
                </c:pt>
                <c:pt idx="62">
                  <c:v>-6.1977600000000255</c:v>
                </c:pt>
                <c:pt idx="63">
                  <c:v>-6.7142400000000251</c:v>
                </c:pt>
                <c:pt idx="64">
                  <c:v>-7.2307200000000256</c:v>
                </c:pt>
                <c:pt idx="65">
                  <c:v>-7.7472000000000261</c:v>
                </c:pt>
                <c:pt idx="66">
                  <c:v>-8.2636800000000274</c:v>
                </c:pt>
                <c:pt idx="67">
                  <c:v>-8.7801600000000271</c:v>
                </c:pt>
                <c:pt idx="68">
                  <c:v>-9.2966400000000249</c:v>
                </c:pt>
                <c:pt idx="69">
                  <c:v>-9.8131200000000209</c:v>
                </c:pt>
                <c:pt idx="70">
                  <c:v>-10.329600000000017</c:v>
                </c:pt>
                <c:pt idx="71">
                  <c:v>-10.846080000000015</c:v>
                </c:pt>
                <c:pt idx="72">
                  <c:v>-11.362560000000011</c:v>
                </c:pt>
                <c:pt idx="73">
                  <c:v>-11.879040000000007</c:v>
                </c:pt>
                <c:pt idx="74">
                  <c:v>-12.395520000000003</c:v>
                </c:pt>
                <c:pt idx="75">
                  <c:v>-12.912000000000001</c:v>
                </c:pt>
                <c:pt idx="76">
                  <c:v>-13.428479999999997</c:v>
                </c:pt>
                <c:pt idx="77">
                  <c:v>-13.944959999999995</c:v>
                </c:pt>
                <c:pt idx="78">
                  <c:v>-14.461439999999991</c:v>
                </c:pt>
                <c:pt idx="79">
                  <c:v>-14.977919999999987</c:v>
                </c:pt>
                <c:pt idx="80">
                  <c:v>-15.494399999999985</c:v>
                </c:pt>
                <c:pt idx="81">
                  <c:v>-16.010879999999982</c:v>
                </c:pt>
                <c:pt idx="82">
                  <c:v>-16.527359999999977</c:v>
                </c:pt>
                <c:pt idx="83">
                  <c:v>-17.043839999999975</c:v>
                </c:pt>
                <c:pt idx="84">
                  <c:v>-17.560319999999972</c:v>
                </c:pt>
                <c:pt idx="85">
                  <c:v>-18.076799999999967</c:v>
                </c:pt>
                <c:pt idx="86">
                  <c:v>-18.593279999999965</c:v>
                </c:pt>
                <c:pt idx="87">
                  <c:v>-19.109759999999962</c:v>
                </c:pt>
                <c:pt idx="88">
                  <c:v>-19.626239999999957</c:v>
                </c:pt>
                <c:pt idx="89">
                  <c:v>-20.142719999999951</c:v>
                </c:pt>
                <c:pt idx="90">
                  <c:v>-20.659199999999952</c:v>
                </c:pt>
                <c:pt idx="91">
                  <c:v>-21.175679999999947</c:v>
                </c:pt>
                <c:pt idx="92">
                  <c:v>-21.692159999999944</c:v>
                </c:pt>
                <c:pt idx="93">
                  <c:v>-22.208639999999939</c:v>
                </c:pt>
                <c:pt idx="94">
                  <c:v>-22.725119999999936</c:v>
                </c:pt>
                <c:pt idx="95">
                  <c:v>-23.241599999999934</c:v>
                </c:pt>
                <c:pt idx="96">
                  <c:v>-23.758079999999929</c:v>
                </c:pt>
                <c:pt idx="97">
                  <c:v>-24.27455999999993</c:v>
                </c:pt>
                <c:pt idx="98">
                  <c:v>-24.791039999999924</c:v>
                </c:pt>
                <c:pt idx="99">
                  <c:v>-25.307519999999919</c:v>
                </c:pt>
                <c:pt idx="100">
                  <c:v>-25.823999999999916</c:v>
                </c:pt>
              </c:numCache>
            </c:numRef>
          </c:yVal>
          <c:smooth val="1"/>
          <c:extLst>
            <c:ext xmlns:c16="http://schemas.microsoft.com/office/drawing/2014/chart" uri="{C3380CC4-5D6E-409C-BE32-E72D297353CC}">
              <c16:uniqueId val="{00000000-3B77-4BB6-91CC-7A3C913BD5DF}"/>
            </c:ext>
          </c:extLst>
        </c:ser>
        <c:ser>
          <c:idx val="1"/>
          <c:order val="1"/>
          <c:tx>
            <c:v>Available Shear Strength</c:v>
          </c:tx>
          <c:spPr>
            <a:ln w="28575" cap="rnd">
              <a:solidFill>
                <a:srgbClr val="FF0000"/>
              </a:solidFill>
              <a:prstDash val="dash"/>
              <a:round/>
            </a:ln>
            <a:effectLst/>
          </c:spPr>
          <c:marker>
            <c:symbol val="none"/>
          </c:marker>
          <c:xVal>
            <c:numRef>
              <c:f>Analysis!$H$9:$H$109</c:f>
              <c:numCache>
                <c:formatCode>General</c:formatCode>
                <c:ptCount val="101"/>
                <c:pt idx="0">
                  <c:v>0</c:v>
                </c:pt>
                <c:pt idx="1">
                  <c:v>0.24</c:v>
                </c:pt>
                <c:pt idx="2">
                  <c:v>0.48</c:v>
                </c:pt>
                <c:pt idx="3">
                  <c:v>0.72</c:v>
                </c:pt>
                <c:pt idx="4">
                  <c:v>0.96</c:v>
                </c:pt>
                <c:pt idx="5">
                  <c:v>1.2</c:v>
                </c:pt>
                <c:pt idx="6">
                  <c:v>1.44</c:v>
                </c:pt>
                <c:pt idx="7">
                  <c:v>1.68</c:v>
                </c:pt>
                <c:pt idx="8">
                  <c:v>1.92</c:v>
                </c:pt>
                <c:pt idx="9">
                  <c:v>2.16</c:v>
                </c:pt>
                <c:pt idx="10">
                  <c:v>2.4000000000000004</c:v>
                </c:pt>
                <c:pt idx="11">
                  <c:v>2.6400000000000006</c:v>
                </c:pt>
                <c:pt idx="12">
                  <c:v>2.8800000000000008</c:v>
                </c:pt>
                <c:pt idx="13">
                  <c:v>3.120000000000001</c:v>
                </c:pt>
                <c:pt idx="14">
                  <c:v>3.3600000000000012</c:v>
                </c:pt>
                <c:pt idx="15">
                  <c:v>3.6000000000000014</c:v>
                </c:pt>
                <c:pt idx="16">
                  <c:v>3.8400000000000016</c:v>
                </c:pt>
                <c:pt idx="17">
                  <c:v>4.0800000000000018</c:v>
                </c:pt>
                <c:pt idx="18">
                  <c:v>4.3200000000000021</c:v>
                </c:pt>
                <c:pt idx="19">
                  <c:v>4.5600000000000023</c:v>
                </c:pt>
                <c:pt idx="20">
                  <c:v>4.8000000000000025</c:v>
                </c:pt>
                <c:pt idx="21">
                  <c:v>5.0400000000000027</c:v>
                </c:pt>
                <c:pt idx="22">
                  <c:v>5.2800000000000029</c:v>
                </c:pt>
                <c:pt idx="23">
                  <c:v>5.5200000000000031</c:v>
                </c:pt>
                <c:pt idx="24">
                  <c:v>5.7600000000000033</c:v>
                </c:pt>
                <c:pt idx="25">
                  <c:v>6.0000000000000036</c:v>
                </c:pt>
                <c:pt idx="26">
                  <c:v>6.2400000000000038</c:v>
                </c:pt>
                <c:pt idx="27">
                  <c:v>6.480000000000004</c:v>
                </c:pt>
                <c:pt idx="28">
                  <c:v>6.7200000000000042</c:v>
                </c:pt>
                <c:pt idx="29">
                  <c:v>6.9600000000000044</c:v>
                </c:pt>
                <c:pt idx="30">
                  <c:v>7.2000000000000046</c:v>
                </c:pt>
                <c:pt idx="31">
                  <c:v>7.4400000000000048</c:v>
                </c:pt>
                <c:pt idx="32">
                  <c:v>7.680000000000005</c:v>
                </c:pt>
                <c:pt idx="33">
                  <c:v>7.9200000000000053</c:v>
                </c:pt>
                <c:pt idx="34">
                  <c:v>8.1600000000000055</c:v>
                </c:pt>
                <c:pt idx="35">
                  <c:v>8.4000000000000057</c:v>
                </c:pt>
                <c:pt idx="36">
                  <c:v>8.6400000000000059</c:v>
                </c:pt>
                <c:pt idx="37">
                  <c:v>8.8800000000000061</c:v>
                </c:pt>
                <c:pt idx="38">
                  <c:v>9.1200000000000063</c:v>
                </c:pt>
                <c:pt idx="39">
                  <c:v>9.3600000000000065</c:v>
                </c:pt>
                <c:pt idx="40">
                  <c:v>9.6000000000000068</c:v>
                </c:pt>
                <c:pt idx="41">
                  <c:v>9.840000000000007</c:v>
                </c:pt>
                <c:pt idx="42">
                  <c:v>10.080000000000007</c:v>
                </c:pt>
                <c:pt idx="43">
                  <c:v>10.320000000000007</c:v>
                </c:pt>
                <c:pt idx="44">
                  <c:v>10.560000000000008</c:v>
                </c:pt>
                <c:pt idx="45">
                  <c:v>10.800000000000008</c:v>
                </c:pt>
                <c:pt idx="46">
                  <c:v>11.040000000000008</c:v>
                </c:pt>
                <c:pt idx="47">
                  <c:v>11.280000000000008</c:v>
                </c:pt>
                <c:pt idx="48">
                  <c:v>11.520000000000008</c:v>
                </c:pt>
                <c:pt idx="49">
                  <c:v>11.760000000000009</c:v>
                </c:pt>
                <c:pt idx="50">
                  <c:v>12.000000000000009</c:v>
                </c:pt>
                <c:pt idx="51">
                  <c:v>12.240000000000009</c:v>
                </c:pt>
                <c:pt idx="52">
                  <c:v>12.480000000000009</c:v>
                </c:pt>
                <c:pt idx="53">
                  <c:v>12.72000000000001</c:v>
                </c:pt>
                <c:pt idx="54">
                  <c:v>12.96000000000001</c:v>
                </c:pt>
                <c:pt idx="55">
                  <c:v>13.20000000000001</c:v>
                </c:pt>
                <c:pt idx="56">
                  <c:v>13.44000000000001</c:v>
                </c:pt>
                <c:pt idx="57">
                  <c:v>13.68000000000001</c:v>
                </c:pt>
                <c:pt idx="58">
                  <c:v>13.920000000000011</c:v>
                </c:pt>
                <c:pt idx="59">
                  <c:v>14.160000000000011</c:v>
                </c:pt>
                <c:pt idx="60">
                  <c:v>14.400000000000011</c:v>
                </c:pt>
                <c:pt idx="61">
                  <c:v>14.640000000000011</c:v>
                </c:pt>
                <c:pt idx="62">
                  <c:v>14.880000000000011</c:v>
                </c:pt>
                <c:pt idx="63">
                  <c:v>15.120000000000012</c:v>
                </c:pt>
                <c:pt idx="64">
                  <c:v>15.360000000000012</c:v>
                </c:pt>
                <c:pt idx="65">
                  <c:v>15.600000000000012</c:v>
                </c:pt>
                <c:pt idx="66">
                  <c:v>15.840000000000012</c:v>
                </c:pt>
                <c:pt idx="67">
                  <c:v>16.080000000000013</c:v>
                </c:pt>
                <c:pt idx="68">
                  <c:v>16.320000000000011</c:v>
                </c:pt>
                <c:pt idx="69">
                  <c:v>16.560000000000009</c:v>
                </c:pt>
                <c:pt idx="70">
                  <c:v>16.800000000000008</c:v>
                </c:pt>
                <c:pt idx="71">
                  <c:v>17.040000000000006</c:v>
                </c:pt>
                <c:pt idx="72">
                  <c:v>17.280000000000005</c:v>
                </c:pt>
                <c:pt idx="73">
                  <c:v>17.520000000000003</c:v>
                </c:pt>
                <c:pt idx="74">
                  <c:v>17.760000000000002</c:v>
                </c:pt>
                <c:pt idx="75">
                  <c:v>18</c:v>
                </c:pt>
                <c:pt idx="76">
                  <c:v>18.239999999999998</c:v>
                </c:pt>
                <c:pt idx="77">
                  <c:v>18.479999999999997</c:v>
                </c:pt>
                <c:pt idx="78">
                  <c:v>18.719999999999995</c:v>
                </c:pt>
                <c:pt idx="79">
                  <c:v>18.959999999999994</c:v>
                </c:pt>
                <c:pt idx="80">
                  <c:v>19.199999999999992</c:v>
                </c:pt>
                <c:pt idx="81">
                  <c:v>19.439999999999991</c:v>
                </c:pt>
                <c:pt idx="82">
                  <c:v>19.679999999999989</c:v>
                </c:pt>
                <c:pt idx="83">
                  <c:v>19.919999999999987</c:v>
                </c:pt>
                <c:pt idx="84">
                  <c:v>20.159999999999986</c:v>
                </c:pt>
                <c:pt idx="85">
                  <c:v>20.399999999999984</c:v>
                </c:pt>
                <c:pt idx="86">
                  <c:v>20.639999999999983</c:v>
                </c:pt>
                <c:pt idx="87">
                  <c:v>20.879999999999981</c:v>
                </c:pt>
                <c:pt idx="88">
                  <c:v>21.11999999999998</c:v>
                </c:pt>
                <c:pt idx="89">
                  <c:v>21.359999999999978</c:v>
                </c:pt>
                <c:pt idx="90">
                  <c:v>21.599999999999977</c:v>
                </c:pt>
                <c:pt idx="91">
                  <c:v>21.839999999999975</c:v>
                </c:pt>
                <c:pt idx="92">
                  <c:v>22.079999999999973</c:v>
                </c:pt>
                <c:pt idx="93">
                  <c:v>22.319999999999972</c:v>
                </c:pt>
                <c:pt idx="94">
                  <c:v>22.55999999999997</c:v>
                </c:pt>
                <c:pt idx="95">
                  <c:v>22.799999999999969</c:v>
                </c:pt>
                <c:pt idx="96">
                  <c:v>23.039999999999967</c:v>
                </c:pt>
                <c:pt idx="97">
                  <c:v>23.279999999999966</c:v>
                </c:pt>
                <c:pt idx="98">
                  <c:v>23.519999999999964</c:v>
                </c:pt>
                <c:pt idx="99">
                  <c:v>23.759999999999962</c:v>
                </c:pt>
                <c:pt idx="100">
                  <c:v>23.999999999999961</c:v>
                </c:pt>
              </c:numCache>
            </c:numRef>
          </c:xVal>
          <c:yVal>
            <c:numRef>
              <c:f>Analysis!$AL$9:$AL$109</c:f>
              <c:numCache>
                <c:formatCode>0.0</c:formatCode>
                <c:ptCount val="101"/>
                <c:pt idx="0">
                  <c:v>77.400000000000006</c:v>
                </c:pt>
                <c:pt idx="1">
                  <c:v>77.400000000000006</c:v>
                </c:pt>
                <c:pt idx="2">
                  <c:v>77.400000000000006</c:v>
                </c:pt>
                <c:pt idx="3">
                  <c:v>77.400000000000006</c:v>
                </c:pt>
                <c:pt idx="4">
                  <c:v>77.400000000000006</c:v>
                </c:pt>
                <c:pt idx="5">
                  <c:v>77.400000000000006</c:v>
                </c:pt>
                <c:pt idx="6">
                  <c:v>77.400000000000006</c:v>
                </c:pt>
                <c:pt idx="7">
                  <c:v>77.400000000000006</c:v>
                </c:pt>
                <c:pt idx="8">
                  <c:v>77.400000000000006</c:v>
                </c:pt>
                <c:pt idx="9">
                  <c:v>77.400000000000006</c:v>
                </c:pt>
                <c:pt idx="10">
                  <c:v>77.400000000000006</c:v>
                </c:pt>
                <c:pt idx="11">
                  <c:v>77.400000000000006</c:v>
                </c:pt>
                <c:pt idx="12">
                  <c:v>77.400000000000006</c:v>
                </c:pt>
                <c:pt idx="13">
                  <c:v>77.400000000000006</c:v>
                </c:pt>
                <c:pt idx="14">
                  <c:v>77.400000000000006</c:v>
                </c:pt>
                <c:pt idx="15">
                  <c:v>77.400000000000006</c:v>
                </c:pt>
                <c:pt idx="16">
                  <c:v>77.400000000000006</c:v>
                </c:pt>
                <c:pt idx="17">
                  <c:v>77.400000000000006</c:v>
                </c:pt>
                <c:pt idx="18">
                  <c:v>77.400000000000006</c:v>
                </c:pt>
                <c:pt idx="19">
                  <c:v>77.400000000000006</c:v>
                </c:pt>
                <c:pt idx="20">
                  <c:v>77.400000000000006</c:v>
                </c:pt>
                <c:pt idx="21">
                  <c:v>77.400000000000006</c:v>
                </c:pt>
                <c:pt idx="22">
                  <c:v>77.400000000000006</c:v>
                </c:pt>
                <c:pt idx="23">
                  <c:v>77.400000000000006</c:v>
                </c:pt>
                <c:pt idx="24">
                  <c:v>77.400000000000006</c:v>
                </c:pt>
                <c:pt idx="25">
                  <c:v>77.400000000000006</c:v>
                </c:pt>
                <c:pt idx="26">
                  <c:v>77.400000000000006</c:v>
                </c:pt>
                <c:pt idx="27">
                  <c:v>77.400000000000006</c:v>
                </c:pt>
                <c:pt idx="28">
                  <c:v>77.400000000000006</c:v>
                </c:pt>
                <c:pt idx="29">
                  <c:v>77.400000000000006</c:v>
                </c:pt>
                <c:pt idx="30">
                  <c:v>77.400000000000006</c:v>
                </c:pt>
                <c:pt idx="31">
                  <c:v>77.400000000000006</c:v>
                </c:pt>
                <c:pt idx="32">
                  <c:v>77.400000000000006</c:v>
                </c:pt>
                <c:pt idx="33">
                  <c:v>77.400000000000006</c:v>
                </c:pt>
                <c:pt idx="34">
                  <c:v>77.400000000000006</c:v>
                </c:pt>
                <c:pt idx="35">
                  <c:v>77.400000000000006</c:v>
                </c:pt>
                <c:pt idx="36">
                  <c:v>77.400000000000006</c:v>
                </c:pt>
                <c:pt idx="37">
                  <c:v>77.400000000000006</c:v>
                </c:pt>
                <c:pt idx="38">
                  <c:v>77.400000000000006</c:v>
                </c:pt>
                <c:pt idx="39">
                  <c:v>77.400000000000006</c:v>
                </c:pt>
                <c:pt idx="40">
                  <c:v>77.400000000000006</c:v>
                </c:pt>
                <c:pt idx="41">
                  <c:v>77.400000000000006</c:v>
                </c:pt>
                <c:pt idx="42">
                  <c:v>77.400000000000006</c:v>
                </c:pt>
                <c:pt idx="43">
                  <c:v>77.400000000000006</c:v>
                </c:pt>
                <c:pt idx="44">
                  <c:v>77.400000000000006</c:v>
                </c:pt>
                <c:pt idx="45">
                  <c:v>77.400000000000006</c:v>
                </c:pt>
                <c:pt idx="46">
                  <c:v>77.400000000000006</c:v>
                </c:pt>
                <c:pt idx="47">
                  <c:v>77.400000000000006</c:v>
                </c:pt>
                <c:pt idx="48">
                  <c:v>77.400000000000006</c:v>
                </c:pt>
                <c:pt idx="49">
                  <c:v>77.400000000000006</c:v>
                </c:pt>
                <c:pt idx="50">
                  <c:v>77.400000000000006</c:v>
                </c:pt>
                <c:pt idx="51">
                  <c:v>77.400000000000006</c:v>
                </c:pt>
                <c:pt idx="52">
                  <c:v>77.400000000000006</c:v>
                </c:pt>
                <c:pt idx="53">
                  <c:v>77.400000000000006</c:v>
                </c:pt>
                <c:pt idx="54">
                  <c:v>77.400000000000006</c:v>
                </c:pt>
                <c:pt idx="55">
                  <c:v>77.400000000000006</c:v>
                </c:pt>
                <c:pt idx="56">
                  <c:v>77.400000000000006</c:v>
                </c:pt>
                <c:pt idx="57">
                  <c:v>77.400000000000006</c:v>
                </c:pt>
                <c:pt idx="58">
                  <c:v>77.400000000000006</c:v>
                </c:pt>
                <c:pt idx="59">
                  <c:v>77.400000000000006</c:v>
                </c:pt>
                <c:pt idx="60">
                  <c:v>77.400000000000006</c:v>
                </c:pt>
                <c:pt idx="61">
                  <c:v>77.400000000000006</c:v>
                </c:pt>
                <c:pt idx="62">
                  <c:v>77.400000000000006</c:v>
                </c:pt>
                <c:pt idx="63">
                  <c:v>77.400000000000006</c:v>
                </c:pt>
                <c:pt idx="64">
                  <c:v>77.400000000000006</c:v>
                </c:pt>
                <c:pt idx="65">
                  <c:v>77.400000000000006</c:v>
                </c:pt>
                <c:pt idx="66">
                  <c:v>77.400000000000006</c:v>
                </c:pt>
                <c:pt idx="67">
                  <c:v>77.400000000000006</c:v>
                </c:pt>
                <c:pt idx="68">
                  <c:v>77.400000000000006</c:v>
                </c:pt>
                <c:pt idx="69">
                  <c:v>77.400000000000006</c:v>
                </c:pt>
                <c:pt idx="70">
                  <c:v>77.400000000000006</c:v>
                </c:pt>
                <c:pt idx="71">
                  <c:v>77.400000000000006</c:v>
                </c:pt>
                <c:pt idx="72">
                  <c:v>77.400000000000006</c:v>
                </c:pt>
                <c:pt idx="73">
                  <c:v>77.400000000000006</c:v>
                </c:pt>
                <c:pt idx="74">
                  <c:v>77.400000000000006</c:v>
                </c:pt>
                <c:pt idx="75">
                  <c:v>77.400000000000006</c:v>
                </c:pt>
                <c:pt idx="76">
                  <c:v>77.400000000000006</c:v>
                </c:pt>
                <c:pt idx="77">
                  <c:v>77.400000000000006</c:v>
                </c:pt>
                <c:pt idx="78">
                  <c:v>77.400000000000006</c:v>
                </c:pt>
                <c:pt idx="79">
                  <c:v>77.400000000000006</c:v>
                </c:pt>
                <c:pt idx="80">
                  <c:v>77.400000000000006</c:v>
                </c:pt>
                <c:pt idx="81">
                  <c:v>77.400000000000006</c:v>
                </c:pt>
                <c:pt idx="82">
                  <c:v>77.400000000000006</c:v>
                </c:pt>
                <c:pt idx="83">
                  <c:v>77.400000000000006</c:v>
                </c:pt>
                <c:pt idx="84">
                  <c:v>77.400000000000006</c:v>
                </c:pt>
                <c:pt idx="85">
                  <c:v>77.400000000000006</c:v>
                </c:pt>
                <c:pt idx="86">
                  <c:v>77.400000000000006</c:v>
                </c:pt>
                <c:pt idx="87">
                  <c:v>77.400000000000006</c:v>
                </c:pt>
                <c:pt idx="88">
                  <c:v>77.400000000000006</c:v>
                </c:pt>
                <c:pt idx="89">
                  <c:v>77.400000000000006</c:v>
                </c:pt>
                <c:pt idx="90">
                  <c:v>77.400000000000006</c:v>
                </c:pt>
                <c:pt idx="91">
                  <c:v>77.400000000000006</c:v>
                </c:pt>
                <c:pt idx="92">
                  <c:v>77.400000000000006</c:v>
                </c:pt>
                <c:pt idx="93">
                  <c:v>77.400000000000006</c:v>
                </c:pt>
                <c:pt idx="94">
                  <c:v>77.400000000000006</c:v>
                </c:pt>
                <c:pt idx="95">
                  <c:v>77.400000000000006</c:v>
                </c:pt>
                <c:pt idx="96">
                  <c:v>77.400000000000006</c:v>
                </c:pt>
                <c:pt idx="97">
                  <c:v>77.400000000000006</c:v>
                </c:pt>
                <c:pt idx="98">
                  <c:v>77.400000000000006</c:v>
                </c:pt>
                <c:pt idx="99">
                  <c:v>77.400000000000006</c:v>
                </c:pt>
                <c:pt idx="100">
                  <c:v>77.400000000000006</c:v>
                </c:pt>
              </c:numCache>
            </c:numRef>
          </c:yVal>
          <c:smooth val="1"/>
          <c:extLst>
            <c:ext xmlns:c16="http://schemas.microsoft.com/office/drawing/2014/chart" uri="{C3380CC4-5D6E-409C-BE32-E72D297353CC}">
              <c16:uniqueId val="{00000002-1EF2-4E77-B263-5B463F21183A}"/>
            </c:ext>
          </c:extLst>
        </c:ser>
        <c:dLbls>
          <c:showLegendKey val="0"/>
          <c:showVal val="0"/>
          <c:showCatName val="0"/>
          <c:showSerName val="0"/>
          <c:showPercent val="0"/>
          <c:showBubbleSize val="0"/>
        </c:dLbls>
        <c:axId val="467103000"/>
        <c:axId val="548678496"/>
      </c:scatterChart>
      <c:valAx>
        <c:axId val="4671030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Distance (ft)</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8678496"/>
        <c:crosses val="autoZero"/>
        <c:crossBetween val="midCat"/>
      </c:valAx>
      <c:valAx>
        <c:axId val="548678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en-US">
                    <a:solidFill>
                      <a:schemeClr val="tx1"/>
                    </a:solidFill>
                  </a:rPr>
                  <a:t>Shear (kip)</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46710300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Deflection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scatterChart>
        <c:scatterStyle val="smoothMarker"/>
        <c:varyColors val="0"/>
        <c:ser>
          <c:idx val="0"/>
          <c:order val="0"/>
          <c:tx>
            <c:v>Deflection</c:v>
          </c:tx>
          <c:spPr>
            <a:ln w="19050" cap="rnd">
              <a:solidFill>
                <a:schemeClr val="accent2"/>
              </a:solidFill>
              <a:round/>
            </a:ln>
            <a:effectLst/>
          </c:spPr>
          <c:marker>
            <c:symbol val="none"/>
          </c:marker>
          <c:xVal>
            <c:numRef>
              <c:f>Analysis!$H$9:$H$109</c:f>
              <c:numCache>
                <c:formatCode>General</c:formatCode>
                <c:ptCount val="101"/>
                <c:pt idx="0">
                  <c:v>0</c:v>
                </c:pt>
                <c:pt idx="1">
                  <c:v>0.24</c:v>
                </c:pt>
                <c:pt idx="2">
                  <c:v>0.48</c:v>
                </c:pt>
                <c:pt idx="3">
                  <c:v>0.72</c:v>
                </c:pt>
                <c:pt idx="4">
                  <c:v>0.96</c:v>
                </c:pt>
                <c:pt idx="5">
                  <c:v>1.2</c:v>
                </c:pt>
                <c:pt idx="6">
                  <c:v>1.44</c:v>
                </c:pt>
                <c:pt idx="7">
                  <c:v>1.68</c:v>
                </c:pt>
                <c:pt idx="8">
                  <c:v>1.92</c:v>
                </c:pt>
                <c:pt idx="9">
                  <c:v>2.16</c:v>
                </c:pt>
                <c:pt idx="10">
                  <c:v>2.4000000000000004</c:v>
                </c:pt>
                <c:pt idx="11">
                  <c:v>2.6400000000000006</c:v>
                </c:pt>
                <c:pt idx="12">
                  <c:v>2.8800000000000008</c:v>
                </c:pt>
                <c:pt idx="13">
                  <c:v>3.120000000000001</c:v>
                </c:pt>
                <c:pt idx="14">
                  <c:v>3.3600000000000012</c:v>
                </c:pt>
                <c:pt idx="15">
                  <c:v>3.6000000000000014</c:v>
                </c:pt>
                <c:pt idx="16">
                  <c:v>3.8400000000000016</c:v>
                </c:pt>
                <c:pt idx="17">
                  <c:v>4.0800000000000018</c:v>
                </c:pt>
                <c:pt idx="18">
                  <c:v>4.3200000000000021</c:v>
                </c:pt>
                <c:pt idx="19">
                  <c:v>4.5600000000000023</c:v>
                </c:pt>
                <c:pt idx="20">
                  <c:v>4.8000000000000025</c:v>
                </c:pt>
                <c:pt idx="21">
                  <c:v>5.0400000000000027</c:v>
                </c:pt>
                <c:pt idx="22">
                  <c:v>5.2800000000000029</c:v>
                </c:pt>
                <c:pt idx="23">
                  <c:v>5.5200000000000031</c:v>
                </c:pt>
                <c:pt idx="24">
                  <c:v>5.7600000000000033</c:v>
                </c:pt>
                <c:pt idx="25">
                  <c:v>6.0000000000000036</c:v>
                </c:pt>
                <c:pt idx="26">
                  <c:v>6.2400000000000038</c:v>
                </c:pt>
                <c:pt idx="27">
                  <c:v>6.480000000000004</c:v>
                </c:pt>
                <c:pt idx="28">
                  <c:v>6.7200000000000042</c:v>
                </c:pt>
                <c:pt idx="29">
                  <c:v>6.9600000000000044</c:v>
                </c:pt>
                <c:pt idx="30">
                  <c:v>7.2000000000000046</c:v>
                </c:pt>
                <c:pt idx="31">
                  <c:v>7.4400000000000048</c:v>
                </c:pt>
                <c:pt idx="32">
                  <c:v>7.680000000000005</c:v>
                </c:pt>
                <c:pt idx="33">
                  <c:v>7.9200000000000053</c:v>
                </c:pt>
                <c:pt idx="34">
                  <c:v>8.1600000000000055</c:v>
                </c:pt>
                <c:pt idx="35">
                  <c:v>8.4000000000000057</c:v>
                </c:pt>
                <c:pt idx="36">
                  <c:v>8.6400000000000059</c:v>
                </c:pt>
                <c:pt idx="37">
                  <c:v>8.8800000000000061</c:v>
                </c:pt>
                <c:pt idx="38">
                  <c:v>9.1200000000000063</c:v>
                </c:pt>
                <c:pt idx="39">
                  <c:v>9.3600000000000065</c:v>
                </c:pt>
                <c:pt idx="40">
                  <c:v>9.6000000000000068</c:v>
                </c:pt>
                <c:pt idx="41">
                  <c:v>9.840000000000007</c:v>
                </c:pt>
                <c:pt idx="42">
                  <c:v>10.080000000000007</c:v>
                </c:pt>
                <c:pt idx="43">
                  <c:v>10.320000000000007</c:v>
                </c:pt>
                <c:pt idx="44">
                  <c:v>10.560000000000008</c:v>
                </c:pt>
                <c:pt idx="45">
                  <c:v>10.800000000000008</c:v>
                </c:pt>
                <c:pt idx="46">
                  <c:v>11.040000000000008</c:v>
                </c:pt>
                <c:pt idx="47">
                  <c:v>11.280000000000008</c:v>
                </c:pt>
                <c:pt idx="48">
                  <c:v>11.520000000000008</c:v>
                </c:pt>
                <c:pt idx="49">
                  <c:v>11.760000000000009</c:v>
                </c:pt>
                <c:pt idx="50">
                  <c:v>12.000000000000009</c:v>
                </c:pt>
                <c:pt idx="51">
                  <c:v>12.240000000000009</c:v>
                </c:pt>
                <c:pt idx="52">
                  <c:v>12.480000000000009</c:v>
                </c:pt>
                <c:pt idx="53">
                  <c:v>12.72000000000001</c:v>
                </c:pt>
                <c:pt idx="54">
                  <c:v>12.96000000000001</c:v>
                </c:pt>
                <c:pt idx="55">
                  <c:v>13.20000000000001</c:v>
                </c:pt>
                <c:pt idx="56">
                  <c:v>13.44000000000001</c:v>
                </c:pt>
                <c:pt idx="57">
                  <c:v>13.68000000000001</c:v>
                </c:pt>
                <c:pt idx="58">
                  <c:v>13.920000000000011</c:v>
                </c:pt>
                <c:pt idx="59">
                  <c:v>14.160000000000011</c:v>
                </c:pt>
                <c:pt idx="60">
                  <c:v>14.400000000000011</c:v>
                </c:pt>
                <c:pt idx="61">
                  <c:v>14.640000000000011</c:v>
                </c:pt>
                <c:pt idx="62">
                  <c:v>14.880000000000011</c:v>
                </c:pt>
                <c:pt idx="63">
                  <c:v>15.120000000000012</c:v>
                </c:pt>
                <c:pt idx="64">
                  <c:v>15.360000000000012</c:v>
                </c:pt>
                <c:pt idx="65">
                  <c:v>15.600000000000012</c:v>
                </c:pt>
                <c:pt idx="66">
                  <c:v>15.840000000000012</c:v>
                </c:pt>
                <c:pt idx="67">
                  <c:v>16.080000000000013</c:v>
                </c:pt>
                <c:pt idx="68">
                  <c:v>16.320000000000011</c:v>
                </c:pt>
                <c:pt idx="69">
                  <c:v>16.560000000000009</c:v>
                </c:pt>
                <c:pt idx="70">
                  <c:v>16.800000000000008</c:v>
                </c:pt>
                <c:pt idx="71">
                  <c:v>17.040000000000006</c:v>
                </c:pt>
                <c:pt idx="72">
                  <c:v>17.280000000000005</c:v>
                </c:pt>
                <c:pt idx="73">
                  <c:v>17.520000000000003</c:v>
                </c:pt>
                <c:pt idx="74">
                  <c:v>17.760000000000002</c:v>
                </c:pt>
                <c:pt idx="75">
                  <c:v>18</c:v>
                </c:pt>
                <c:pt idx="76">
                  <c:v>18.239999999999998</c:v>
                </c:pt>
                <c:pt idx="77">
                  <c:v>18.479999999999997</c:v>
                </c:pt>
                <c:pt idx="78">
                  <c:v>18.719999999999995</c:v>
                </c:pt>
                <c:pt idx="79">
                  <c:v>18.959999999999994</c:v>
                </c:pt>
                <c:pt idx="80">
                  <c:v>19.199999999999992</c:v>
                </c:pt>
                <c:pt idx="81">
                  <c:v>19.439999999999991</c:v>
                </c:pt>
                <c:pt idx="82">
                  <c:v>19.679999999999989</c:v>
                </c:pt>
                <c:pt idx="83">
                  <c:v>19.919999999999987</c:v>
                </c:pt>
                <c:pt idx="84">
                  <c:v>20.159999999999986</c:v>
                </c:pt>
                <c:pt idx="85">
                  <c:v>20.399999999999984</c:v>
                </c:pt>
                <c:pt idx="86">
                  <c:v>20.639999999999983</c:v>
                </c:pt>
                <c:pt idx="87">
                  <c:v>20.879999999999981</c:v>
                </c:pt>
                <c:pt idx="88">
                  <c:v>21.11999999999998</c:v>
                </c:pt>
                <c:pt idx="89">
                  <c:v>21.359999999999978</c:v>
                </c:pt>
                <c:pt idx="90">
                  <c:v>21.599999999999977</c:v>
                </c:pt>
                <c:pt idx="91">
                  <c:v>21.839999999999975</c:v>
                </c:pt>
                <c:pt idx="92">
                  <c:v>22.079999999999973</c:v>
                </c:pt>
                <c:pt idx="93">
                  <c:v>22.319999999999972</c:v>
                </c:pt>
                <c:pt idx="94">
                  <c:v>22.55999999999997</c:v>
                </c:pt>
                <c:pt idx="95">
                  <c:v>22.799999999999969</c:v>
                </c:pt>
                <c:pt idx="96">
                  <c:v>23.039999999999967</c:v>
                </c:pt>
                <c:pt idx="97">
                  <c:v>23.279999999999966</c:v>
                </c:pt>
                <c:pt idx="98">
                  <c:v>23.519999999999964</c:v>
                </c:pt>
                <c:pt idx="99">
                  <c:v>23.759999999999962</c:v>
                </c:pt>
                <c:pt idx="100">
                  <c:v>23.999999999999961</c:v>
                </c:pt>
              </c:numCache>
            </c:numRef>
          </c:xVal>
          <c:yVal>
            <c:numRef>
              <c:f>Analysis!$AI$9:$AI$109</c:f>
              <c:numCache>
                <c:formatCode>0.000</c:formatCode>
                <c:ptCount val="101"/>
                <c:pt idx="0">
                  <c:v>0</c:v>
                </c:pt>
                <c:pt idx="1">
                  <c:v>-5.7729384039752599E-2</c:v>
                </c:pt>
                <c:pt idx="2">
                  <c:v>-0.11539028740237933</c:v>
                </c:pt>
                <c:pt idx="3">
                  <c:v>-0.17291549970999265</c:v>
                </c:pt>
                <c:pt idx="4">
                  <c:v>-0.23023919636569254</c:v>
                </c:pt>
                <c:pt idx="5">
                  <c:v>-0.28729693855356614</c:v>
                </c:pt>
                <c:pt idx="6">
                  <c:v>-0.34402567323868827</c:v>
                </c:pt>
                <c:pt idx="7">
                  <c:v>-0.40036373316712087</c:v>
                </c:pt>
                <c:pt idx="8">
                  <c:v>-0.45625083686591328</c:v>
                </c:pt>
                <c:pt idx="9">
                  <c:v>-0.51162808864310227</c:v>
                </c:pt>
                <c:pt idx="10">
                  <c:v>-0.56643797858771217</c:v>
                </c:pt>
                <c:pt idx="11">
                  <c:v>-0.62062438256975405</c:v>
                </c:pt>
                <c:pt idx="12">
                  <c:v>-0.674132562240227</c:v>
                </c:pt>
                <c:pt idx="13">
                  <c:v>-0.72690916503111735</c:v>
                </c:pt>
                <c:pt idx="14">
                  <c:v>-0.77890222415539856</c:v>
                </c:pt>
                <c:pt idx="15">
                  <c:v>-0.83006115860703167</c:v>
                </c:pt>
                <c:pt idx="16">
                  <c:v>-0.88033677316096504</c:v>
                </c:pt>
                <c:pt idx="17">
                  <c:v>-0.9296812583731342</c:v>
                </c:pt>
                <c:pt idx="18">
                  <c:v>-0.97804819058046255</c:v>
                </c:pt>
                <c:pt idx="19">
                  <c:v>-1.0253925319008603</c:v>
                </c:pt>
                <c:pt idx="20">
                  <c:v>-1.0716706302332251</c:v>
                </c:pt>
                <c:pt idx="21">
                  <c:v>-1.1168402192574429</c:v>
                </c:pt>
                <c:pt idx="22">
                  <c:v>-1.1608604184343856</c:v>
                </c:pt>
                <c:pt idx="23">
                  <c:v>-1.2036917330059131</c:v>
                </c:pt>
                <c:pt idx="24">
                  <c:v>-1.245296053994873</c:v>
                </c:pt>
                <c:pt idx="25">
                  <c:v>-1.2856366582051</c:v>
                </c:pt>
                <c:pt idx="26">
                  <c:v>-1.3246782082214159</c:v>
                </c:pt>
                <c:pt idx="27">
                  <c:v>-1.3623867524096305</c:v>
                </c:pt>
                <c:pt idx="28">
                  <c:v>-1.3987297249165402</c:v>
                </c:pt>
                <c:pt idx="29">
                  <c:v>-1.4336759456699291</c:v>
                </c:pt>
                <c:pt idx="30">
                  <c:v>-1.4671956203785694</c:v>
                </c:pt>
                <c:pt idx="31">
                  <c:v>-1.4992603405322198</c:v>
                </c:pt>
                <c:pt idx="32">
                  <c:v>-1.5298430834016257</c:v>
                </c:pt>
                <c:pt idx="33">
                  <c:v>-1.5589182120385219</c:v>
                </c:pt>
                <c:pt idx="34">
                  <c:v>-1.5864614752756285</c:v>
                </c:pt>
                <c:pt idx="35">
                  <c:v>-1.6124500077266544</c:v>
                </c:pt>
                <c:pt idx="36">
                  <c:v>-1.6368623297862954</c:v>
                </c:pt>
                <c:pt idx="37">
                  <c:v>-1.6596783476302344</c:v>
                </c:pt>
                <c:pt idx="38">
                  <c:v>-1.6808793532151423</c:v>
                </c:pt>
                <c:pt idx="39">
                  <c:v>-1.7004480242786755</c:v>
                </c:pt>
                <c:pt idx="40">
                  <c:v>-1.7183684243394817</c:v>
                </c:pt>
                <c:pt idx="41">
                  <c:v>-1.7346260026971914</c:v>
                </c:pt>
                <c:pt idx="42">
                  <c:v>-1.7492075944324257</c:v>
                </c:pt>
                <c:pt idx="43">
                  <c:v>-1.7621014204067917</c:v>
                </c:pt>
                <c:pt idx="44">
                  <c:v>-1.7732970872628839</c:v>
                </c:pt>
                <c:pt idx="45">
                  <c:v>-1.7827855874242842</c:v>
                </c:pt>
                <c:pt idx="46">
                  <c:v>-1.7905592990955628</c:v>
                </c:pt>
                <c:pt idx="47">
                  <c:v>-1.7966119862622763</c:v>
                </c:pt>
                <c:pt idx="48">
                  <c:v>-1.800938798690968</c:v>
                </c:pt>
                <c:pt idx="49">
                  <c:v>-1.8035362719291703</c:v>
                </c:pt>
                <c:pt idx="50">
                  <c:v>-1.8044023273054024</c:v>
                </c:pt>
                <c:pt idx="51">
                  <c:v>-1.8035362719291705</c:v>
                </c:pt>
                <c:pt idx="52">
                  <c:v>-1.8009387986909675</c:v>
                </c:pt>
                <c:pt idx="53">
                  <c:v>-1.7966119862622756</c:v>
                </c:pt>
                <c:pt idx="54">
                  <c:v>-1.7905592990955619</c:v>
                </c:pt>
                <c:pt idx="55">
                  <c:v>-1.7827855874242835</c:v>
                </c:pt>
                <c:pt idx="56">
                  <c:v>-1.7732970872628828</c:v>
                </c:pt>
                <c:pt idx="57">
                  <c:v>-1.7621014204067904</c:v>
                </c:pt>
                <c:pt idx="58">
                  <c:v>-1.7492075944324246</c:v>
                </c:pt>
                <c:pt idx="59">
                  <c:v>-1.7346260026971907</c:v>
                </c:pt>
                <c:pt idx="60">
                  <c:v>-1.7183684243394803</c:v>
                </c:pt>
                <c:pt idx="61">
                  <c:v>-1.7004480242786748</c:v>
                </c:pt>
                <c:pt idx="62">
                  <c:v>-1.6808793532151403</c:v>
                </c:pt>
                <c:pt idx="63">
                  <c:v>-1.6596783476302328</c:v>
                </c:pt>
                <c:pt idx="64">
                  <c:v>-1.6368623297862936</c:v>
                </c:pt>
                <c:pt idx="65">
                  <c:v>-1.6124500077266524</c:v>
                </c:pt>
                <c:pt idx="66">
                  <c:v>-1.5864614752756265</c:v>
                </c:pt>
                <c:pt idx="67">
                  <c:v>-1.5589182120385199</c:v>
                </c:pt>
                <c:pt idx="68">
                  <c:v>-1.5298430834016241</c:v>
                </c:pt>
                <c:pt idx="69">
                  <c:v>-1.4992603405322178</c:v>
                </c:pt>
                <c:pt idx="70">
                  <c:v>-1.4671956203785681</c:v>
                </c:pt>
                <c:pt idx="71">
                  <c:v>-1.4336759456699275</c:v>
                </c:pt>
                <c:pt idx="72">
                  <c:v>-1.3987297249165387</c:v>
                </c:pt>
                <c:pt idx="73">
                  <c:v>-1.3623867524096298</c:v>
                </c:pt>
                <c:pt idx="74">
                  <c:v>-1.3246782082214148</c:v>
                </c:pt>
                <c:pt idx="75">
                  <c:v>-1.2856366582050993</c:v>
                </c:pt>
                <c:pt idx="76">
                  <c:v>-1.2452960539948725</c:v>
                </c:pt>
                <c:pt idx="77">
                  <c:v>-1.2036917330059131</c:v>
                </c:pt>
                <c:pt idx="78">
                  <c:v>-1.1608604184343854</c:v>
                </c:pt>
                <c:pt idx="79">
                  <c:v>-1.1168402192574436</c:v>
                </c:pt>
                <c:pt idx="80">
                  <c:v>-1.071670630233226</c:v>
                </c:pt>
                <c:pt idx="81">
                  <c:v>-1.0253925319008617</c:v>
                </c:pt>
                <c:pt idx="82">
                  <c:v>-0.97804819058046411</c:v>
                </c:pt>
                <c:pt idx="83">
                  <c:v>-0.92968125837313653</c:v>
                </c:pt>
                <c:pt idx="84">
                  <c:v>-0.88033677316096748</c:v>
                </c:pt>
                <c:pt idx="85">
                  <c:v>-0.83006115860703544</c:v>
                </c:pt>
                <c:pt idx="86">
                  <c:v>-0.77890222415540233</c:v>
                </c:pt>
                <c:pt idx="87">
                  <c:v>-0.72690916503112069</c:v>
                </c:pt>
                <c:pt idx="88">
                  <c:v>-0.67413256224023088</c:v>
                </c:pt>
                <c:pt idx="89">
                  <c:v>-0.62062438256975949</c:v>
                </c:pt>
                <c:pt idx="90">
                  <c:v>-0.56643797858771772</c:v>
                </c:pt>
                <c:pt idx="91">
                  <c:v>-0.51162808864310816</c:v>
                </c:pt>
                <c:pt idx="92">
                  <c:v>-0.45625083686591961</c:v>
                </c:pt>
                <c:pt idx="93">
                  <c:v>-0.40036373316712798</c:v>
                </c:pt>
                <c:pt idx="94">
                  <c:v>-0.3440256732386951</c:v>
                </c:pt>
                <c:pt idx="95">
                  <c:v>-0.28729693855357419</c:v>
                </c:pt>
                <c:pt idx="96">
                  <c:v>-0.23023919636569962</c:v>
                </c:pt>
                <c:pt idx="97">
                  <c:v>-0.17291549971000106</c:v>
                </c:pt>
                <c:pt idx="98">
                  <c:v>-0.11539028740238746</c:v>
                </c:pt>
                <c:pt idx="99">
                  <c:v>-5.7729384039762507E-2</c:v>
                </c:pt>
                <c:pt idx="100">
                  <c:v>-9.1171908697277901E-15</c:v>
                </c:pt>
              </c:numCache>
            </c:numRef>
          </c:yVal>
          <c:smooth val="1"/>
          <c:extLst>
            <c:ext xmlns:c16="http://schemas.microsoft.com/office/drawing/2014/chart" uri="{C3380CC4-5D6E-409C-BE32-E72D297353CC}">
              <c16:uniqueId val="{00000000-154F-40F4-884B-18CBAE301B30}"/>
            </c:ext>
          </c:extLst>
        </c:ser>
        <c:dLbls>
          <c:showLegendKey val="0"/>
          <c:showVal val="0"/>
          <c:showCatName val="0"/>
          <c:showSerName val="0"/>
          <c:showPercent val="0"/>
          <c:showBubbleSize val="0"/>
        </c:dLbls>
        <c:axId val="467103000"/>
        <c:axId val="548678496"/>
      </c:scatterChart>
      <c:valAx>
        <c:axId val="46710300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Distance (ft)</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48678496"/>
        <c:crosses val="autoZero"/>
        <c:crossBetween val="midCat"/>
      </c:valAx>
      <c:valAx>
        <c:axId val="548678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Deflection (in)</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00"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6710300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253</xdr:row>
      <xdr:rowOff>25977</xdr:rowOff>
    </xdr:from>
    <xdr:to>
      <xdr:col>3</xdr:col>
      <xdr:colOff>4572000</xdr:colOff>
      <xdr:row>263</xdr:row>
      <xdr:rowOff>34259</xdr:rowOff>
    </xdr:to>
    <xdr:pic>
      <xdr:nvPicPr>
        <xdr:cNvPr id="3" name="Picture 2">
          <a:extLst>
            <a:ext uri="{FF2B5EF4-FFF2-40B4-BE49-F238E27FC236}">
              <a16:creationId xmlns:a16="http://schemas.microsoft.com/office/drawing/2014/main" id="{95AF4915-ED99-BAD2-7CC3-157787B7F776}"/>
            </a:ext>
          </a:extLst>
        </xdr:cNvPr>
        <xdr:cNvPicPr>
          <a:picLocks noChangeAspect="1"/>
        </xdr:cNvPicPr>
      </xdr:nvPicPr>
      <xdr:blipFill>
        <a:blip xmlns:r="http://schemas.openxmlformats.org/officeDocument/2006/relationships" r:embed="rId1"/>
        <a:stretch>
          <a:fillRect/>
        </a:stretch>
      </xdr:blipFill>
      <xdr:spPr>
        <a:xfrm>
          <a:off x="813955" y="42559432"/>
          <a:ext cx="4572000" cy="1653510"/>
        </a:xfrm>
        <a:prstGeom prst="rect">
          <a:avLst/>
        </a:prstGeom>
      </xdr:spPr>
    </xdr:pic>
    <xdr:clientData/>
  </xdr:twoCellAnchor>
  <xdr:twoCellAnchor editAs="oneCell">
    <xdr:from>
      <xdr:col>3</xdr:col>
      <xdr:colOff>0</xdr:colOff>
      <xdr:row>157</xdr:row>
      <xdr:rowOff>25977</xdr:rowOff>
    </xdr:from>
    <xdr:to>
      <xdr:col>3</xdr:col>
      <xdr:colOff>3981982</xdr:colOff>
      <xdr:row>168</xdr:row>
      <xdr:rowOff>45027</xdr:rowOff>
    </xdr:to>
    <xdr:pic>
      <xdr:nvPicPr>
        <xdr:cNvPr id="10" name="Picture 9">
          <a:extLst>
            <a:ext uri="{FF2B5EF4-FFF2-40B4-BE49-F238E27FC236}">
              <a16:creationId xmlns:a16="http://schemas.microsoft.com/office/drawing/2014/main" id="{56CCB7DF-3672-4DA3-B661-BD28EA724A8F}"/>
            </a:ext>
          </a:extLst>
        </xdr:cNvPr>
        <xdr:cNvPicPr>
          <a:picLocks noChangeAspect="1"/>
        </xdr:cNvPicPr>
      </xdr:nvPicPr>
      <xdr:blipFill rotWithShape="1">
        <a:blip xmlns:r="http://schemas.openxmlformats.org/officeDocument/2006/relationships" r:embed="rId2"/>
        <a:srcRect t="4132"/>
        <a:stretch/>
      </xdr:blipFill>
      <xdr:spPr>
        <a:xfrm>
          <a:off x="813955" y="20565341"/>
          <a:ext cx="3981982" cy="1828800"/>
        </a:xfrm>
        <a:prstGeom prst="rect">
          <a:avLst/>
        </a:prstGeom>
      </xdr:spPr>
    </xdr:pic>
    <xdr:clientData/>
  </xdr:twoCellAnchor>
  <xdr:twoCellAnchor editAs="oneCell">
    <xdr:from>
      <xdr:col>3</xdr:col>
      <xdr:colOff>1</xdr:colOff>
      <xdr:row>170</xdr:row>
      <xdr:rowOff>25977</xdr:rowOff>
    </xdr:from>
    <xdr:to>
      <xdr:col>3</xdr:col>
      <xdr:colOff>3931254</xdr:colOff>
      <xdr:row>181</xdr:row>
      <xdr:rowOff>45027</xdr:rowOff>
    </xdr:to>
    <xdr:pic>
      <xdr:nvPicPr>
        <xdr:cNvPr id="11" name="Picture 10">
          <a:extLst>
            <a:ext uri="{FF2B5EF4-FFF2-40B4-BE49-F238E27FC236}">
              <a16:creationId xmlns:a16="http://schemas.microsoft.com/office/drawing/2014/main" id="{AE721A59-65FC-3C25-538A-9156E4806E79}"/>
            </a:ext>
          </a:extLst>
        </xdr:cNvPr>
        <xdr:cNvPicPr>
          <a:picLocks noChangeAspect="1"/>
        </xdr:cNvPicPr>
      </xdr:nvPicPr>
      <xdr:blipFill>
        <a:blip xmlns:r="http://schemas.openxmlformats.org/officeDocument/2006/relationships" r:embed="rId3"/>
        <a:stretch>
          <a:fillRect/>
        </a:stretch>
      </xdr:blipFill>
      <xdr:spPr>
        <a:xfrm>
          <a:off x="813956" y="22704136"/>
          <a:ext cx="3931253" cy="1828800"/>
        </a:xfrm>
        <a:prstGeom prst="rect">
          <a:avLst/>
        </a:prstGeom>
      </xdr:spPr>
    </xdr:pic>
    <xdr:clientData/>
  </xdr:twoCellAnchor>
  <xdr:twoCellAnchor editAs="oneCell">
    <xdr:from>
      <xdr:col>3</xdr:col>
      <xdr:colOff>1</xdr:colOff>
      <xdr:row>183</xdr:row>
      <xdr:rowOff>25977</xdr:rowOff>
    </xdr:from>
    <xdr:to>
      <xdr:col>3</xdr:col>
      <xdr:colOff>4058068</xdr:colOff>
      <xdr:row>194</xdr:row>
      <xdr:rowOff>45027</xdr:rowOff>
    </xdr:to>
    <xdr:pic>
      <xdr:nvPicPr>
        <xdr:cNvPr id="12" name="Picture 11">
          <a:extLst>
            <a:ext uri="{FF2B5EF4-FFF2-40B4-BE49-F238E27FC236}">
              <a16:creationId xmlns:a16="http://schemas.microsoft.com/office/drawing/2014/main" id="{684B5FD9-D1EA-3CD5-7CFA-DE0699285E49}"/>
            </a:ext>
          </a:extLst>
        </xdr:cNvPr>
        <xdr:cNvPicPr>
          <a:picLocks noChangeAspect="1"/>
        </xdr:cNvPicPr>
      </xdr:nvPicPr>
      <xdr:blipFill>
        <a:blip xmlns:r="http://schemas.openxmlformats.org/officeDocument/2006/relationships" r:embed="rId4"/>
        <a:stretch>
          <a:fillRect/>
        </a:stretch>
      </xdr:blipFill>
      <xdr:spPr>
        <a:xfrm>
          <a:off x="813956" y="24842932"/>
          <a:ext cx="4058067" cy="1828800"/>
        </a:xfrm>
        <a:prstGeom prst="rect">
          <a:avLst/>
        </a:prstGeom>
      </xdr:spPr>
    </xdr:pic>
    <xdr:clientData/>
  </xdr:twoCellAnchor>
  <xdr:twoCellAnchor editAs="oneCell">
    <xdr:from>
      <xdr:col>3</xdr:col>
      <xdr:colOff>0</xdr:colOff>
      <xdr:row>241</xdr:row>
      <xdr:rowOff>25977</xdr:rowOff>
    </xdr:from>
    <xdr:to>
      <xdr:col>3</xdr:col>
      <xdr:colOff>4459432</xdr:colOff>
      <xdr:row>249</xdr:row>
      <xdr:rowOff>36648</xdr:rowOff>
    </xdr:to>
    <xdr:pic>
      <xdr:nvPicPr>
        <xdr:cNvPr id="13" name="Picture 12">
          <a:extLst>
            <a:ext uri="{FF2B5EF4-FFF2-40B4-BE49-F238E27FC236}">
              <a16:creationId xmlns:a16="http://schemas.microsoft.com/office/drawing/2014/main" id="{A6F119FB-7315-4462-BECD-B85FFD89714A}"/>
            </a:ext>
          </a:extLst>
        </xdr:cNvPr>
        <xdr:cNvPicPr>
          <a:picLocks noChangeAspect="1"/>
        </xdr:cNvPicPr>
      </xdr:nvPicPr>
      <xdr:blipFill rotWithShape="1">
        <a:blip xmlns:r="http://schemas.openxmlformats.org/officeDocument/2006/relationships" r:embed="rId5"/>
        <a:srcRect l="2462"/>
        <a:stretch/>
      </xdr:blipFill>
      <xdr:spPr>
        <a:xfrm>
          <a:off x="813955" y="39251659"/>
          <a:ext cx="4459432" cy="1326853"/>
        </a:xfrm>
        <a:prstGeom prst="rect">
          <a:avLst/>
        </a:prstGeom>
      </xdr:spPr>
    </xdr:pic>
    <xdr:clientData/>
  </xdr:twoCellAnchor>
  <xdr:twoCellAnchor editAs="oneCell">
    <xdr:from>
      <xdr:col>3</xdr:col>
      <xdr:colOff>0</xdr:colOff>
      <xdr:row>231</xdr:row>
      <xdr:rowOff>25977</xdr:rowOff>
    </xdr:from>
    <xdr:to>
      <xdr:col>3</xdr:col>
      <xdr:colOff>3983182</xdr:colOff>
      <xdr:row>235</xdr:row>
      <xdr:rowOff>43017</xdr:rowOff>
    </xdr:to>
    <xdr:pic>
      <xdr:nvPicPr>
        <xdr:cNvPr id="14" name="Picture 13">
          <a:extLst>
            <a:ext uri="{FF2B5EF4-FFF2-40B4-BE49-F238E27FC236}">
              <a16:creationId xmlns:a16="http://schemas.microsoft.com/office/drawing/2014/main" id="{C1C4EA2E-5ACE-4504-A54E-FDBE9C1BDC3C}"/>
            </a:ext>
          </a:extLst>
        </xdr:cNvPr>
        <xdr:cNvPicPr>
          <a:picLocks noChangeAspect="1"/>
        </xdr:cNvPicPr>
      </xdr:nvPicPr>
      <xdr:blipFill rotWithShape="1">
        <a:blip xmlns:r="http://schemas.openxmlformats.org/officeDocument/2006/relationships" r:embed="rId6"/>
        <a:srcRect l="12879"/>
        <a:stretch/>
      </xdr:blipFill>
      <xdr:spPr>
        <a:xfrm>
          <a:off x="813955" y="36428795"/>
          <a:ext cx="3983182" cy="675131"/>
        </a:xfrm>
        <a:prstGeom prst="rect">
          <a:avLst/>
        </a:prstGeom>
      </xdr:spPr>
    </xdr:pic>
    <xdr:clientData/>
  </xdr:twoCellAnchor>
  <xdr:twoCellAnchor editAs="oneCell">
    <xdr:from>
      <xdr:col>3</xdr:col>
      <xdr:colOff>0</xdr:colOff>
      <xdr:row>222</xdr:row>
      <xdr:rowOff>25977</xdr:rowOff>
    </xdr:from>
    <xdr:to>
      <xdr:col>3</xdr:col>
      <xdr:colOff>4294910</xdr:colOff>
      <xdr:row>228</xdr:row>
      <xdr:rowOff>149135</xdr:rowOff>
    </xdr:to>
    <xdr:pic>
      <xdr:nvPicPr>
        <xdr:cNvPr id="15" name="Picture 14">
          <a:extLst>
            <a:ext uri="{FF2B5EF4-FFF2-40B4-BE49-F238E27FC236}">
              <a16:creationId xmlns:a16="http://schemas.microsoft.com/office/drawing/2014/main" id="{78D852FA-7173-4259-A979-77F9A609B0FF}"/>
            </a:ext>
          </a:extLst>
        </xdr:cNvPr>
        <xdr:cNvPicPr>
          <a:picLocks noChangeAspect="1"/>
        </xdr:cNvPicPr>
      </xdr:nvPicPr>
      <xdr:blipFill rotWithShape="1">
        <a:blip xmlns:r="http://schemas.openxmlformats.org/officeDocument/2006/relationships" r:embed="rId7"/>
        <a:srcRect l="6061"/>
        <a:stretch/>
      </xdr:blipFill>
      <xdr:spPr>
        <a:xfrm>
          <a:off x="813955" y="34948091"/>
          <a:ext cx="4294910" cy="1110294"/>
        </a:xfrm>
        <a:prstGeom prst="rect">
          <a:avLst/>
        </a:prstGeom>
      </xdr:spPr>
    </xdr:pic>
    <xdr:clientData/>
  </xdr:twoCellAnchor>
  <xdr:twoCellAnchor editAs="oneCell">
    <xdr:from>
      <xdr:col>3</xdr:col>
      <xdr:colOff>0</xdr:colOff>
      <xdr:row>196</xdr:row>
      <xdr:rowOff>25977</xdr:rowOff>
    </xdr:from>
    <xdr:to>
      <xdr:col>3</xdr:col>
      <xdr:colOff>3957205</xdr:colOff>
      <xdr:row>202</xdr:row>
      <xdr:rowOff>107150</xdr:rowOff>
    </xdr:to>
    <xdr:pic>
      <xdr:nvPicPr>
        <xdr:cNvPr id="16" name="Picture 15">
          <a:extLst>
            <a:ext uri="{FF2B5EF4-FFF2-40B4-BE49-F238E27FC236}">
              <a16:creationId xmlns:a16="http://schemas.microsoft.com/office/drawing/2014/main" id="{6DA9FE8D-F17A-4B8B-BFC1-38FA2951A415}"/>
            </a:ext>
          </a:extLst>
        </xdr:cNvPr>
        <xdr:cNvPicPr>
          <a:picLocks noChangeAspect="1"/>
        </xdr:cNvPicPr>
      </xdr:nvPicPr>
      <xdr:blipFill rotWithShape="1">
        <a:blip xmlns:r="http://schemas.openxmlformats.org/officeDocument/2006/relationships" r:embed="rId8"/>
        <a:srcRect l="13447"/>
        <a:stretch/>
      </xdr:blipFill>
      <xdr:spPr>
        <a:xfrm>
          <a:off x="813955" y="27302113"/>
          <a:ext cx="3957205" cy="1068309"/>
        </a:xfrm>
        <a:prstGeom prst="rect">
          <a:avLst/>
        </a:prstGeom>
      </xdr:spPr>
    </xdr:pic>
    <xdr:clientData/>
  </xdr:twoCellAnchor>
  <xdr:twoCellAnchor editAs="oneCell">
    <xdr:from>
      <xdr:col>3</xdr:col>
      <xdr:colOff>0</xdr:colOff>
      <xdr:row>148</xdr:row>
      <xdr:rowOff>25977</xdr:rowOff>
    </xdr:from>
    <xdr:to>
      <xdr:col>3</xdr:col>
      <xdr:colOff>3792682</xdr:colOff>
      <xdr:row>154</xdr:row>
      <xdr:rowOff>125257</xdr:rowOff>
    </xdr:to>
    <xdr:pic>
      <xdr:nvPicPr>
        <xdr:cNvPr id="17" name="Picture 16">
          <a:extLst>
            <a:ext uri="{FF2B5EF4-FFF2-40B4-BE49-F238E27FC236}">
              <a16:creationId xmlns:a16="http://schemas.microsoft.com/office/drawing/2014/main" id="{B290F09A-3AD0-4B39-BFED-21EC44498663}"/>
            </a:ext>
          </a:extLst>
        </xdr:cNvPr>
        <xdr:cNvPicPr>
          <a:picLocks noChangeAspect="1"/>
        </xdr:cNvPicPr>
      </xdr:nvPicPr>
      <xdr:blipFill rotWithShape="1">
        <a:blip xmlns:r="http://schemas.openxmlformats.org/officeDocument/2006/relationships" r:embed="rId9"/>
        <a:srcRect l="17045"/>
        <a:stretch/>
      </xdr:blipFill>
      <xdr:spPr>
        <a:xfrm>
          <a:off x="813955" y="18928772"/>
          <a:ext cx="3792682" cy="1086416"/>
        </a:xfrm>
        <a:prstGeom prst="rect">
          <a:avLst/>
        </a:prstGeom>
      </xdr:spPr>
    </xdr:pic>
    <xdr:clientData/>
  </xdr:twoCellAnchor>
  <xdr:twoCellAnchor editAs="oneCell">
    <xdr:from>
      <xdr:col>3</xdr:col>
      <xdr:colOff>0</xdr:colOff>
      <xdr:row>272</xdr:row>
      <xdr:rowOff>0</xdr:rowOff>
    </xdr:from>
    <xdr:to>
      <xdr:col>3</xdr:col>
      <xdr:colOff>4442114</xdr:colOff>
      <xdr:row>277</xdr:row>
      <xdr:rowOff>71909</xdr:rowOff>
    </xdr:to>
    <xdr:pic>
      <xdr:nvPicPr>
        <xdr:cNvPr id="20" name="Picture 19">
          <a:extLst>
            <a:ext uri="{FF2B5EF4-FFF2-40B4-BE49-F238E27FC236}">
              <a16:creationId xmlns:a16="http://schemas.microsoft.com/office/drawing/2014/main" id="{D6D273DF-E595-4AF5-82CA-6375F61DC316}"/>
            </a:ext>
          </a:extLst>
        </xdr:cNvPr>
        <xdr:cNvPicPr>
          <a:picLocks noChangeAspect="1"/>
        </xdr:cNvPicPr>
      </xdr:nvPicPr>
      <xdr:blipFill rotWithShape="1">
        <a:blip xmlns:r="http://schemas.openxmlformats.org/officeDocument/2006/relationships" r:embed="rId10"/>
        <a:srcRect l="2841"/>
        <a:stretch/>
      </xdr:blipFill>
      <xdr:spPr>
        <a:xfrm>
          <a:off x="813955" y="45815250"/>
          <a:ext cx="4442114" cy="894522"/>
        </a:xfrm>
        <a:prstGeom prst="rect">
          <a:avLst/>
        </a:prstGeom>
      </xdr:spPr>
    </xdr:pic>
    <xdr:clientData/>
  </xdr:twoCellAnchor>
  <xdr:twoCellAnchor editAs="oneCell">
    <xdr:from>
      <xdr:col>3</xdr:col>
      <xdr:colOff>1</xdr:colOff>
      <xdr:row>267</xdr:row>
      <xdr:rowOff>25977</xdr:rowOff>
    </xdr:from>
    <xdr:to>
      <xdr:col>3</xdr:col>
      <xdr:colOff>4491790</xdr:colOff>
      <xdr:row>283</xdr:row>
      <xdr:rowOff>136813</xdr:rowOff>
    </xdr:to>
    <xdr:pic>
      <xdr:nvPicPr>
        <xdr:cNvPr id="21" name="Picture 20">
          <a:extLst>
            <a:ext uri="{FF2B5EF4-FFF2-40B4-BE49-F238E27FC236}">
              <a16:creationId xmlns:a16="http://schemas.microsoft.com/office/drawing/2014/main" id="{578B6EB3-A2DE-A7F6-C6C5-F7921381439A}"/>
            </a:ext>
          </a:extLst>
        </xdr:cNvPr>
        <xdr:cNvPicPr>
          <a:picLocks noChangeAspect="1"/>
        </xdr:cNvPicPr>
      </xdr:nvPicPr>
      <xdr:blipFill>
        <a:blip xmlns:r="http://schemas.openxmlformats.org/officeDocument/2006/relationships" r:embed="rId11"/>
        <a:stretch>
          <a:fillRect/>
        </a:stretch>
      </xdr:blipFill>
      <xdr:spPr>
        <a:xfrm>
          <a:off x="813956" y="45668045"/>
          <a:ext cx="4491789" cy="274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63</xdr:row>
      <xdr:rowOff>35241</xdr:rowOff>
    </xdr:from>
    <xdr:to>
      <xdr:col>4</xdr:col>
      <xdr:colOff>443865</xdr:colOff>
      <xdr:row>80</xdr:row>
      <xdr:rowOff>86676</xdr:rowOff>
    </xdr:to>
    <xdr:graphicFrame macro="">
      <xdr:nvGraphicFramePr>
        <xdr:cNvPr id="9" name="Chart 8">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45</xdr:row>
      <xdr:rowOff>123825</xdr:rowOff>
    </xdr:from>
    <xdr:to>
      <xdr:col>5</xdr:col>
      <xdr:colOff>0</xdr:colOff>
      <xdr:row>63</xdr:row>
      <xdr:rowOff>9525</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80</xdr:row>
      <xdr:rowOff>104775</xdr:rowOff>
    </xdr:from>
    <xdr:to>
      <xdr:col>5</xdr:col>
      <xdr:colOff>0</xdr:colOff>
      <xdr:row>97</xdr:row>
      <xdr:rowOff>150495</xdr:rowOff>
    </xdr:to>
    <xdr:graphicFrame macro="">
      <xdr:nvGraphicFramePr>
        <xdr:cNvPr id="12" name="Chart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476250</xdr:colOff>
      <xdr:row>333</xdr:row>
      <xdr:rowOff>0</xdr:rowOff>
    </xdr:from>
    <xdr:to>
      <xdr:col>1</xdr:col>
      <xdr:colOff>352765</xdr:colOff>
      <xdr:row>348</xdr:row>
      <xdr:rowOff>95602</xdr:rowOff>
    </xdr:to>
    <xdr:pic>
      <xdr:nvPicPr>
        <xdr:cNvPr id="3" name="Picture 2">
          <a:extLst>
            <a:ext uri="{FF2B5EF4-FFF2-40B4-BE49-F238E27FC236}">
              <a16:creationId xmlns:a16="http://schemas.microsoft.com/office/drawing/2014/main" id="{49F24C4D-9830-E798-028C-A17E54461EEE}"/>
            </a:ext>
          </a:extLst>
        </xdr:cNvPr>
        <xdr:cNvPicPr>
          <a:picLocks noChangeAspect="1"/>
        </xdr:cNvPicPr>
      </xdr:nvPicPr>
      <xdr:blipFill>
        <a:blip xmlns:r="http://schemas.openxmlformats.org/officeDocument/2006/relationships" r:embed="rId1"/>
        <a:stretch>
          <a:fillRect/>
        </a:stretch>
      </xdr:blipFill>
      <xdr:spPr>
        <a:xfrm>
          <a:off x="476250" y="9372600"/>
          <a:ext cx="2438740" cy="2524477"/>
        </a:xfrm>
        <a:prstGeom prst="rect">
          <a:avLst/>
        </a:prstGeom>
      </xdr:spPr>
    </xdr:pic>
    <xdr:clientData/>
  </xdr:twoCellAnchor>
  <xdr:twoCellAnchor editAs="oneCell">
    <xdr:from>
      <xdr:col>3</xdr:col>
      <xdr:colOff>0</xdr:colOff>
      <xdr:row>333</xdr:row>
      <xdr:rowOff>0</xdr:rowOff>
    </xdr:from>
    <xdr:to>
      <xdr:col>6</xdr:col>
      <xdr:colOff>267076</xdr:colOff>
      <xdr:row>349</xdr:row>
      <xdr:rowOff>152783</xdr:rowOff>
    </xdr:to>
    <xdr:pic>
      <xdr:nvPicPr>
        <xdr:cNvPr id="4" name="Picture 3">
          <a:extLst>
            <a:ext uri="{FF2B5EF4-FFF2-40B4-BE49-F238E27FC236}">
              <a16:creationId xmlns:a16="http://schemas.microsoft.com/office/drawing/2014/main" id="{23892E87-8ED8-45F7-C287-0AA4B44DF987}"/>
            </a:ext>
          </a:extLst>
        </xdr:cNvPr>
        <xdr:cNvPicPr>
          <a:picLocks noChangeAspect="1"/>
        </xdr:cNvPicPr>
      </xdr:nvPicPr>
      <xdr:blipFill>
        <a:blip xmlns:r="http://schemas.openxmlformats.org/officeDocument/2006/relationships" r:embed="rId2"/>
        <a:stretch>
          <a:fillRect/>
        </a:stretch>
      </xdr:blipFill>
      <xdr:spPr>
        <a:xfrm>
          <a:off x="3724275" y="9210675"/>
          <a:ext cx="2695951" cy="2743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476250</xdr:colOff>
      <xdr:row>323</xdr:row>
      <xdr:rowOff>0</xdr:rowOff>
    </xdr:from>
    <xdr:to>
      <xdr:col>1</xdr:col>
      <xdr:colOff>352765</xdr:colOff>
      <xdr:row>338</xdr:row>
      <xdr:rowOff>95602</xdr:rowOff>
    </xdr:to>
    <xdr:pic>
      <xdr:nvPicPr>
        <xdr:cNvPr id="4" name="Picture 3">
          <a:extLst>
            <a:ext uri="{FF2B5EF4-FFF2-40B4-BE49-F238E27FC236}">
              <a16:creationId xmlns:a16="http://schemas.microsoft.com/office/drawing/2014/main" id="{132F2348-C88B-46DD-8BB1-4853F2CDFE39}"/>
            </a:ext>
          </a:extLst>
        </xdr:cNvPr>
        <xdr:cNvPicPr>
          <a:picLocks noChangeAspect="1"/>
        </xdr:cNvPicPr>
      </xdr:nvPicPr>
      <xdr:blipFill>
        <a:blip xmlns:r="http://schemas.openxmlformats.org/officeDocument/2006/relationships" r:embed="rId1"/>
        <a:stretch>
          <a:fillRect/>
        </a:stretch>
      </xdr:blipFill>
      <xdr:spPr>
        <a:xfrm>
          <a:off x="476250" y="9372600"/>
          <a:ext cx="2438740" cy="2524477"/>
        </a:xfrm>
        <a:prstGeom prst="rect">
          <a:avLst/>
        </a:prstGeom>
      </xdr:spPr>
    </xdr:pic>
    <xdr:clientData/>
  </xdr:twoCellAnchor>
  <xdr:twoCellAnchor editAs="oneCell">
    <xdr:from>
      <xdr:col>3</xdr:col>
      <xdr:colOff>0</xdr:colOff>
      <xdr:row>323</xdr:row>
      <xdr:rowOff>0</xdr:rowOff>
    </xdr:from>
    <xdr:to>
      <xdr:col>5</xdr:col>
      <xdr:colOff>724227</xdr:colOff>
      <xdr:row>343</xdr:row>
      <xdr:rowOff>29031</xdr:rowOff>
    </xdr:to>
    <xdr:pic>
      <xdr:nvPicPr>
        <xdr:cNvPr id="5" name="Picture 4">
          <a:extLst>
            <a:ext uri="{FF2B5EF4-FFF2-40B4-BE49-F238E27FC236}">
              <a16:creationId xmlns:a16="http://schemas.microsoft.com/office/drawing/2014/main" id="{D3641EE0-5ABC-1104-DE74-A66AF738264E}"/>
            </a:ext>
          </a:extLst>
        </xdr:cNvPr>
        <xdr:cNvPicPr>
          <a:picLocks noChangeAspect="1"/>
        </xdr:cNvPicPr>
      </xdr:nvPicPr>
      <xdr:blipFill>
        <a:blip xmlns:r="http://schemas.openxmlformats.org/officeDocument/2006/relationships" r:embed="rId2"/>
        <a:stretch>
          <a:fillRect/>
        </a:stretch>
      </xdr:blipFill>
      <xdr:spPr>
        <a:xfrm>
          <a:off x="3724275" y="8324850"/>
          <a:ext cx="2343477" cy="32675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476250</xdr:colOff>
      <xdr:row>293</xdr:row>
      <xdr:rowOff>0</xdr:rowOff>
    </xdr:from>
    <xdr:to>
      <xdr:col>1</xdr:col>
      <xdr:colOff>352765</xdr:colOff>
      <xdr:row>308</xdr:row>
      <xdr:rowOff>95602</xdr:rowOff>
    </xdr:to>
    <xdr:pic>
      <xdr:nvPicPr>
        <xdr:cNvPr id="3" name="Picture 2">
          <a:extLst>
            <a:ext uri="{FF2B5EF4-FFF2-40B4-BE49-F238E27FC236}">
              <a16:creationId xmlns:a16="http://schemas.microsoft.com/office/drawing/2014/main" id="{1DFCC957-E02A-435E-B2FE-73D805039B24}"/>
            </a:ext>
          </a:extLst>
        </xdr:cNvPr>
        <xdr:cNvPicPr>
          <a:picLocks noChangeAspect="1"/>
        </xdr:cNvPicPr>
      </xdr:nvPicPr>
      <xdr:blipFill>
        <a:blip xmlns:r="http://schemas.openxmlformats.org/officeDocument/2006/relationships" r:embed="rId1"/>
        <a:stretch>
          <a:fillRect/>
        </a:stretch>
      </xdr:blipFill>
      <xdr:spPr>
        <a:xfrm>
          <a:off x="476250" y="9372600"/>
          <a:ext cx="2438740" cy="2524477"/>
        </a:xfrm>
        <a:prstGeom prst="rect">
          <a:avLst/>
        </a:prstGeom>
      </xdr:spPr>
    </xdr:pic>
    <xdr:clientData/>
  </xdr:twoCellAnchor>
  <xdr:twoCellAnchor editAs="oneCell">
    <xdr:from>
      <xdr:col>3</xdr:col>
      <xdr:colOff>0</xdr:colOff>
      <xdr:row>293</xdr:row>
      <xdr:rowOff>0</xdr:rowOff>
    </xdr:from>
    <xdr:to>
      <xdr:col>6</xdr:col>
      <xdr:colOff>352813</xdr:colOff>
      <xdr:row>308</xdr:row>
      <xdr:rowOff>19392</xdr:rowOff>
    </xdr:to>
    <xdr:pic>
      <xdr:nvPicPr>
        <xdr:cNvPr id="4" name="Picture 3">
          <a:extLst>
            <a:ext uri="{FF2B5EF4-FFF2-40B4-BE49-F238E27FC236}">
              <a16:creationId xmlns:a16="http://schemas.microsoft.com/office/drawing/2014/main" id="{DCBE2242-0523-BC2B-06CA-1AD06CDF6C95}"/>
            </a:ext>
          </a:extLst>
        </xdr:cNvPr>
        <xdr:cNvPicPr>
          <a:picLocks noChangeAspect="1"/>
        </xdr:cNvPicPr>
      </xdr:nvPicPr>
      <xdr:blipFill>
        <a:blip xmlns:r="http://schemas.openxmlformats.org/officeDocument/2006/relationships" r:embed="rId2"/>
        <a:stretch>
          <a:fillRect/>
        </a:stretch>
      </xdr:blipFill>
      <xdr:spPr>
        <a:xfrm>
          <a:off x="3724275" y="8324850"/>
          <a:ext cx="2781688" cy="24482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6</xdr:col>
      <xdr:colOff>0</xdr:colOff>
      <xdr:row>17</xdr:row>
      <xdr:rowOff>142875</xdr:rowOff>
    </xdr:from>
    <xdr:to>
      <xdr:col>7</xdr:col>
      <xdr:colOff>476250</xdr:colOff>
      <xdr:row>40</xdr:row>
      <xdr:rowOff>85725</xdr:rowOff>
    </xdr:to>
    <mc:AlternateContent xmlns:mc="http://schemas.openxmlformats.org/markup-compatibility/2006" xmlns:sle15="http://schemas.microsoft.com/office/drawing/2012/slicer">
      <mc:Choice Requires="sle15">
        <xdr:graphicFrame macro="">
          <xdr:nvGraphicFramePr>
            <xdr:cNvPr id="2" name="I2/I1">
              <a:extLst>
                <a:ext uri="{FF2B5EF4-FFF2-40B4-BE49-F238E27FC236}">
                  <a16:creationId xmlns:a16="http://schemas.microsoft.com/office/drawing/2014/main" id="{DC7F03A2-4E1C-C571-0D50-A790ED0BAAEC}"/>
                </a:ext>
              </a:extLst>
            </xdr:cNvPr>
            <xdr:cNvGraphicFramePr/>
          </xdr:nvGraphicFramePr>
          <xdr:xfrm>
            <a:off x="0" y="0"/>
            <a:ext cx="0" cy="0"/>
          </xdr:xfrm>
          <a:graphic>
            <a:graphicData uri="http://schemas.microsoft.com/office/drawing/2010/slicer">
              <sle:slicer xmlns:sle="http://schemas.microsoft.com/office/drawing/2010/slicer" name="I2/I1"/>
            </a:graphicData>
          </a:graphic>
        </xdr:graphicFrame>
      </mc:Choice>
      <mc:Fallback xmlns="">
        <xdr:sp macro="" textlink="">
          <xdr:nvSpPr>
            <xdr:cNvPr id="0" name=""/>
            <xdr:cNvSpPr>
              <a:spLocks noTextEdit="1"/>
            </xdr:cNvSpPr>
          </xdr:nvSpPr>
          <xdr:spPr>
            <a:xfrm>
              <a:off x="4371975" y="3286125"/>
              <a:ext cx="1085850" cy="366712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8</xdr:col>
      <xdr:colOff>47625</xdr:colOff>
      <xdr:row>17</xdr:row>
      <xdr:rowOff>142875</xdr:rowOff>
    </xdr:from>
    <xdr:to>
      <xdr:col>9</xdr:col>
      <xdr:colOff>523875</xdr:colOff>
      <xdr:row>38</xdr:row>
      <xdr:rowOff>114300</xdr:rowOff>
    </xdr:to>
    <mc:AlternateContent xmlns:mc="http://schemas.openxmlformats.org/markup-compatibility/2006" xmlns:sle15="http://schemas.microsoft.com/office/drawing/2012/slicer">
      <mc:Choice Requires="sle15">
        <xdr:graphicFrame macro="">
          <xdr:nvGraphicFramePr>
            <xdr:cNvPr id="3" name="A/L">
              <a:extLst>
                <a:ext uri="{FF2B5EF4-FFF2-40B4-BE49-F238E27FC236}">
                  <a16:creationId xmlns:a16="http://schemas.microsoft.com/office/drawing/2014/main" id="{92517274-5389-D567-A5EE-458CC30D3B4B}"/>
                </a:ext>
              </a:extLst>
            </xdr:cNvPr>
            <xdr:cNvGraphicFramePr/>
          </xdr:nvGraphicFramePr>
          <xdr:xfrm>
            <a:off x="0" y="0"/>
            <a:ext cx="0" cy="0"/>
          </xdr:xfrm>
          <a:graphic>
            <a:graphicData uri="http://schemas.microsoft.com/office/drawing/2010/slicer">
              <sle:slicer xmlns:sle="http://schemas.microsoft.com/office/drawing/2010/slicer" name="A/L"/>
            </a:graphicData>
          </a:graphic>
        </xdr:graphicFrame>
      </mc:Choice>
      <mc:Fallback xmlns="">
        <xdr:sp macro="" textlink="">
          <xdr:nvSpPr>
            <xdr:cNvPr id="0" name=""/>
            <xdr:cNvSpPr>
              <a:spLocks noTextEdit="1"/>
            </xdr:cNvSpPr>
          </xdr:nvSpPr>
          <xdr:spPr>
            <a:xfrm>
              <a:off x="5638800" y="3286125"/>
              <a:ext cx="1085850" cy="33718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oneCell">
    <xdr:from>
      <xdr:col>11</xdr:col>
      <xdr:colOff>38100</xdr:colOff>
      <xdr:row>18</xdr:row>
      <xdr:rowOff>123825</xdr:rowOff>
    </xdr:from>
    <xdr:to>
      <xdr:col>13</xdr:col>
      <xdr:colOff>419100</xdr:colOff>
      <xdr:row>59</xdr:row>
      <xdr:rowOff>47625</xdr:rowOff>
    </xdr:to>
    <xdr:pic>
      <xdr:nvPicPr>
        <xdr:cNvPr id="7" name="Picture 6">
          <a:extLst>
            <a:ext uri="{FF2B5EF4-FFF2-40B4-BE49-F238E27FC236}">
              <a16:creationId xmlns:a16="http://schemas.microsoft.com/office/drawing/2014/main" id="{CA8368FB-40EB-440D-AB68-21A50916503F}"/>
            </a:ext>
          </a:extLst>
        </xdr:cNvPr>
        <xdr:cNvPicPr>
          <a:picLocks noChangeAspect="1"/>
        </xdr:cNvPicPr>
      </xdr:nvPicPr>
      <xdr:blipFill rotWithShape="1">
        <a:blip xmlns:r="http://schemas.openxmlformats.org/officeDocument/2006/relationships" r:embed="rId1"/>
        <a:srcRect l="2260" t="851" r="2839" b="1432"/>
        <a:stretch/>
      </xdr:blipFill>
      <xdr:spPr>
        <a:xfrm>
          <a:off x="7753350" y="4181475"/>
          <a:ext cx="1600200" cy="6562725"/>
        </a:xfrm>
        <a:prstGeom prst="rect">
          <a:avLst/>
        </a:prstGeom>
      </xdr:spPr>
    </xdr:pic>
    <xdr:clientData/>
  </xdr:twoCellAnchor>
  <xdr:twoCellAnchor editAs="oneCell">
    <xdr:from>
      <xdr:col>14</xdr:col>
      <xdr:colOff>114300</xdr:colOff>
      <xdr:row>18</xdr:row>
      <xdr:rowOff>142875</xdr:rowOff>
    </xdr:from>
    <xdr:to>
      <xdr:col>16</xdr:col>
      <xdr:colOff>600075</xdr:colOff>
      <xdr:row>49</xdr:row>
      <xdr:rowOff>115007</xdr:rowOff>
    </xdr:to>
    <xdr:pic>
      <xdr:nvPicPr>
        <xdr:cNvPr id="8" name="Picture 7">
          <a:extLst>
            <a:ext uri="{FF2B5EF4-FFF2-40B4-BE49-F238E27FC236}">
              <a16:creationId xmlns:a16="http://schemas.microsoft.com/office/drawing/2014/main" id="{28174865-2F65-B5F3-8CE5-6D161D96EA68}"/>
            </a:ext>
          </a:extLst>
        </xdr:cNvPr>
        <xdr:cNvPicPr>
          <a:picLocks noChangeAspect="1"/>
        </xdr:cNvPicPr>
      </xdr:nvPicPr>
      <xdr:blipFill rotWithShape="1">
        <a:blip xmlns:r="http://schemas.openxmlformats.org/officeDocument/2006/relationships" r:embed="rId2"/>
        <a:srcRect l="9708" t="1504" r="3411" b="1"/>
        <a:stretch/>
      </xdr:blipFill>
      <xdr:spPr>
        <a:xfrm>
          <a:off x="9420225" y="4200525"/>
          <a:ext cx="1704975" cy="49918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9</xdr:col>
      <xdr:colOff>447515</xdr:colOff>
      <xdr:row>52</xdr:row>
      <xdr:rowOff>152400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796"/>
        <a:stretch/>
      </xdr:blipFill>
      <xdr:spPr>
        <a:xfrm>
          <a:off x="0" y="5638800"/>
          <a:ext cx="5933915" cy="4476750"/>
        </a:xfrm>
        <a:prstGeom prst="rect">
          <a:avLst/>
        </a:prstGeom>
      </xdr:spPr>
    </xdr:pic>
    <xdr:clientData/>
  </xdr:twoCellAnchor>
  <xdr:twoCellAnchor editAs="oneCell">
    <xdr:from>
      <xdr:col>0</xdr:col>
      <xdr:colOff>0</xdr:colOff>
      <xdr:row>5</xdr:row>
      <xdr:rowOff>171451</xdr:rowOff>
    </xdr:from>
    <xdr:to>
      <xdr:col>9</xdr:col>
      <xdr:colOff>438149</xdr:colOff>
      <xdr:row>29</xdr:row>
      <xdr:rowOff>87904</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1270"/>
        <a:stretch/>
      </xdr:blipFill>
      <xdr:spPr>
        <a:xfrm>
          <a:off x="0" y="1143001"/>
          <a:ext cx="5924549" cy="4488453"/>
        </a:xfrm>
        <a:prstGeom prst="rect">
          <a:avLst/>
        </a:prstGeom>
      </xdr:spPr>
    </xdr:pic>
    <xdr:clientData/>
  </xdr:twoCellAnchor>
  <xdr:twoCellAnchor editAs="oneCell">
    <xdr:from>
      <xdr:col>0</xdr:col>
      <xdr:colOff>0</xdr:colOff>
      <xdr:row>52</xdr:row>
      <xdr:rowOff>161925</xdr:rowOff>
    </xdr:from>
    <xdr:to>
      <xdr:col>9</xdr:col>
      <xdr:colOff>450031</xdr:colOff>
      <xdr:row>76</xdr:row>
      <xdr:rowOff>47625</xdr:rowOff>
    </xdr:to>
    <xdr:pic>
      <xdr:nvPicPr>
        <xdr:cNvPr id="5" name="Picture 4">
          <a:extLst>
            <a:ext uri="{FF2B5EF4-FFF2-40B4-BE49-F238E27FC236}">
              <a16:creationId xmlns:a16="http://schemas.microsoft.com/office/drawing/2014/main" id="{0A9D7F43-2401-4F13-85E5-38E4933838BC}"/>
            </a:ext>
          </a:extLst>
        </xdr:cNvPr>
        <xdr:cNvPicPr>
          <a:picLocks noChangeAspect="1"/>
        </xdr:cNvPicPr>
      </xdr:nvPicPr>
      <xdr:blipFill>
        <a:blip xmlns:r="http://schemas.openxmlformats.org/officeDocument/2006/relationships" r:embed="rId3"/>
        <a:stretch>
          <a:fillRect/>
        </a:stretch>
      </xdr:blipFill>
      <xdr:spPr>
        <a:xfrm>
          <a:off x="0" y="10125075"/>
          <a:ext cx="5936431" cy="4457700"/>
        </a:xfrm>
        <a:prstGeom prst="rect">
          <a:avLst/>
        </a:prstGeom>
      </xdr:spPr>
    </xdr:pic>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2_I1" xr10:uid="{00000000-0013-0000-FFFF-FFFF01000000}" sourceName="I2/I1">
  <extLst>
    <x:ext xmlns:x15="http://schemas.microsoft.com/office/spreadsheetml/2010/11/main" uri="{2F2917AC-EB37-4324-AD4E-5DD8C200BD13}">
      <x15:tableSlicerCache tableId="2"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_L" xr10:uid="{00000000-0013-0000-FFFF-FFFF02000000}" sourceName="A/L">
  <extLst>
    <x:ext xmlns:x15="http://schemas.microsoft.com/office/spreadsheetml/2010/11/main" uri="{2F2917AC-EB37-4324-AD4E-5DD8C200BD13}">
      <x15:tableSlicerCache tableId="2"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2/I1" xr10:uid="{00000000-0014-0000-FFFF-FFFF01000000}" cache="Slicer_I2_I1" caption="I2/I1" style="SlicerStyleLight5" rowHeight="241300"/>
  <slicer name="A/L" xr10:uid="{00000000-0014-0000-FFFF-FFFF02000000}" cache="Slicer_A_L" caption="A/L" style="SlicerStyleLight5"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17:E149" totalsRowShown="0" headerRowDxfId="60" dataDxfId="59">
  <autoFilter ref="B17:E149" xr:uid="{00000000-0009-0000-0100-000002000000}"/>
  <tableColumns count="4">
    <tableColumn id="1" xr3:uid="{00000000-0010-0000-0000-000001000000}" name="I2/I1" dataDxfId="58"/>
    <tableColumn id="2" xr3:uid="{00000000-0010-0000-0000-000002000000}" name="A/L" dataDxfId="57"/>
    <tableColumn id="3" xr3:uid="{00000000-0010-0000-0000-000003000000}" name="K (Leff/L) Centered Reinforcement" dataDxfId="56"/>
    <tableColumn id="4" xr3:uid="{00000000-0010-0000-0000-000004000000}" name="K (Leff/L) Offset Reinforcement" dataDxfId="55"/>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microsoft.com/office/2007/relationships/slicer" Target="../slicers/slicer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B1:R361"/>
  <sheetViews>
    <sheetView showGridLines="0" showRowColHeaders="0" zoomScaleNormal="100" workbookViewId="0"/>
  </sheetViews>
  <sheetFormatPr defaultColWidth="8.85546875" defaultRowHeight="12.75" x14ac:dyDescent="0.2"/>
  <cols>
    <col min="1" max="2" width="2.7109375" style="218" customWidth="1"/>
    <col min="3" max="3" width="6.7109375" style="218" customWidth="1"/>
    <col min="4" max="4" width="146.85546875" style="222" customWidth="1"/>
    <col min="5" max="5" width="4.7109375" style="222" customWidth="1"/>
    <col min="6" max="7" width="8.85546875" style="218"/>
    <col min="8" max="8" width="42.5703125" style="218" bestFit="1" customWidth="1"/>
    <col min="9" max="16384" width="8.85546875" style="218"/>
  </cols>
  <sheetData>
    <row r="1" spans="2:18" ht="23.25" x14ac:dyDescent="0.35">
      <c r="B1" s="269" t="s">
        <v>1944</v>
      </c>
      <c r="C1" s="217"/>
      <c r="D1" s="217"/>
      <c r="E1" s="217"/>
    </row>
    <row r="2" spans="2:18" ht="12.75" customHeight="1" x14ac:dyDescent="0.25">
      <c r="B2" s="270" t="s">
        <v>2736</v>
      </c>
      <c r="D2" s="219"/>
      <c r="E2" s="219"/>
    </row>
    <row r="3" spans="2:18" ht="102" x14ac:dyDescent="0.2">
      <c r="D3" s="220" t="s">
        <v>2727</v>
      </c>
      <c r="E3" s="220"/>
      <c r="F3" s="221"/>
      <c r="G3" s="221"/>
      <c r="H3" s="221"/>
      <c r="I3" s="221"/>
      <c r="J3" s="221"/>
      <c r="K3" s="221"/>
      <c r="L3" s="221"/>
      <c r="M3" s="221"/>
      <c r="N3" s="221"/>
      <c r="O3" s="221"/>
      <c r="P3" s="221"/>
      <c r="Q3" s="221"/>
      <c r="R3" s="221"/>
    </row>
    <row r="4" spans="2:18" x14ac:dyDescent="0.2">
      <c r="E4" s="220"/>
      <c r="F4" s="221"/>
      <c r="G4" s="221"/>
      <c r="H4" s="221"/>
      <c r="I4" s="221"/>
      <c r="J4" s="221"/>
      <c r="K4" s="221"/>
      <c r="L4" s="221"/>
      <c r="M4" s="221"/>
      <c r="N4" s="221"/>
      <c r="O4" s="221"/>
      <c r="P4" s="221"/>
      <c r="Q4" s="221"/>
      <c r="R4" s="221"/>
    </row>
    <row r="5" spans="2:18" ht="38.25" x14ac:dyDescent="0.2">
      <c r="D5" s="220" t="s">
        <v>2679</v>
      </c>
      <c r="E5" s="220"/>
      <c r="F5" s="221"/>
      <c r="G5" s="221"/>
      <c r="H5" s="221"/>
      <c r="I5" s="221"/>
      <c r="J5" s="221"/>
      <c r="K5" s="221"/>
      <c r="L5" s="221"/>
      <c r="M5" s="221"/>
      <c r="N5" s="221"/>
      <c r="O5" s="221"/>
      <c r="P5" s="221"/>
      <c r="Q5" s="221"/>
      <c r="R5" s="221"/>
    </row>
    <row r="6" spans="2:18" x14ac:dyDescent="0.2">
      <c r="E6" s="220"/>
      <c r="F6" s="221"/>
      <c r="G6" s="221"/>
      <c r="H6" s="221"/>
      <c r="I6" s="221"/>
      <c r="J6" s="221"/>
      <c r="K6" s="221"/>
      <c r="L6" s="221"/>
      <c r="M6" s="221"/>
      <c r="N6" s="221"/>
      <c r="O6" s="221"/>
      <c r="P6" s="221"/>
      <c r="Q6" s="221"/>
      <c r="R6" s="221"/>
    </row>
    <row r="7" spans="2:18" x14ac:dyDescent="0.2">
      <c r="D7" s="220" t="s">
        <v>2683</v>
      </c>
      <c r="E7" s="220"/>
      <c r="F7" s="221"/>
      <c r="G7" s="221"/>
      <c r="H7" s="221"/>
      <c r="I7" s="221"/>
      <c r="J7" s="221"/>
      <c r="K7" s="221"/>
      <c r="L7" s="221"/>
      <c r="M7" s="221"/>
      <c r="N7" s="221"/>
      <c r="O7" s="221"/>
      <c r="P7" s="221"/>
      <c r="Q7" s="221"/>
      <c r="R7" s="221"/>
    </row>
    <row r="9" spans="2:18" ht="18.75" x14ac:dyDescent="0.3">
      <c r="B9" s="268" t="s">
        <v>2260</v>
      </c>
      <c r="C9" s="223"/>
      <c r="D9" s="224"/>
      <c r="E9" s="224"/>
    </row>
    <row r="10" spans="2:18" x14ac:dyDescent="0.2">
      <c r="C10" s="225" t="s">
        <v>2559</v>
      </c>
      <c r="D10" s="226"/>
    </row>
    <row r="11" spans="2:18" x14ac:dyDescent="0.2">
      <c r="C11" s="227" t="s">
        <v>2632</v>
      </c>
      <c r="D11" s="222" t="s">
        <v>2725</v>
      </c>
    </row>
    <row r="12" spans="2:18" x14ac:dyDescent="0.2">
      <c r="C12" s="228" t="s">
        <v>2561</v>
      </c>
    </row>
    <row r="13" spans="2:18" x14ac:dyDescent="0.2">
      <c r="C13" s="227" t="s">
        <v>2632</v>
      </c>
      <c r="D13" s="222" t="s">
        <v>2567</v>
      </c>
    </row>
    <row r="14" spans="2:18" x14ac:dyDescent="0.2">
      <c r="C14" s="229" t="s">
        <v>2560</v>
      </c>
    </row>
    <row r="15" spans="2:18" ht="76.5" x14ac:dyDescent="0.2">
      <c r="C15" s="227" t="s">
        <v>2632</v>
      </c>
      <c r="D15" s="220" t="s">
        <v>2703</v>
      </c>
    </row>
    <row r="16" spans="2:18" x14ac:dyDescent="0.2">
      <c r="C16" s="227" t="s">
        <v>2632</v>
      </c>
      <c r="D16" s="222" t="s">
        <v>2596</v>
      </c>
    </row>
    <row r="17" spans="3:4" x14ac:dyDescent="0.2">
      <c r="D17" s="230" t="s">
        <v>2590</v>
      </c>
    </row>
    <row r="18" spans="3:4" x14ac:dyDescent="0.2">
      <c r="D18" s="231" t="s">
        <v>2591</v>
      </c>
    </row>
    <row r="19" spans="3:4" x14ac:dyDescent="0.2">
      <c r="D19" s="232" t="s">
        <v>2592</v>
      </c>
    </row>
    <row r="20" spans="3:4" x14ac:dyDescent="0.2">
      <c r="D20" s="233" t="s">
        <v>2593</v>
      </c>
    </row>
    <row r="21" spans="3:4" x14ac:dyDescent="0.2">
      <c r="D21" s="234" t="s">
        <v>2594</v>
      </c>
    </row>
    <row r="22" spans="3:4" x14ac:dyDescent="0.2">
      <c r="D22" s="235" t="s">
        <v>2595</v>
      </c>
    </row>
    <row r="23" spans="3:4" x14ac:dyDescent="0.2">
      <c r="C23" s="236" t="s">
        <v>2564</v>
      </c>
    </row>
    <row r="24" spans="3:4" ht="38.25" x14ac:dyDescent="0.2">
      <c r="C24" s="227" t="s">
        <v>2632</v>
      </c>
      <c r="D24" s="222" t="s">
        <v>2576</v>
      </c>
    </row>
    <row r="25" spans="3:4" x14ac:dyDescent="0.2">
      <c r="C25" s="236" t="s">
        <v>2565</v>
      </c>
    </row>
    <row r="26" spans="3:4" ht="25.5" x14ac:dyDescent="0.2">
      <c r="C26" s="227" t="s">
        <v>2632</v>
      </c>
      <c r="D26" s="222" t="s">
        <v>2575</v>
      </c>
    </row>
    <row r="27" spans="3:4" x14ac:dyDescent="0.2">
      <c r="C27" s="236" t="s">
        <v>2566</v>
      </c>
    </row>
    <row r="28" spans="3:4" ht="25.5" x14ac:dyDescent="0.2">
      <c r="C28" s="227" t="s">
        <v>2632</v>
      </c>
      <c r="D28" s="222" t="s">
        <v>2666</v>
      </c>
    </row>
    <row r="29" spans="3:4" ht="28.5" x14ac:dyDescent="0.25">
      <c r="C29" s="227" t="s">
        <v>2632</v>
      </c>
      <c r="D29" s="237" t="s">
        <v>2665</v>
      </c>
    </row>
    <row r="30" spans="3:4" x14ac:dyDescent="0.2">
      <c r="C30" s="225" t="s">
        <v>2563</v>
      </c>
    </row>
    <row r="31" spans="3:4" ht="25.5" x14ac:dyDescent="0.2">
      <c r="C31" s="227" t="s">
        <v>2632</v>
      </c>
      <c r="D31" s="222" t="s">
        <v>2577</v>
      </c>
    </row>
    <row r="32" spans="3:4" ht="14.25" x14ac:dyDescent="0.25">
      <c r="C32" s="225" t="s">
        <v>2568</v>
      </c>
    </row>
    <row r="33" spans="2:4" ht="27" x14ac:dyDescent="0.2">
      <c r="C33" s="227" t="s">
        <v>2632</v>
      </c>
      <c r="D33" s="222" t="s">
        <v>2589</v>
      </c>
    </row>
    <row r="34" spans="2:4" x14ac:dyDescent="0.2">
      <c r="C34" s="225" t="s">
        <v>2562</v>
      </c>
    </row>
    <row r="35" spans="2:4" ht="51" x14ac:dyDescent="0.2">
      <c r="C35" s="227" t="s">
        <v>2632</v>
      </c>
      <c r="D35" s="222" t="s">
        <v>2597</v>
      </c>
    </row>
    <row r="36" spans="2:4" x14ac:dyDescent="0.2">
      <c r="C36" s="227"/>
    </row>
    <row r="37" spans="2:4" ht="18.75" x14ac:dyDescent="0.3">
      <c r="B37" s="268" t="s">
        <v>2702</v>
      </c>
      <c r="D37" s="253"/>
    </row>
    <row r="38" spans="2:4" x14ac:dyDescent="0.2">
      <c r="C38" s="218" t="s">
        <v>2682</v>
      </c>
      <c r="D38" s="253"/>
    </row>
    <row r="39" spans="2:4" ht="15.75" x14ac:dyDescent="0.25">
      <c r="C39" s="238" t="s">
        <v>2246</v>
      </c>
      <c r="D39" s="253"/>
    </row>
    <row r="40" spans="2:4" x14ac:dyDescent="0.2">
      <c r="C40" s="261" t="s">
        <v>2634</v>
      </c>
      <c r="D40" s="253" t="s">
        <v>2247</v>
      </c>
    </row>
    <row r="41" spans="2:4" x14ac:dyDescent="0.2">
      <c r="C41" s="261" t="s">
        <v>2635</v>
      </c>
      <c r="D41" s="253" t="s">
        <v>2248</v>
      </c>
    </row>
    <row r="42" spans="2:4" ht="15.75" x14ac:dyDescent="0.25">
      <c r="C42" s="238" t="s">
        <v>2217</v>
      </c>
      <c r="D42" s="253"/>
    </row>
    <row r="43" spans="2:4" x14ac:dyDescent="0.2">
      <c r="C43" s="261" t="s">
        <v>2636</v>
      </c>
      <c r="D43" s="253" t="s">
        <v>2241</v>
      </c>
    </row>
    <row r="44" spans="2:4" x14ac:dyDescent="0.2">
      <c r="C44" s="261" t="s">
        <v>2637</v>
      </c>
      <c r="D44" s="253" t="s">
        <v>2242</v>
      </c>
    </row>
    <row r="45" spans="2:4" x14ac:dyDescent="0.2">
      <c r="C45" s="261" t="s">
        <v>2638</v>
      </c>
      <c r="D45" s="253" t="s">
        <v>2243</v>
      </c>
    </row>
    <row r="46" spans="2:4" x14ac:dyDescent="0.2">
      <c r="C46" s="261" t="s">
        <v>2639</v>
      </c>
      <c r="D46" s="253" t="s">
        <v>2244</v>
      </c>
    </row>
    <row r="47" spans="2:4" x14ac:dyDescent="0.2">
      <c r="C47" s="261" t="s">
        <v>2639</v>
      </c>
      <c r="D47" s="253" t="s">
        <v>2245</v>
      </c>
    </row>
    <row r="48" spans="2:4" ht="15.75" x14ac:dyDescent="0.25">
      <c r="C48" s="238" t="s">
        <v>2218</v>
      </c>
      <c r="D48" s="253"/>
    </row>
    <row r="49" spans="3:4" x14ac:dyDescent="0.2">
      <c r="C49" s="261" t="s">
        <v>2640</v>
      </c>
      <c r="D49" s="253" t="s">
        <v>2237</v>
      </c>
    </row>
    <row r="50" spans="3:4" x14ac:dyDescent="0.2">
      <c r="C50" s="261" t="s">
        <v>2641</v>
      </c>
      <c r="D50" s="253" t="s">
        <v>2238</v>
      </c>
    </row>
    <row r="51" spans="3:4" x14ac:dyDescent="0.2">
      <c r="C51" s="261" t="s">
        <v>2642</v>
      </c>
      <c r="D51" s="253" t="s">
        <v>2239</v>
      </c>
    </row>
    <row r="52" spans="3:4" x14ac:dyDescent="0.2">
      <c r="C52" s="261" t="s">
        <v>2639</v>
      </c>
      <c r="D52" s="253" t="s">
        <v>2240</v>
      </c>
    </row>
    <row r="53" spans="3:4" ht="15.75" x14ac:dyDescent="0.25">
      <c r="C53" s="238" t="s">
        <v>2219</v>
      </c>
      <c r="D53" s="253"/>
    </row>
    <row r="54" spans="3:4" x14ac:dyDescent="0.2">
      <c r="C54" s="261" t="s">
        <v>2643</v>
      </c>
      <c r="D54" s="253" t="s">
        <v>2231</v>
      </c>
    </row>
    <row r="55" spans="3:4" x14ac:dyDescent="0.2">
      <c r="C55" s="261" t="s">
        <v>2644</v>
      </c>
      <c r="D55" s="253" t="s">
        <v>2249</v>
      </c>
    </row>
    <row r="56" spans="3:4" x14ac:dyDescent="0.2">
      <c r="C56" s="261" t="s">
        <v>2645</v>
      </c>
      <c r="D56" s="253" t="s">
        <v>2250</v>
      </c>
    </row>
    <row r="57" spans="3:4" x14ac:dyDescent="0.2">
      <c r="C57" s="261" t="s">
        <v>2646</v>
      </c>
      <c r="D57" s="253" t="s">
        <v>2251</v>
      </c>
    </row>
    <row r="58" spans="3:4" x14ac:dyDescent="0.2">
      <c r="C58" s="261" t="s">
        <v>2647</v>
      </c>
      <c r="D58" s="253" t="s">
        <v>2239</v>
      </c>
    </row>
    <row r="59" spans="3:4" x14ac:dyDescent="0.2">
      <c r="C59" s="261" t="s">
        <v>2648</v>
      </c>
      <c r="D59" s="253" t="s">
        <v>2252</v>
      </c>
    </row>
    <row r="60" spans="3:4" ht="15.75" x14ac:dyDescent="0.25">
      <c r="C60" s="238" t="s">
        <v>2220</v>
      </c>
      <c r="D60" s="253"/>
    </row>
    <row r="61" spans="3:4" x14ac:dyDescent="0.2">
      <c r="C61" s="261" t="s">
        <v>2649</v>
      </c>
      <c r="D61" s="253" t="s">
        <v>2231</v>
      </c>
    </row>
    <row r="62" spans="3:4" x14ac:dyDescent="0.2">
      <c r="C62" s="261" t="s">
        <v>2650</v>
      </c>
      <c r="D62" s="253" t="s">
        <v>2232</v>
      </c>
    </row>
    <row r="63" spans="3:4" x14ac:dyDescent="0.2">
      <c r="C63" s="261" t="s">
        <v>2651</v>
      </c>
      <c r="D63" s="253" t="s">
        <v>2233</v>
      </c>
    </row>
    <row r="64" spans="3:4" x14ac:dyDescent="0.2">
      <c r="C64" s="261" t="s">
        <v>2652</v>
      </c>
      <c r="D64" s="253" t="s">
        <v>2733</v>
      </c>
    </row>
    <row r="65" spans="3:4" x14ac:dyDescent="0.2">
      <c r="C65" s="261" t="s">
        <v>2653</v>
      </c>
      <c r="D65" s="253" t="s">
        <v>2234</v>
      </c>
    </row>
    <row r="66" spans="3:4" x14ac:dyDescent="0.2">
      <c r="C66" s="261" t="s">
        <v>2654</v>
      </c>
      <c r="D66" s="253" t="s">
        <v>2235</v>
      </c>
    </row>
    <row r="67" spans="3:4" x14ac:dyDescent="0.2">
      <c r="C67" s="261" t="s">
        <v>2655</v>
      </c>
      <c r="D67" s="253" t="s">
        <v>2236</v>
      </c>
    </row>
    <row r="68" spans="3:4" ht="15.75" x14ac:dyDescent="0.25">
      <c r="C68" s="238" t="s">
        <v>2221</v>
      </c>
      <c r="D68" s="253"/>
    </row>
    <row r="69" spans="3:4" x14ac:dyDescent="0.2">
      <c r="C69" s="261" t="s">
        <v>2656</v>
      </c>
      <c r="D69" s="253" t="s">
        <v>2231</v>
      </c>
    </row>
    <row r="70" spans="3:4" x14ac:dyDescent="0.2">
      <c r="C70" s="261" t="s">
        <v>2657</v>
      </c>
      <c r="D70" s="253" t="s">
        <v>2254</v>
      </c>
    </row>
    <row r="71" spans="3:4" x14ac:dyDescent="0.2">
      <c r="C71" s="261" t="s">
        <v>2658</v>
      </c>
      <c r="D71" s="253" t="s">
        <v>2253</v>
      </c>
    </row>
    <row r="72" spans="3:4" ht="15.75" x14ac:dyDescent="0.25">
      <c r="C72" s="238" t="s">
        <v>2222</v>
      </c>
      <c r="D72" s="253"/>
    </row>
    <row r="73" spans="3:4" x14ac:dyDescent="0.2">
      <c r="C73" s="261" t="s">
        <v>2659</v>
      </c>
      <c r="D73" s="253" t="s">
        <v>2255</v>
      </c>
    </row>
    <row r="74" spans="3:4" ht="15.75" x14ac:dyDescent="0.25">
      <c r="C74" s="238" t="s">
        <v>2223</v>
      </c>
      <c r="D74" s="253"/>
    </row>
    <row r="75" spans="3:4" x14ac:dyDescent="0.2">
      <c r="C75" s="261" t="s">
        <v>2660</v>
      </c>
      <c r="D75" s="253" t="s">
        <v>2231</v>
      </c>
    </row>
    <row r="76" spans="3:4" x14ac:dyDescent="0.2">
      <c r="C76" s="261" t="s">
        <v>2661</v>
      </c>
      <c r="D76" s="253" t="s">
        <v>2256</v>
      </c>
    </row>
    <row r="77" spans="3:4" x14ac:dyDescent="0.2">
      <c r="C77" s="261" t="s">
        <v>2662</v>
      </c>
      <c r="D77" s="253" t="s">
        <v>2257</v>
      </c>
    </row>
    <row r="78" spans="3:4" ht="15.75" x14ac:dyDescent="0.25">
      <c r="C78" s="238" t="s">
        <v>2258</v>
      </c>
      <c r="D78" s="253"/>
    </row>
    <row r="79" spans="3:4" x14ac:dyDescent="0.2">
      <c r="C79" s="261" t="s">
        <v>2633</v>
      </c>
      <c r="D79" s="253" t="s">
        <v>2231</v>
      </c>
    </row>
    <row r="80" spans="3:4" x14ac:dyDescent="0.2">
      <c r="C80" s="261" t="s">
        <v>2663</v>
      </c>
      <c r="D80" s="253" t="s">
        <v>2259</v>
      </c>
    </row>
    <row r="81" spans="2:4" x14ac:dyDescent="0.2">
      <c r="D81" s="253"/>
    </row>
    <row r="82" spans="2:4" ht="18.75" x14ac:dyDescent="0.3">
      <c r="B82" s="268" t="s">
        <v>2190</v>
      </c>
    </row>
    <row r="83" spans="2:4" x14ac:dyDescent="0.2">
      <c r="C83" s="224" t="s">
        <v>2681</v>
      </c>
    </row>
    <row r="84" spans="2:4" x14ac:dyDescent="0.2">
      <c r="C84" s="227" t="s">
        <v>2632</v>
      </c>
      <c r="D84" s="222" t="s">
        <v>2680</v>
      </c>
    </row>
    <row r="85" spans="2:4" x14ac:dyDescent="0.2">
      <c r="C85" s="227" t="s">
        <v>2632</v>
      </c>
      <c r="D85" s="222" t="s">
        <v>2195</v>
      </c>
    </row>
    <row r="86" spans="2:4" x14ac:dyDescent="0.2">
      <c r="C86" s="227" t="s">
        <v>2632</v>
      </c>
      <c r="D86" s="222" t="s">
        <v>2197</v>
      </c>
    </row>
    <row r="87" spans="2:4" x14ac:dyDescent="0.2">
      <c r="C87" s="227" t="s">
        <v>2632</v>
      </c>
      <c r="D87" s="222" t="s">
        <v>2196</v>
      </c>
    </row>
    <row r="88" spans="2:4" x14ac:dyDescent="0.2">
      <c r="C88" s="227" t="s">
        <v>2632</v>
      </c>
      <c r="D88" s="222" t="s">
        <v>2557</v>
      </c>
    </row>
    <row r="89" spans="2:4" x14ac:dyDescent="0.2">
      <c r="C89" s="227" t="s">
        <v>2632</v>
      </c>
      <c r="D89" s="222" t="s">
        <v>2191</v>
      </c>
    </row>
    <row r="90" spans="2:4" x14ac:dyDescent="0.2">
      <c r="C90" s="227" t="s">
        <v>2632</v>
      </c>
      <c r="D90" s="222" t="s">
        <v>2734</v>
      </c>
    </row>
    <row r="91" spans="2:4" x14ac:dyDescent="0.2">
      <c r="C91" s="227" t="s">
        <v>2632</v>
      </c>
      <c r="D91" s="222" t="s">
        <v>2203</v>
      </c>
    </row>
    <row r="92" spans="2:4" x14ac:dyDescent="0.2">
      <c r="C92" s="227" t="s">
        <v>2632</v>
      </c>
      <c r="D92" s="222" t="s">
        <v>2730</v>
      </c>
    </row>
    <row r="93" spans="2:4" x14ac:dyDescent="0.2">
      <c r="C93" s="227" t="s">
        <v>2632</v>
      </c>
      <c r="D93" s="222" t="s">
        <v>2192</v>
      </c>
    </row>
    <row r="94" spans="2:4" x14ac:dyDescent="0.2">
      <c r="C94" s="227" t="s">
        <v>2632</v>
      </c>
      <c r="D94" s="222" t="s">
        <v>2193</v>
      </c>
    </row>
    <row r="95" spans="2:4" x14ac:dyDescent="0.2">
      <c r="C95" s="227" t="s">
        <v>2632</v>
      </c>
      <c r="D95" s="222" t="s">
        <v>2194</v>
      </c>
    </row>
    <row r="96" spans="2:4" ht="25.5" x14ac:dyDescent="0.2">
      <c r="C96" s="227" t="s">
        <v>2632</v>
      </c>
      <c r="D96" s="222" t="s">
        <v>2199</v>
      </c>
    </row>
    <row r="97" spans="2:4" x14ac:dyDescent="0.2">
      <c r="C97" s="227" t="s">
        <v>2632</v>
      </c>
      <c r="D97" s="222" t="s">
        <v>2198</v>
      </c>
    </row>
    <row r="98" spans="2:4" x14ac:dyDescent="0.2">
      <c r="C98" s="227" t="s">
        <v>2632</v>
      </c>
      <c r="D98" s="222" t="s">
        <v>2200</v>
      </c>
    </row>
    <row r="99" spans="2:4" x14ac:dyDescent="0.2">
      <c r="C99" s="227" t="s">
        <v>2632</v>
      </c>
      <c r="D99" s="222" t="s">
        <v>2558</v>
      </c>
    </row>
    <row r="100" spans="2:4" x14ac:dyDescent="0.2">
      <c r="C100" s="227" t="s">
        <v>2632</v>
      </c>
      <c r="D100" s="222" t="s">
        <v>2201</v>
      </c>
    </row>
    <row r="101" spans="2:4" x14ac:dyDescent="0.2">
      <c r="C101" s="227" t="s">
        <v>2632</v>
      </c>
      <c r="D101" s="222" t="s">
        <v>2204</v>
      </c>
    </row>
    <row r="102" spans="2:4" x14ac:dyDescent="0.2">
      <c r="C102" s="227" t="s">
        <v>2632</v>
      </c>
      <c r="D102" s="222" t="s">
        <v>2261</v>
      </c>
    </row>
    <row r="103" spans="2:4" x14ac:dyDescent="0.2">
      <c r="C103" s="227"/>
    </row>
    <row r="104" spans="2:4" ht="18.75" x14ac:dyDescent="0.3">
      <c r="B104" s="268" t="s">
        <v>2598</v>
      </c>
    </row>
    <row r="105" spans="2:4" ht="38.25" x14ac:dyDescent="0.2">
      <c r="D105" s="222" t="s">
        <v>2729</v>
      </c>
    </row>
    <row r="106" spans="2:4" ht="15.75" x14ac:dyDescent="0.25">
      <c r="C106" s="238" t="s">
        <v>1067</v>
      </c>
    </row>
    <row r="107" spans="2:4" x14ac:dyDescent="0.2">
      <c r="C107" s="218" t="s">
        <v>2599</v>
      </c>
    </row>
    <row r="108" spans="2:4" x14ac:dyDescent="0.2">
      <c r="C108" s="239" t="s">
        <v>2205</v>
      </c>
      <c r="D108" s="240" t="s">
        <v>2206</v>
      </c>
    </row>
    <row r="109" spans="2:4" x14ac:dyDescent="0.2">
      <c r="C109" s="241">
        <v>100</v>
      </c>
      <c r="D109" s="242" t="s">
        <v>2547</v>
      </c>
    </row>
    <row r="110" spans="2:4" x14ac:dyDescent="0.2">
      <c r="C110" s="243">
        <v>100</v>
      </c>
      <c r="D110" s="242" t="s">
        <v>2548</v>
      </c>
    </row>
    <row r="111" spans="2:4" x14ac:dyDescent="0.2">
      <c r="C111" s="244">
        <v>100</v>
      </c>
      <c r="D111" s="242" t="s">
        <v>2549</v>
      </c>
    </row>
    <row r="112" spans="2:4" x14ac:dyDescent="0.2">
      <c r="C112" s="245">
        <v>100</v>
      </c>
      <c r="D112" s="242" t="s">
        <v>2550</v>
      </c>
    </row>
    <row r="113" spans="3:4" x14ac:dyDescent="0.2">
      <c r="C113" s="246">
        <v>100</v>
      </c>
      <c r="D113" s="242" t="s">
        <v>2551</v>
      </c>
    </row>
    <row r="114" spans="3:4" x14ac:dyDescent="0.2">
      <c r="C114" s="247">
        <v>100</v>
      </c>
      <c r="D114" s="242" t="s">
        <v>2552</v>
      </c>
    </row>
    <row r="115" spans="3:4" x14ac:dyDescent="0.2">
      <c r="C115" s="248">
        <v>100</v>
      </c>
      <c r="D115" s="242" t="s">
        <v>2553</v>
      </c>
    </row>
    <row r="116" spans="3:4" x14ac:dyDescent="0.2">
      <c r="C116" s="249">
        <v>100</v>
      </c>
      <c r="D116" s="242" t="s">
        <v>2554</v>
      </c>
    </row>
    <row r="117" spans="3:4" ht="13.5" x14ac:dyDescent="0.25">
      <c r="C117" s="250">
        <v>0.5</v>
      </c>
      <c r="D117" s="242" t="s">
        <v>2555</v>
      </c>
    </row>
    <row r="118" spans="3:4" x14ac:dyDescent="0.2">
      <c r="C118" s="251">
        <v>1.5</v>
      </c>
      <c r="D118" s="242" t="s">
        <v>2556</v>
      </c>
    </row>
    <row r="120" spans="3:4" ht="15.75" x14ac:dyDescent="0.25">
      <c r="C120" s="238" t="s">
        <v>2726</v>
      </c>
    </row>
    <row r="121" spans="3:4" x14ac:dyDescent="0.2">
      <c r="C121" s="252" t="s">
        <v>2600</v>
      </c>
    </row>
    <row r="122" spans="3:4" x14ac:dyDescent="0.2">
      <c r="C122" s="227" t="s">
        <v>2632</v>
      </c>
      <c r="D122" s="222" t="s">
        <v>2620</v>
      </c>
    </row>
    <row r="123" spans="3:4" x14ac:dyDescent="0.2">
      <c r="C123" s="227" t="s">
        <v>2632</v>
      </c>
      <c r="D123" s="222" t="s">
        <v>2622</v>
      </c>
    </row>
    <row r="124" spans="3:4" x14ac:dyDescent="0.2">
      <c r="C124" s="227" t="s">
        <v>2632</v>
      </c>
      <c r="D124" s="222" t="s">
        <v>2621</v>
      </c>
    </row>
    <row r="125" spans="3:4" ht="27" x14ac:dyDescent="0.2">
      <c r="C125" s="227" t="s">
        <v>2632</v>
      </c>
      <c r="D125" s="253" t="s">
        <v>2601</v>
      </c>
    </row>
    <row r="126" spans="3:4" x14ac:dyDescent="0.2">
      <c r="C126" s="227" t="s">
        <v>2632</v>
      </c>
      <c r="D126" s="253" t="s">
        <v>2602</v>
      </c>
    </row>
    <row r="127" spans="3:4" ht="51" x14ac:dyDescent="0.2">
      <c r="C127" s="227" t="s">
        <v>2632</v>
      </c>
      <c r="D127" s="222" t="s">
        <v>2603</v>
      </c>
    </row>
    <row r="128" spans="3:4" x14ac:dyDescent="0.2">
      <c r="C128" s="227" t="s">
        <v>2632</v>
      </c>
      <c r="D128" s="222" t="s">
        <v>2607</v>
      </c>
    </row>
    <row r="129" spans="3:4" x14ac:dyDescent="0.2">
      <c r="C129" s="227" t="s">
        <v>2632</v>
      </c>
      <c r="D129" s="222" t="s">
        <v>2606</v>
      </c>
    </row>
    <row r="130" spans="3:4" x14ac:dyDescent="0.2">
      <c r="C130" s="227" t="s">
        <v>2632</v>
      </c>
      <c r="D130" s="222" t="s">
        <v>2605</v>
      </c>
    </row>
    <row r="131" spans="3:4" x14ac:dyDescent="0.2">
      <c r="C131" s="254" t="s">
        <v>2590</v>
      </c>
    </row>
    <row r="132" spans="3:4" ht="14.25" x14ac:dyDescent="0.25">
      <c r="C132" s="227" t="s">
        <v>2632</v>
      </c>
      <c r="D132" s="222" t="s">
        <v>2690</v>
      </c>
    </row>
    <row r="133" spans="3:4" ht="27" x14ac:dyDescent="0.2">
      <c r="C133" s="227" t="s">
        <v>2632</v>
      </c>
      <c r="D133" s="222" t="s">
        <v>2615</v>
      </c>
    </row>
    <row r="134" spans="3:4" ht="14.25" x14ac:dyDescent="0.25">
      <c r="C134" s="227" t="s">
        <v>2632</v>
      </c>
      <c r="D134" s="222" t="s">
        <v>2616</v>
      </c>
    </row>
    <row r="135" spans="3:4" x14ac:dyDescent="0.2">
      <c r="C135" s="227"/>
      <c r="D135" s="222" t="s">
        <v>2604</v>
      </c>
    </row>
    <row r="136" spans="3:4" ht="14.25" x14ac:dyDescent="0.25">
      <c r="C136" s="227" t="s">
        <v>2632</v>
      </c>
      <c r="D136" s="222" t="s">
        <v>2611</v>
      </c>
    </row>
    <row r="137" spans="3:4" ht="14.25" x14ac:dyDescent="0.25">
      <c r="C137" s="227" t="s">
        <v>2632</v>
      </c>
      <c r="D137" s="218" t="s">
        <v>2608</v>
      </c>
    </row>
    <row r="138" spans="3:4" ht="14.25" x14ac:dyDescent="0.25">
      <c r="C138" s="227" t="s">
        <v>2632</v>
      </c>
      <c r="D138" s="218" t="s">
        <v>2609</v>
      </c>
    </row>
    <row r="139" spans="3:4" ht="14.25" x14ac:dyDescent="0.25">
      <c r="C139" s="227" t="s">
        <v>2632</v>
      </c>
      <c r="D139" s="218" t="s">
        <v>2610</v>
      </c>
    </row>
    <row r="140" spans="3:4" x14ac:dyDescent="0.2">
      <c r="C140" s="227" t="s">
        <v>2632</v>
      </c>
      <c r="D140" s="218" t="s">
        <v>2612</v>
      </c>
    </row>
    <row r="141" spans="3:4" ht="14.25" x14ac:dyDescent="0.25">
      <c r="C141" s="227" t="s">
        <v>2632</v>
      </c>
      <c r="D141" s="222" t="s">
        <v>2613</v>
      </c>
    </row>
    <row r="142" spans="3:4" x14ac:dyDescent="0.2">
      <c r="C142" s="227"/>
      <c r="D142" s="222" t="s">
        <v>2617</v>
      </c>
    </row>
    <row r="143" spans="3:4" ht="26.25" x14ac:dyDescent="0.25">
      <c r="C143" s="227" t="s">
        <v>2632</v>
      </c>
      <c r="D143" s="255" t="s">
        <v>2618</v>
      </c>
    </row>
    <row r="144" spans="3:4" ht="25.5" x14ac:dyDescent="0.2">
      <c r="C144" s="227" t="s">
        <v>2632</v>
      </c>
      <c r="D144" s="222" t="s">
        <v>2619</v>
      </c>
    </row>
    <row r="145" spans="3:4" ht="25.5" x14ac:dyDescent="0.2">
      <c r="C145" s="227" t="s">
        <v>2632</v>
      </c>
      <c r="D145" s="222" t="s">
        <v>2623</v>
      </c>
    </row>
    <row r="146" spans="3:4" x14ac:dyDescent="0.2">
      <c r="C146" s="256" t="s">
        <v>2591</v>
      </c>
    </row>
    <row r="147" spans="3:4" ht="25.5" x14ac:dyDescent="0.2">
      <c r="C147" s="227" t="s">
        <v>2632</v>
      </c>
      <c r="D147" s="222" t="s">
        <v>2704</v>
      </c>
    </row>
    <row r="148" spans="3:4" ht="25.5" x14ac:dyDescent="0.2">
      <c r="C148" s="227" t="s">
        <v>2632</v>
      </c>
      <c r="D148" s="222" t="s">
        <v>2722</v>
      </c>
    </row>
    <row r="149" spans="3:4" x14ac:dyDescent="0.2">
      <c r="C149" s="227"/>
    </row>
    <row r="150" spans="3:4" x14ac:dyDescent="0.2">
      <c r="C150" s="227"/>
    </row>
    <row r="151" spans="3:4" x14ac:dyDescent="0.2">
      <c r="C151" s="227"/>
    </row>
    <row r="152" spans="3:4" x14ac:dyDescent="0.2">
      <c r="C152" s="227"/>
    </row>
    <row r="153" spans="3:4" x14ac:dyDescent="0.2">
      <c r="C153" s="227"/>
    </row>
    <row r="154" spans="3:4" x14ac:dyDescent="0.2">
      <c r="C154" s="227"/>
    </row>
    <row r="155" spans="3:4" x14ac:dyDescent="0.2">
      <c r="C155" s="227"/>
    </row>
    <row r="156" spans="3:4" ht="38.25" x14ac:dyDescent="0.2">
      <c r="C156" s="227" t="s">
        <v>2632</v>
      </c>
      <c r="D156" s="222" t="s">
        <v>2710</v>
      </c>
    </row>
    <row r="157" spans="3:4" x14ac:dyDescent="0.2">
      <c r="C157" s="227"/>
      <c r="D157" s="222" t="s">
        <v>2706</v>
      </c>
    </row>
    <row r="158" spans="3:4" x14ac:dyDescent="0.2">
      <c r="C158" s="227"/>
    </row>
    <row r="159" spans="3:4" x14ac:dyDescent="0.2">
      <c r="C159" s="227"/>
    </row>
    <row r="160" spans="3:4" x14ac:dyDescent="0.2">
      <c r="C160" s="227"/>
    </row>
    <row r="161" spans="3:4" x14ac:dyDescent="0.2">
      <c r="C161" s="227"/>
      <c r="D161" s="218"/>
    </row>
    <row r="162" spans="3:4" x14ac:dyDescent="0.2">
      <c r="C162" s="227"/>
    </row>
    <row r="163" spans="3:4" x14ac:dyDescent="0.2">
      <c r="C163" s="227"/>
    </row>
    <row r="164" spans="3:4" x14ac:dyDescent="0.2">
      <c r="C164" s="227"/>
    </row>
    <row r="165" spans="3:4" x14ac:dyDescent="0.2">
      <c r="C165" s="227"/>
    </row>
    <row r="166" spans="3:4" x14ac:dyDescent="0.2">
      <c r="C166" s="227"/>
    </row>
    <row r="167" spans="3:4" x14ac:dyDescent="0.2">
      <c r="C167" s="227"/>
    </row>
    <row r="168" spans="3:4" x14ac:dyDescent="0.2">
      <c r="C168" s="227"/>
    </row>
    <row r="169" spans="3:4" x14ac:dyDescent="0.2">
      <c r="C169" s="227"/>
    </row>
    <row r="170" spans="3:4" x14ac:dyDescent="0.2">
      <c r="C170" s="227"/>
      <c r="D170" s="222" t="s">
        <v>2707</v>
      </c>
    </row>
    <row r="171" spans="3:4" x14ac:dyDescent="0.2">
      <c r="C171" s="227"/>
    </row>
    <row r="172" spans="3:4" x14ac:dyDescent="0.2">
      <c r="C172" s="227"/>
    </row>
    <row r="173" spans="3:4" x14ac:dyDescent="0.2">
      <c r="C173" s="227"/>
    </row>
    <row r="174" spans="3:4" x14ac:dyDescent="0.2">
      <c r="C174" s="227"/>
    </row>
    <row r="175" spans="3:4" x14ac:dyDescent="0.2">
      <c r="C175" s="227"/>
    </row>
    <row r="176" spans="3:4" x14ac:dyDescent="0.2">
      <c r="C176" s="227"/>
    </row>
    <row r="177" spans="3:4" x14ac:dyDescent="0.2">
      <c r="C177" s="227"/>
    </row>
    <row r="178" spans="3:4" x14ac:dyDescent="0.2">
      <c r="C178" s="227"/>
    </row>
    <row r="179" spans="3:4" x14ac:dyDescent="0.2">
      <c r="C179" s="227"/>
    </row>
    <row r="180" spans="3:4" x14ac:dyDescent="0.2">
      <c r="C180" s="227"/>
    </row>
    <row r="181" spans="3:4" x14ac:dyDescent="0.2">
      <c r="C181" s="227"/>
    </row>
    <row r="182" spans="3:4" x14ac:dyDescent="0.2">
      <c r="C182" s="227"/>
    </row>
    <row r="183" spans="3:4" x14ac:dyDescent="0.2">
      <c r="C183" s="227"/>
      <c r="D183" s="222" t="s">
        <v>2708</v>
      </c>
    </row>
    <row r="185" spans="3:4" x14ac:dyDescent="0.2">
      <c r="C185" s="227"/>
    </row>
    <row r="186" spans="3:4" x14ac:dyDescent="0.2">
      <c r="C186" s="227"/>
    </row>
    <row r="187" spans="3:4" x14ac:dyDescent="0.2">
      <c r="C187" s="227"/>
    </row>
    <row r="188" spans="3:4" x14ac:dyDescent="0.2">
      <c r="C188" s="227"/>
    </row>
    <row r="189" spans="3:4" x14ac:dyDescent="0.2">
      <c r="C189" s="227"/>
    </row>
    <row r="190" spans="3:4" x14ac:dyDescent="0.2">
      <c r="C190" s="227"/>
    </row>
    <row r="191" spans="3:4" x14ac:dyDescent="0.2">
      <c r="C191" s="227"/>
    </row>
    <row r="192" spans="3:4" x14ac:dyDescent="0.2">
      <c r="C192" s="227"/>
    </row>
    <row r="193" spans="3:5" x14ac:dyDescent="0.2">
      <c r="C193" s="227"/>
    </row>
    <row r="194" spans="3:5" x14ac:dyDescent="0.2">
      <c r="C194" s="227"/>
    </row>
    <row r="195" spans="3:5" x14ac:dyDescent="0.2">
      <c r="C195" s="227"/>
    </row>
    <row r="196" spans="3:5" ht="25.5" x14ac:dyDescent="0.2">
      <c r="C196" s="227" t="s">
        <v>2632</v>
      </c>
      <c r="D196" s="222" t="s">
        <v>2705</v>
      </c>
    </row>
    <row r="197" spans="3:5" x14ac:dyDescent="0.2">
      <c r="C197" s="256"/>
    </row>
    <row r="198" spans="3:5" x14ac:dyDescent="0.2">
      <c r="C198" s="256"/>
    </row>
    <row r="199" spans="3:5" x14ac:dyDescent="0.2">
      <c r="C199" s="256"/>
    </row>
    <row r="200" spans="3:5" x14ac:dyDescent="0.2">
      <c r="C200" s="256"/>
    </row>
    <row r="201" spans="3:5" x14ac:dyDescent="0.2">
      <c r="C201" s="256"/>
    </row>
    <row r="202" spans="3:5" x14ac:dyDescent="0.2">
      <c r="C202" s="256"/>
    </row>
    <row r="203" spans="3:5" x14ac:dyDescent="0.2">
      <c r="C203" s="256"/>
    </row>
    <row r="204" spans="3:5" x14ac:dyDescent="0.2">
      <c r="C204" s="257" t="s">
        <v>2592</v>
      </c>
      <c r="E204" s="224"/>
    </row>
    <row r="205" spans="3:5" x14ac:dyDescent="0.2">
      <c r="C205" s="227" t="s">
        <v>2632</v>
      </c>
      <c r="D205" s="222" t="s">
        <v>2664</v>
      </c>
      <c r="E205" s="224"/>
    </row>
    <row r="206" spans="3:5" ht="25.5" x14ac:dyDescent="0.2">
      <c r="C206" s="227" t="s">
        <v>2632</v>
      </c>
      <c r="D206" s="222" t="s">
        <v>2625</v>
      </c>
      <c r="E206" s="224"/>
    </row>
    <row r="207" spans="3:5" x14ac:dyDescent="0.2">
      <c r="C207" s="258" t="s">
        <v>2593</v>
      </c>
    </row>
    <row r="208" spans="3:5" ht="25.5" x14ac:dyDescent="0.2">
      <c r="C208" s="227" t="s">
        <v>2632</v>
      </c>
      <c r="D208" s="222" t="s">
        <v>2626</v>
      </c>
    </row>
    <row r="209" spans="3:4" ht="25.5" x14ac:dyDescent="0.2">
      <c r="C209" s="227" t="s">
        <v>2632</v>
      </c>
      <c r="D209" s="222" t="s">
        <v>2625</v>
      </c>
    </row>
    <row r="210" spans="3:4" ht="25.5" x14ac:dyDescent="0.2">
      <c r="C210" s="227" t="s">
        <v>2632</v>
      </c>
      <c r="D210" s="222" t="s">
        <v>2627</v>
      </c>
    </row>
    <row r="211" spans="3:4" ht="28.5" x14ac:dyDescent="0.25">
      <c r="C211" s="227" t="s">
        <v>2632</v>
      </c>
      <c r="D211" s="222" t="s">
        <v>2628</v>
      </c>
    </row>
    <row r="212" spans="3:4" x14ac:dyDescent="0.2">
      <c r="C212" s="259" t="s">
        <v>2594</v>
      </c>
    </row>
    <row r="213" spans="3:4" ht="25.5" x14ac:dyDescent="0.2">
      <c r="C213" s="227" t="s">
        <v>2632</v>
      </c>
      <c r="D213" s="222" t="s">
        <v>2631</v>
      </c>
    </row>
    <row r="214" spans="3:4" ht="25.5" x14ac:dyDescent="0.2">
      <c r="C214" s="227" t="s">
        <v>2632</v>
      </c>
      <c r="D214" s="222" t="s">
        <v>2625</v>
      </c>
    </row>
    <row r="215" spans="3:4" ht="25.5" x14ac:dyDescent="0.2">
      <c r="C215" s="227" t="s">
        <v>2632</v>
      </c>
      <c r="D215" s="222" t="s">
        <v>2629</v>
      </c>
    </row>
    <row r="216" spans="3:4" ht="28.5" x14ac:dyDescent="0.25">
      <c r="C216" s="227" t="s">
        <v>2632</v>
      </c>
      <c r="D216" s="222" t="s">
        <v>2630</v>
      </c>
    </row>
    <row r="217" spans="3:4" x14ac:dyDescent="0.2">
      <c r="C217" s="227" t="s">
        <v>2632</v>
      </c>
      <c r="D217" s="222" t="s">
        <v>2668</v>
      </c>
    </row>
    <row r="218" spans="3:4" ht="28.5" x14ac:dyDescent="0.25">
      <c r="C218" s="227" t="s">
        <v>2632</v>
      </c>
      <c r="D218" s="222" t="s">
        <v>2669</v>
      </c>
    </row>
    <row r="219" spans="3:4" x14ac:dyDescent="0.2">
      <c r="C219" s="259"/>
      <c r="D219" s="222" t="s">
        <v>2624</v>
      </c>
    </row>
    <row r="220" spans="3:4" ht="38.25" x14ac:dyDescent="0.2">
      <c r="C220" s="227" t="s">
        <v>2632</v>
      </c>
      <c r="D220" s="222" t="s">
        <v>2678</v>
      </c>
    </row>
    <row r="221" spans="3:4" ht="55.5" x14ac:dyDescent="0.25">
      <c r="C221" s="227" t="s">
        <v>2632</v>
      </c>
      <c r="D221" s="222" t="s">
        <v>2687</v>
      </c>
    </row>
    <row r="222" spans="3:4" ht="39.75" x14ac:dyDescent="0.2">
      <c r="C222" s="227" t="s">
        <v>2632</v>
      </c>
      <c r="D222" s="222" t="s">
        <v>2688</v>
      </c>
    </row>
    <row r="223" spans="3:4" x14ac:dyDescent="0.2">
      <c r="C223" s="259"/>
    </row>
    <row r="224" spans="3:4" x14ac:dyDescent="0.2">
      <c r="C224" s="259"/>
    </row>
    <row r="225" spans="3:4" x14ac:dyDescent="0.2">
      <c r="C225" s="259"/>
    </row>
    <row r="226" spans="3:4" x14ac:dyDescent="0.2">
      <c r="C226" s="259"/>
    </row>
    <row r="227" spans="3:4" x14ac:dyDescent="0.2">
      <c r="C227" s="259"/>
    </row>
    <row r="228" spans="3:4" x14ac:dyDescent="0.2">
      <c r="C228" s="259"/>
    </row>
    <row r="229" spans="3:4" x14ac:dyDescent="0.2">
      <c r="C229" s="259"/>
    </row>
    <row r="230" spans="3:4" x14ac:dyDescent="0.2">
      <c r="C230" s="259"/>
      <c r="D230" s="222" t="s">
        <v>2671</v>
      </c>
    </row>
    <row r="231" spans="3:4" x14ac:dyDescent="0.2">
      <c r="C231" s="227" t="s">
        <v>2632</v>
      </c>
      <c r="D231" s="222" t="s">
        <v>2676</v>
      </c>
    </row>
    <row r="232" spans="3:4" x14ac:dyDescent="0.2">
      <c r="C232" s="259"/>
    </row>
    <row r="233" spans="3:4" x14ac:dyDescent="0.2">
      <c r="C233" s="259"/>
    </row>
    <row r="234" spans="3:4" x14ac:dyDescent="0.2">
      <c r="C234" s="259"/>
    </row>
    <row r="235" spans="3:4" x14ac:dyDescent="0.2">
      <c r="C235" s="259"/>
      <c r="D235" s="218"/>
    </row>
    <row r="236" spans="3:4" x14ac:dyDescent="0.2">
      <c r="C236" s="259"/>
    </row>
    <row r="237" spans="3:4" x14ac:dyDescent="0.2">
      <c r="C237" s="259"/>
      <c r="D237" s="222" t="s">
        <v>2672</v>
      </c>
    </row>
    <row r="238" spans="3:4" ht="25.5" x14ac:dyDescent="0.2">
      <c r="C238" s="227" t="s">
        <v>2632</v>
      </c>
      <c r="D238" s="222" t="s">
        <v>2677</v>
      </c>
    </row>
    <row r="239" spans="3:4" ht="25.5" x14ac:dyDescent="0.2">
      <c r="C239" s="227" t="s">
        <v>2632</v>
      </c>
      <c r="D239" s="222" t="s">
        <v>2673</v>
      </c>
    </row>
    <row r="240" spans="3:4" ht="41.25" x14ac:dyDescent="0.25">
      <c r="C240" s="227" t="s">
        <v>2632</v>
      </c>
      <c r="D240" s="222" t="s">
        <v>2674</v>
      </c>
    </row>
    <row r="241" spans="3:4" ht="52.5" x14ac:dyDescent="0.2">
      <c r="C241" s="227" t="s">
        <v>2632</v>
      </c>
      <c r="D241" s="222" t="s">
        <v>2675</v>
      </c>
    </row>
    <row r="242" spans="3:4" x14ac:dyDescent="0.2">
      <c r="C242" s="227"/>
    </row>
    <row r="243" spans="3:4" x14ac:dyDescent="0.2">
      <c r="C243" s="259"/>
    </row>
    <row r="244" spans="3:4" x14ac:dyDescent="0.2">
      <c r="C244" s="259"/>
    </row>
    <row r="245" spans="3:4" x14ac:dyDescent="0.2">
      <c r="C245" s="259"/>
    </row>
    <row r="246" spans="3:4" x14ac:dyDescent="0.2">
      <c r="C246" s="259"/>
    </row>
    <row r="247" spans="3:4" x14ac:dyDescent="0.2">
      <c r="C247" s="259"/>
    </row>
    <row r="248" spans="3:4" x14ac:dyDescent="0.2">
      <c r="C248" s="259"/>
    </row>
    <row r="249" spans="3:4" x14ac:dyDescent="0.2">
      <c r="C249" s="259"/>
    </row>
    <row r="250" spans="3:4" x14ac:dyDescent="0.2">
      <c r="C250" s="259"/>
    </row>
    <row r="251" spans="3:4" x14ac:dyDescent="0.2">
      <c r="C251" s="259"/>
      <c r="D251" s="222" t="s">
        <v>2689</v>
      </c>
    </row>
    <row r="252" spans="3:4" ht="52.5" x14ac:dyDescent="0.25">
      <c r="C252" s="227" t="s">
        <v>2632</v>
      </c>
      <c r="D252" s="222" t="s">
        <v>2731</v>
      </c>
    </row>
    <row r="253" spans="3:4" ht="65.25" x14ac:dyDescent="0.2">
      <c r="C253" s="227" t="s">
        <v>2632</v>
      </c>
      <c r="D253" s="222" t="s">
        <v>2732</v>
      </c>
    </row>
    <row r="254" spans="3:4" x14ac:dyDescent="0.2">
      <c r="C254" s="259"/>
    </row>
    <row r="255" spans="3:4" x14ac:dyDescent="0.2">
      <c r="C255" s="259"/>
    </row>
    <row r="256" spans="3:4" x14ac:dyDescent="0.2">
      <c r="C256" s="259"/>
    </row>
    <row r="257" spans="3:4" x14ac:dyDescent="0.2">
      <c r="C257" s="259"/>
    </row>
    <row r="258" spans="3:4" x14ac:dyDescent="0.2">
      <c r="C258" s="259"/>
    </row>
    <row r="259" spans="3:4" x14ac:dyDescent="0.2">
      <c r="C259" s="259"/>
    </row>
    <row r="260" spans="3:4" x14ac:dyDescent="0.2">
      <c r="C260" s="259"/>
    </row>
    <row r="261" spans="3:4" x14ac:dyDescent="0.2">
      <c r="C261" s="259"/>
    </row>
    <row r="262" spans="3:4" x14ac:dyDescent="0.2">
      <c r="C262" s="259"/>
    </row>
    <row r="263" spans="3:4" x14ac:dyDescent="0.2">
      <c r="C263" s="259"/>
    </row>
    <row r="264" spans="3:4" x14ac:dyDescent="0.2">
      <c r="C264" s="259"/>
    </row>
    <row r="265" spans="3:4" x14ac:dyDescent="0.2">
      <c r="C265" s="260" t="s">
        <v>2595</v>
      </c>
    </row>
    <row r="266" spans="3:4" ht="38.25" x14ac:dyDescent="0.2">
      <c r="C266" s="227" t="s">
        <v>2632</v>
      </c>
      <c r="D266" s="222" t="s">
        <v>2715</v>
      </c>
    </row>
    <row r="267" spans="3:4" ht="89.25" x14ac:dyDescent="0.2">
      <c r="C267" s="227" t="s">
        <v>2632</v>
      </c>
      <c r="D267" s="222" t="s">
        <v>2723</v>
      </c>
    </row>
    <row r="268" spans="3:4" x14ac:dyDescent="0.2">
      <c r="C268" s="227"/>
    </row>
    <row r="269" spans="3:4" x14ac:dyDescent="0.2">
      <c r="C269" s="227"/>
    </row>
    <row r="270" spans="3:4" x14ac:dyDescent="0.2">
      <c r="C270" s="227"/>
    </row>
    <row r="271" spans="3:4" x14ac:dyDescent="0.2">
      <c r="C271" s="227"/>
    </row>
    <row r="272" spans="3:4" x14ac:dyDescent="0.2">
      <c r="C272" s="227"/>
    </row>
    <row r="273" spans="3:4" x14ac:dyDescent="0.2">
      <c r="C273" s="227"/>
    </row>
    <row r="274" spans="3:4" x14ac:dyDescent="0.2">
      <c r="C274" s="227"/>
    </row>
    <row r="275" spans="3:4" x14ac:dyDescent="0.2">
      <c r="C275" s="227"/>
    </row>
    <row r="276" spans="3:4" x14ac:dyDescent="0.2">
      <c r="C276" s="227"/>
    </row>
    <row r="277" spans="3:4" x14ac:dyDescent="0.2">
      <c r="C277" s="227"/>
    </row>
    <row r="278" spans="3:4" x14ac:dyDescent="0.2">
      <c r="C278" s="227"/>
    </row>
    <row r="279" spans="3:4" x14ac:dyDescent="0.2">
      <c r="C279" s="227"/>
    </row>
    <row r="280" spans="3:4" x14ac:dyDescent="0.2">
      <c r="C280" s="227"/>
    </row>
    <row r="281" spans="3:4" x14ac:dyDescent="0.2">
      <c r="C281" s="227"/>
    </row>
    <row r="282" spans="3:4" x14ac:dyDescent="0.2">
      <c r="C282" s="227"/>
    </row>
    <row r="283" spans="3:4" x14ac:dyDescent="0.2">
      <c r="C283" s="227"/>
    </row>
    <row r="284" spans="3:4" x14ac:dyDescent="0.2">
      <c r="C284" s="227"/>
    </row>
    <row r="285" spans="3:4" ht="38.25" x14ac:dyDescent="0.2">
      <c r="C285" s="227" t="s">
        <v>2632</v>
      </c>
      <c r="D285" s="222" t="s">
        <v>2721</v>
      </c>
    </row>
    <row r="286" spans="3:4" x14ac:dyDescent="0.2">
      <c r="C286" s="227" t="s">
        <v>2632</v>
      </c>
      <c r="D286" s="222" t="s">
        <v>2720</v>
      </c>
    </row>
    <row r="287" spans="3:4" ht="25.5" x14ac:dyDescent="0.2">
      <c r="C287" s="227" t="s">
        <v>2632</v>
      </c>
      <c r="D287" s="222" t="s">
        <v>2718</v>
      </c>
    </row>
    <row r="288" spans="3:4" x14ac:dyDescent="0.2">
      <c r="C288" s="227" t="s">
        <v>2632</v>
      </c>
      <c r="D288" s="222" t="s">
        <v>2712</v>
      </c>
    </row>
    <row r="289" spans="2:5" ht="25.5" x14ac:dyDescent="0.2">
      <c r="C289" s="227" t="s">
        <v>2632</v>
      </c>
      <c r="D289" s="222" t="s">
        <v>2719</v>
      </c>
    </row>
    <row r="290" spans="2:5" ht="25.5" x14ac:dyDescent="0.2">
      <c r="C290" s="227" t="s">
        <v>2632</v>
      </c>
      <c r="D290" s="222" t="s">
        <v>2714</v>
      </c>
    </row>
    <row r="291" spans="2:5" ht="14.25" customHeight="1" x14ac:dyDescent="0.2">
      <c r="C291" s="227" t="s">
        <v>2632</v>
      </c>
      <c r="D291" s="222" t="s">
        <v>2713</v>
      </c>
    </row>
    <row r="292" spans="2:5" x14ac:dyDescent="0.2">
      <c r="C292" s="227" t="s">
        <v>2632</v>
      </c>
      <c r="D292" s="222" t="s">
        <v>2717</v>
      </c>
      <c r="E292" s="237"/>
    </row>
    <row r="293" spans="2:5" x14ac:dyDescent="0.2">
      <c r="D293" s="253"/>
    </row>
    <row r="294" spans="2:5" ht="18.75" x14ac:dyDescent="0.3">
      <c r="B294" s="268" t="s">
        <v>2202</v>
      </c>
      <c r="D294" s="218"/>
      <c r="E294" s="218"/>
    </row>
    <row r="295" spans="2:5" x14ac:dyDescent="0.2">
      <c r="C295" s="218" t="s">
        <v>2215</v>
      </c>
      <c r="E295" s="218"/>
    </row>
    <row r="296" spans="2:5" x14ac:dyDescent="0.2">
      <c r="E296" s="218"/>
    </row>
    <row r="297" spans="2:5" x14ac:dyDescent="0.2">
      <c r="C297" s="262" t="s">
        <v>1945</v>
      </c>
      <c r="D297" s="218"/>
      <c r="E297" s="218"/>
    </row>
    <row r="298" spans="2:5" x14ac:dyDescent="0.2">
      <c r="C298" s="263" t="s">
        <v>2207</v>
      </c>
      <c r="D298" s="218"/>
      <c r="E298" s="218"/>
    </row>
    <row r="299" spans="2:5" x14ac:dyDescent="0.2">
      <c r="C299" s="264" t="s">
        <v>1950</v>
      </c>
      <c r="D299" s="218" t="s">
        <v>1085</v>
      </c>
      <c r="E299" s="218"/>
    </row>
    <row r="300" spans="2:5" ht="14.25" x14ac:dyDescent="0.25">
      <c r="C300" s="264" t="s">
        <v>1946</v>
      </c>
      <c r="D300" s="218" t="s">
        <v>1954</v>
      </c>
    </row>
    <row r="301" spans="2:5" ht="14.25" x14ac:dyDescent="0.25">
      <c r="C301" s="264" t="s">
        <v>1947</v>
      </c>
      <c r="D301" s="218" t="s">
        <v>1953</v>
      </c>
      <c r="E301" s="218"/>
    </row>
    <row r="302" spans="2:5" ht="14.25" x14ac:dyDescent="0.25">
      <c r="C302" s="264" t="s">
        <v>1948</v>
      </c>
      <c r="D302" s="218" t="s">
        <v>1952</v>
      </c>
      <c r="E302" s="218"/>
    </row>
    <row r="303" spans="2:5" ht="14.25" x14ac:dyDescent="0.25">
      <c r="C303" s="264" t="s">
        <v>1949</v>
      </c>
      <c r="D303" s="218" t="s">
        <v>1951</v>
      </c>
      <c r="E303" s="218"/>
    </row>
    <row r="304" spans="2:5" x14ac:dyDescent="0.2">
      <c r="C304" s="263" t="s">
        <v>1955</v>
      </c>
      <c r="D304" s="218"/>
      <c r="E304" s="218"/>
    </row>
    <row r="305" spans="3:5" x14ac:dyDescent="0.2">
      <c r="C305" s="264" t="s">
        <v>1950</v>
      </c>
      <c r="D305" s="218" t="s">
        <v>1082</v>
      </c>
      <c r="E305" s="218"/>
    </row>
    <row r="306" spans="3:5" x14ac:dyDescent="0.2">
      <c r="C306" s="264" t="s">
        <v>1946</v>
      </c>
      <c r="D306" s="218" t="s">
        <v>1081</v>
      </c>
      <c r="E306" s="218"/>
    </row>
    <row r="307" spans="3:5" ht="14.25" x14ac:dyDescent="0.25">
      <c r="C307" s="264" t="s">
        <v>1947</v>
      </c>
      <c r="D307" s="218" t="s">
        <v>1956</v>
      </c>
      <c r="E307" s="218"/>
    </row>
    <row r="308" spans="3:5" ht="14.25" x14ac:dyDescent="0.25">
      <c r="C308" s="264" t="s">
        <v>1948</v>
      </c>
      <c r="D308" s="218" t="s">
        <v>1957</v>
      </c>
      <c r="E308" s="218"/>
    </row>
    <row r="309" spans="3:5" ht="14.25" x14ac:dyDescent="0.25">
      <c r="C309" s="264" t="s">
        <v>1949</v>
      </c>
      <c r="D309" s="218" t="s">
        <v>1958</v>
      </c>
      <c r="E309" s="218"/>
    </row>
    <row r="310" spans="3:5" ht="14.25" x14ac:dyDescent="0.25">
      <c r="C310" s="264" t="s">
        <v>1959</v>
      </c>
      <c r="D310" s="218" t="s">
        <v>1961</v>
      </c>
      <c r="E310" s="218"/>
    </row>
    <row r="311" spans="3:5" ht="14.25" x14ac:dyDescent="0.25">
      <c r="C311" s="264" t="s">
        <v>1960</v>
      </c>
      <c r="D311" s="218" t="s">
        <v>1962</v>
      </c>
      <c r="E311" s="218"/>
    </row>
    <row r="312" spans="3:5" x14ac:dyDescent="0.2">
      <c r="D312" s="218"/>
      <c r="E312" s="218"/>
    </row>
    <row r="313" spans="3:5" x14ac:dyDescent="0.2">
      <c r="C313" s="265" t="s">
        <v>1963</v>
      </c>
      <c r="D313" s="218"/>
    </row>
    <row r="314" spans="3:5" x14ac:dyDescent="0.2">
      <c r="C314" s="263" t="s">
        <v>2207</v>
      </c>
      <c r="D314" s="218"/>
      <c r="E314" s="224"/>
    </row>
    <row r="315" spans="3:5" x14ac:dyDescent="0.2">
      <c r="C315" s="264" t="s">
        <v>1950</v>
      </c>
      <c r="D315" s="266" t="s">
        <v>1085</v>
      </c>
    </row>
    <row r="316" spans="3:5" ht="14.25" x14ac:dyDescent="0.25">
      <c r="C316" s="264" t="s">
        <v>1946</v>
      </c>
      <c r="D316" s="266" t="s">
        <v>1964</v>
      </c>
    </row>
    <row r="317" spans="3:5" ht="14.25" x14ac:dyDescent="0.25">
      <c r="C317" s="264" t="s">
        <v>1947</v>
      </c>
      <c r="D317" s="266" t="s">
        <v>1965</v>
      </c>
    </row>
    <row r="318" spans="3:5" ht="14.25" x14ac:dyDescent="0.25">
      <c r="C318" s="264" t="s">
        <v>1948</v>
      </c>
      <c r="D318" s="266" t="s">
        <v>1966</v>
      </c>
    </row>
    <row r="319" spans="3:5" x14ac:dyDescent="0.2">
      <c r="C319" s="264" t="s">
        <v>1949</v>
      </c>
      <c r="D319" s="266" t="s">
        <v>1086</v>
      </c>
    </row>
    <row r="320" spans="3:5" x14ac:dyDescent="0.2">
      <c r="C320" s="263" t="s">
        <v>1955</v>
      </c>
      <c r="D320" s="266"/>
    </row>
    <row r="321" spans="3:5" x14ac:dyDescent="0.2">
      <c r="C321" s="264" t="s">
        <v>1950</v>
      </c>
      <c r="D321" s="266" t="s">
        <v>1082</v>
      </c>
    </row>
    <row r="322" spans="3:5" x14ac:dyDescent="0.2">
      <c r="C322" s="264" t="s">
        <v>1946</v>
      </c>
      <c r="D322" s="266" t="s">
        <v>1081</v>
      </c>
    </row>
    <row r="323" spans="3:5" ht="14.25" x14ac:dyDescent="0.25">
      <c r="C323" s="264" t="s">
        <v>1947</v>
      </c>
      <c r="D323" s="266" t="s">
        <v>1967</v>
      </c>
    </row>
    <row r="324" spans="3:5" ht="14.25" x14ac:dyDescent="0.25">
      <c r="C324" s="264" t="s">
        <v>1948</v>
      </c>
      <c r="D324" s="266" t="s">
        <v>1968</v>
      </c>
    </row>
    <row r="325" spans="3:5" x14ac:dyDescent="0.2">
      <c r="C325" s="264" t="s">
        <v>1949</v>
      </c>
      <c r="D325" s="266" t="s">
        <v>1083</v>
      </c>
      <c r="E325" s="253"/>
    </row>
    <row r="326" spans="3:5" ht="14.25" x14ac:dyDescent="0.25">
      <c r="C326" s="264" t="s">
        <v>1959</v>
      </c>
      <c r="D326" s="266" t="s">
        <v>1969</v>
      </c>
    </row>
    <row r="327" spans="3:5" x14ac:dyDescent="0.2">
      <c r="C327" s="264" t="s">
        <v>1960</v>
      </c>
      <c r="D327" s="266" t="s">
        <v>1084</v>
      </c>
    </row>
    <row r="329" spans="3:5" x14ac:dyDescent="0.2">
      <c r="C329" s="218" t="s">
        <v>2208</v>
      </c>
      <c r="D329" s="218"/>
    </row>
    <row r="330" spans="3:5" x14ac:dyDescent="0.2">
      <c r="C330" s="264" t="s">
        <v>1082</v>
      </c>
      <c r="D330" s="267" t="s">
        <v>2209</v>
      </c>
    </row>
    <row r="331" spans="3:5" x14ac:dyDescent="0.2">
      <c r="C331" s="264" t="s">
        <v>362</v>
      </c>
      <c r="D331" s="242" t="s">
        <v>2210</v>
      </c>
      <c r="E331" s="253"/>
    </row>
    <row r="332" spans="3:5" ht="14.25" x14ac:dyDescent="0.25">
      <c r="C332" s="264" t="s">
        <v>920</v>
      </c>
      <c r="D332" s="267" t="s">
        <v>2211</v>
      </c>
    </row>
    <row r="333" spans="3:5" x14ac:dyDescent="0.2">
      <c r="C333" s="264" t="s">
        <v>310</v>
      </c>
      <c r="D333" s="242" t="s">
        <v>2212</v>
      </c>
    </row>
    <row r="334" spans="3:5" x14ac:dyDescent="0.2">
      <c r="C334" s="264" t="s">
        <v>1787</v>
      </c>
      <c r="D334" s="267" t="s">
        <v>2213</v>
      </c>
    </row>
    <row r="335" spans="3:5" x14ac:dyDescent="0.2">
      <c r="C335" s="264" t="s">
        <v>2</v>
      </c>
      <c r="D335" s="267" t="s">
        <v>2214</v>
      </c>
    </row>
    <row r="336" spans="3:5" ht="14.25" x14ac:dyDescent="0.25">
      <c r="C336" s="264" t="s">
        <v>874</v>
      </c>
      <c r="D336" s="267" t="s">
        <v>2216</v>
      </c>
    </row>
    <row r="338" spans="2:4" ht="18.75" x14ac:dyDescent="0.3">
      <c r="B338" s="268" t="s">
        <v>2189</v>
      </c>
      <c r="C338" s="223"/>
      <c r="D338" s="224"/>
    </row>
    <row r="339" spans="2:4" x14ac:dyDescent="0.2">
      <c r="D339" s="222" t="s">
        <v>2062</v>
      </c>
    </row>
    <row r="341" spans="2:4" x14ac:dyDescent="0.2">
      <c r="D341" s="222" t="s">
        <v>2063</v>
      </c>
    </row>
    <row r="343" spans="2:4" ht="25.5" x14ac:dyDescent="0.2">
      <c r="D343" s="222" t="s">
        <v>1919</v>
      </c>
    </row>
    <row r="345" spans="2:4" x14ac:dyDescent="0.2">
      <c r="D345" s="222" t="s">
        <v>2058</v>
      </c>
    </row>
    <row r="347" spans="2:4" x14ac:dyDescent="0.2">
      <c r="D347" s="222" t="s">
        <v>2059</v>
      </c>
    </row>
    <row r="349" spans="2:4" x14ac:dyDescent="0.2">
      <c r="D349" s="222" t="s">
        <v>2716</v>
      </c>
    </row>
    <row r="351" spans="2:4" x14ac:dyDescent="0.2">
      <c r="D351" s="253" t="s">
        <v>2585</v>
      </c>
    </row>
    <row r="353" spans="4:4" ht="25.5" x14ac:dyDescent="0.2">
      <c r="D353" s="222" t="s">
        <v>2060</v>
      </c>
    </row>
    <row r="355" spans="4:4" ht="25.5" x14ac:dyDescent="0.2">
      <c r="D355" s="222" t="s">
        <v>2061</v>
      </c>
    </row>
    <row r="357" spans="4:4" x14ac:dyDescent="0.2">
      <c r="D357" s="253" t="s">
        <v>2728</v>
      </c>
    </row>
    <row r="359" spans="4:4" x14ac:dyDescent="0.2">
      <c r="D359" s="266" t="s">
        <v>2588</v>
      </c>
    </row>
    <row r="361" spans="4:4" ht="25.5" x14ac:dyDescent="0.2">
      <c r="D361" s="222" t="s">
        <v>2054</v>
      </c>
    </row>
  </sheetData>
  <sheetProtection sheet="1" objects="1" scenarios="1" selectLockedCells="1"/>
  <conditionalFormatting sqref="C115:C116">
    <cfRule type="expression" dxfId="54" priority="1">
      <formula>#REF!="LRFD"</formula>
    </cfRule>
    <cfRule type="expression" dxfId="53" priority="2">
      <formula>#REF!="ASD"</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AL109"/>
  <sheetViews>
    <sheetView showGridLines="0" workbookViewId="0">
      <selection activeCell="D9" sqref="D9"/>
    </sheetView>
  </sheetViews>
  <sheetFormatPr defaultColWidth="8.85546875" defaultRowHeight="12.75" x14ac:dyDescent="0.2"/>
  <cols>
    <col min="1" max="1" width="37.7109375" style="4" customWidth="1"/>
    <col min="2" max="2" width="8.28515625" style="4" customWidth="1"/>
    <col min="3" max="3" width="6.7109375" style="4" customWidth="1"/>
    <col min="4" max="4" width="8.85546875" style="4"/>
    <col min="5" max="6" width="6.7109375" style="4" customWidth="1"/>
    <col min="7" max="7" width="4" style="4" bestFit="1" customWidth="1"/>
    <col min="8" max="8" width="8.85546875" style="4"/>
    <col min="9" max="9" width="3.7109375" style="4" customWidth="1"/>
    <col min="10" max="17" width="8.85546875" style="4" customWidth="1"/>
    <col min="18" max="18" width="3.7109375" style="4" customWidth="1"/>
    <col min="19" max="26" width="8.85546875" style="4" customWidth="1"/>
    <col min="27" max="27" width="3.7109375" style="4" customWidth="1"/>
    <col min="28" max="35" width="8.85546875" style="4"/>
    <col min="36" max="36" width="3.7109375" style="4" customWidth="1"/>
    <col min="37" max="37" width="23.42578125" style="4" bestFit="1" customWidth="1"/>
    <col min="38" max="38" width="21.28515625" style="4" bestFit="1" customWidth="1"/>
    <col min="39" max="16384" width="8.85546875" style="4"/>
  </cols>
  <sheetData>
    <row r="1" spans="1:38" ht="15.75" x14ac:dyDescent="0.2">
      <c r="A1" s="54" t="s">
        <v>1796</v>
      </c>
    </row>
    <row r="2" spans="1:38" ht="12.75" customHeight="1" x14ac:dyDescent="0.2">
      <c r="A2" s="7" t="s">
        <v>1844</v>
      </c>
    </row>
    <row r="3" spans="1:38" ht="12.75" customHeight="1" x14ac:dyDescent="0.2">
      <c r="A3" s="7" t="s">
        <v>1684</v>
      </c>
    </row>
    <row r="4" spans="1:38" ht="12.75" customHeight="1" x14ac:dyDescent="0.2">
      <c r="A4" s="7" t="s">
        <v>1845</v>
      </c>
    </row>
    <row r="5" spans="1:38" ht="12.75" customHeight="1" x14ac:dyDescent="0.2">
      <c r="A5" s="7" t="s">
        <v>1846</v>
      </c>
    </row>
    <row r="6" spans="1:38" ht="12.75" customHeight="1" x14ac:dyDescent="0.2">
      <c r="A6" s="4" t="s">
        <v>1847</v>
      </c>
      <c r="H6" s="31" t="s">
        <v>1060</v>
      </c>
      <c r="I6" s="48"/>
      <c r="J6" s="279" t="s">
        <v>1941</v>
      </c>
      <c r="K6" s="279"/>
      <c r="L6" s="279"/>
      <c r="M6" s="279"/>
      <c r="N6" s="279"/>
      <c r="O6" s="279"/>
      <c r="P6" s="279"/>
      <c r="Q6" s="279"/>
      <c r="R6" s="29"/>
      <c r="S6" s="279" t="s">
        <v>847</v>
      </c>
      <c r="T6" s="279"/>
      <c r="U6" s="279"/>
      <c r="V6" s="279"/>
      <c r="W6" s="279"/>
      <c r="X6" s="279"/>
      <c r="Y6" s="279"/>
      <c r="Z6" s="279"/>
      <c r="AA6" s="29"/>
      <c r="AB6" s="279" t="s">
        <v>862</v>
      </c>
      <c r="AC6" s="279"/>
      <c r="AD6" s="279"/>
      <c r="AE6" s="279"/>
      <c r="AF6" s="279"/>
      <c r="AG6" s="279"/>
      <c r="AH6" s="279"/>
      <c r="AI6" s="279"/>
      <c r="AK6" s="31" t="s">
        <v>1940</v>
      </c>
      <c r="AL6" s="31" t="s">
        <v>1937</v>
      </c>
    </row>
    <row r="7" spans="1:38" ht="15" x14ac:dyDescent="0.25">
      <c r="A7" s="17" t="s">
        <v>1942</v>
      </c>
      <c r="H7" s="2" t="s">
        <v>1014</v>
      </c>
      <c r="I7" s="2"/>
      <c r="J7" s="2" t="s">
        <v>1017</v>
      </c>
      <c r="K7" s="2" t="s">
        <v>1018</v>
      </c>
      <c r="L7" s="2" t="s">
        <v>1019</v>
      </c>
      <c r="M7" s="2" t="s">
        <v>1020</v>
      </c>
      <c r="N7" s="2" t="s">
        <v>1021</v>
      </c>
      <c r="O7" s="2" t="s">
        <v>1022</v>
      </c>
      <c r="P7" s="2" t="s">
        <v>1023</v>
      </c>
      <c r="Q7" s="2" t="s">
        <v>1024</v>
      </c>
      <c r="S7" s="2" t="s">
        <v>1025</v>
      </c>
      <c r="T7" s="2" t="s">
        <v>1026</v>
      </c>
      <c r="U7" s="2" t="s">
        <v>1027</v>
      </c>
      <c r="V7" s="2" t="s">
        <v>1028</v>
      </c>
      <c r="W7" s="2" t="s">
        <v>1029</v>
      </c>
      <c r="X7" s="2" t="s">
        <v>1030</v>
      </c>
      <c r="Y7" s="2" t="s">
        <v>1031</v>
      </c>
      <c r="Z7" s="2" t="s">
        <v>1032</v>
      </c>
      <c r="AB7" s="2" t="s">
        <v>1033</v>
      </c>
      <c r="AC7" s="2" t="s">
        <v>1055</v>
      </c>
      <c r="AD7" s="2" t="s">
        <v>1050</v>
      </c>
      <c r="AE7" s="2" t="s">
        <v>1051</v>
      </c>
      <c r="AF7" s="2" t="s">
        <v>1052</v>
      </c>
      <c r="AG7" s="2" t="s">
        <v>1053</v>
      </c>
      <c r="AH7" s="2" t="s">
        <v>1054</v>
      </c>
      <c r="AI7" s="2" t="s">
        <v>1034</v>
      </c>
      <c r="AK7" s="2" t="s">
        <v>1939</v>
      </c>
      <c r="AL7" s="2" t="s">
        <v>1938</v>
      </c>
    </row>
    <row r="8" spans="1:38" x14ac:dyDescent="0.2">
      <c r="A8" s="16" t="s">
        <v>978</v>
      </c>
      <c r="B8" s="48" t="s">
        <v>434</v>
      </c>
      <c r="C8" s="271" t="s">
        <v>435</v>
      </c>
      <c r="D8" s="30"/>
      <c r="H8" s="2" t="s">
        <v>403</v>
      </c>
      <c r="I8" s="2"/>
      <c r="J8" s="2" t="s">
        <v>406</v>
      </c>
      <c r="K8" s="2" t="s">
        <v>406</v>
      </c>
      <c r="L8" s="2" t="s">
        <v>406</v>
      </c>
      <c r="M8" s="2" t="s">
        <v>406</v>
      </c>
      <c r="N8" s="2" t="s">
        <v>406</v>
      </c>
      <c r="O8" s="2" t="s">
        <v>406</v>
      </c>
      <c r="P8" s="2" t="s">
        <v>406</v>
      </c>
      <c r="Q8" s="2" t="s">
        <v>406</v>
      </c>
      <c r="S8" s="2" t="s">
        <v>419</v>
      </c>
      <c r="T8" s="2" t="s">
        <v>419</v>
      </c>
      <c r="U8" s="2" t="s">
        <v>419</v>
      </c>
      <c r="V8" s="2" t="s">
        <v>419</v>
      </c>
      <c r="W8" s="2" t="s">
        <v>419</v>
      </c>
      <c r="X8" s="2" t="s">
        <v>419</v>
      </c>
      <c r="Y8" s="2" t="s">
        <v>419</v>
      </c>
      <c r="Z8" s="2" t="s">
        <v>419</v>
      </c>
      <c r="AB8" s="2" t="s">
        <v>407</v>
      </c>
      <c r="AC8" s="2" t="s">
        <v>407</v>
      </c>
      <c r="AD8" s="2" t="s">
        <v>407</v>
      </c>
      <c r="AE8" s="2" t="s">
        <v>407</v>
      </c>
      <c r="AF8" s="2" t="s">
        <v>407</v>
      </c>
      <c r="AG8" s="2" t="s">
        <v>407</v>
      </c>
      <c r="AH8" s="2" t="s">
        <v>407</v>
      </c>
      <c r="AI8" s="2" t="s">
        <v>407</v>
      </c>
      <c r="AK8" s="2" t="s">
        <v>406</v>
      </c>
      <c r="AL8" s="2" t="s">
        <v>419</v>
      </c>
    </row>
    <row r="9" spans="1:38" x14ac:dyDescent="0.2">
      <c r="A9" s="5" t="s">
        <v>402</v>
      </c>
      <c r="D9" s="53" t="s">
        <v>242</v>
      </c>
      <c r="G9" s="26">
        <v>0</v>
      </c>
      <c r="H9" s="1">
        <v>0</v>
      </c>
      <c r="I9" s="2"/>
      <c r="J9" s="24">
        <f t="shared" ref="J9:J40" si="0">0.5*($D$12/1000)*$H9*($D$10-$H9)</f>
        <v>0</v>
      </c>
      <c r="K9" s="24">
        <f t="shared" ref="K9:K40" si="1">0.5*$D$21*$H9*($D$10-$H9)</f>
        <v>0</v>
      </c>
      <c r="L9" s="6">
        <f t="shared" ref="L9:L40" si="2">IF($H9&lt;=$D$25,($D$24*($D$10-$D$25)*$H9)/$D$10,((($D$24*($D$10-$D$25))/$D$10)*$H9)-($D$24*($H9-$D$25)))</f>
        <v>0</v>
      </c>
      <c r="M9" s="6">
        <f t="shared" ref="M9:M40" si="3">IF($H9&lt;=$D$28,($D$27*($D$10-$D$28)*$H9)/$D$10,((($D$27*($D$10-$D$28))/$D$10)*$H9)-($D$27*($H9-$D$28)))</f>
        <v>0</v>
      </c>
      <c r="N9" s="6">
        <f t="shared" ref="N9:N40" si="4">IF($H9&lt;=$D$31,($D$30*($D$10-$D$31)*$H9)/$D$10,((($D$30*($D$10-$D$31))/$D$10)*$H9)-($D$30*($H9-$D$31)))</f>
        <v>0</v>
      </c>
      <c r="O9" s="6">
        <f t="shared" ref="O9:O40" si="5">IF($H9&lt;=$D$34,($D$33*($D$10-$D$34)*$H9)/$D$10,((($D$33*($D$10-$D$34))/$D$10)*$H9)-($D$33*($H9-$D$34)))</f>
        <v>0</v>
      </c>
      <c r="P9" s="6">
        <f t="shared" ref="P9:P40" si="6">IF($H9&lt;=$D$37,($D$36*($D$10-$D$37)*$H9)/$D$10,((($D$36*($D$10-$D$37))/$D$10)*$H9)-($D$36*($H9-$D$37)))</f>
        <v>0</v>
      </c>
      <c r="Q9" s="6">
        <f>SUM($J9,$K9,$L9,$M9,$N9,$O9,$P9)</f>
        <v>0</v>
      </c>
      <c r="S9" s="24">
        <f t="shared" ref="S9:S40" si="7">($D$12/1000)*(0.5*$D$10-$H9)</f>
        <v>0.48</v>
      </c>
      <c r="T9" s="27">
        <f t="shared" ref="T9:T40" si="8">($D$21*(0.5*$D$10-$H9))</f>
        <v>25.344000000000001</v>
      </c>
      <c r="U9" s="24">
        <f t="shared" ref="U9:U40" si="9">IF($H9&lt;=$D$25,($D$24*($D$10-$D$25))/$D$10,-($D$24*$D$25)/$D$10)</f>
        <v>0</v>
      </c>
      <c r="V9" s="24">
        <f t="shared" ref="V9:V40" si="10">IF($H9&lt;=$D$28,($D$27*($D$10-$D$28))/$D$10,-($D$27*$D$28)/$D$10)</f>
        <v>0</v>
      </c>
      <c r="W9" s="24">
        <f t="shared" ref="W9:W40" si="11">IF($H9&lt;=$D$31,($D$30*($D$10-$D$31))/$D$10,-($D$30*$D$31)/$D$10)</f>
        <v>0</v>
      </c>
      <c r="X9" s="24">
        <f t="shared" ref="X9:X40" si="12">IF($H9&lt;=$D$34,($D$33*($D$10-$D$34))/$D$10,-($D$33*$D$34)/$D$10)</f>
        <v>0</v>
      </c>
      <c r="Y9" s="24">
        <f t="shared" ref="Y9:Y40" si="13">IF($H9&lt;=$D$37,($D$36*($D$10-$D$37))/$D$10,-($D$36*$D$37)/$D$10)</f>
        <v>0</v>
      </c>
      <c r="Z9" s="6">
        <f>SUM($S9,$T9,$U9,$V9,$W9,$X9,$Y9)</f>
        <v>25.824000000000002</v>
      </c>
      <c r="AB9" s="28">
        <f t="shared" ref="AB9:AB40" si="14">-((1.728*$D$12*$H9)/(24*$D$14*$D$13))*(($D$10^3)-(2*$D$10*$H9^2)+($H9^3))</f>
        <v>0</v>
      </c>
      <c r="AC9" s="28">
        <f t="shared" ref="AC9:AC40" si="15">-((1728*$D$21*$H9)/(24*$D$14*$D$13))*(($D$10^3)-(2*$D$10*$H9^2)+($H9^3))</f>
        <v>0</v>
      </c>
      <c r="AD9" s="28">
        <f t="shared" ref="AD9:AD40" si="16">-IF($H9&lt;=$D$25,(($D$24*($D$10-$D$25)*$H9*1728)/(6*$D$14*$D$13*$D$10))*(($D$10^2)-(($D$10-$D$25)^2)-($H9^2)),(($D$24*$D$25*($D$10-$H9)*1728)/(6*$D$14*$D$13*$D$10))*((2*$D$10*$H9)-($H9^2)-($D$25^2)))</f>
        <v>0</v>
      </c>
      <c r="AE9" s="28">
        <f t="shared" ref="AE9:AE40" si="17">-IF($H9&lt;=$D$28,(($D$27*($D$10-$D$28)*$H9*1728)/(6*$D$14*$D$13*$D$10))*(($D$10^2)-(($D$10-$D$28)^2)-($H9^2)),(($D$27*$D$28*($D$10-$H9)*1728)/(6*$D$14*$D$13*$D$10))*((2*$D$10*$H9)-($H9^2)-($D$28^2)))</f>
        <v>0</v>
      </c>
      <c r="AF9" s="28">
        <f t="shared" ref="AF9:AF40" si="18">-IF($H9&lt;=$D$31,(($D$30*($D$10-$D$31)*$H9*1728)/(6*$D$14*$D$13*$D$10))*(($D$10^2)-(($D$10-$D$31)^2)-($H9^2)),(($D$30*$D$31*($D$10-$H9)*1728)/(6*$D$14*$D$13*$D$10))*((2*$D$10*$H9)-($H9^2)-($D$31^2)))</f>
        <v>0</v>
      </c>
      <c r="AG9" s="28">
        <f t="shared" ref="AG9:AG40" si="19">-IF($H9&lt;=$D$34,(($D$33*($D$10-$D$34)*$H9*1728)/(6*$D$14*$D$13*$D$10))*(($D$10^2)-(($D$10-$D$34)^2)-($H9^2)),(($D$33*$D$34*($D$10-$H9)*1728)/(6*$D$14*$D$13*$D$10))*((2*$D$10*$H9)-($H9^2)-($D$34^2)))</f>
        <v>0</v>
      </c>
      <c r="AH9" s="28">
        <f t="shared" ref="AH9:AH40" si="20">-IF($H9&lt;=$D$37,(($D$36*($D$10-$D$37)*$H9*1728)/(6*$D$14*$D$13*$D$10))*(($D$10^2)-(($D$10-$D$37)^2)-($H9^2)),(($D$36*$D$37*($D$10-$H9)*1728)/(6*$D$14*$D$13*$D$10))*((2*$D$10*$H9)-($H9^2)-($D$37^2)))</f>
        <v>0</v>
      </c>
      <c r="AI9" s="28">
        <f>SUM($AB9,$AC9,$AD9,$AE9,$AF9,$AG9,$AH9)</f>
        <v>0</v>
      </c>
      <c r="AK9" s="1">
        <f>D$17</f>
        <v>138.4</v>
      </c>
      <c r="AL9" s="24">
        <f t="shared" ref="AL9:AL40" si="21">D$16</f>
        <v>77.400000000000006</v>
      </c>
    </row>
    <row r="10" spans="1:38" x14ac:dyDescent="0.2">
      <c r="A10" s="5" t="s">
        <v>1066</v>
      </c>
      <c r="B10" s="2" t="s">
        <v>362</v>
      </c>
      <c r="C10" s="2" t="s">
        <v>403</v>
      </c>
      <c r="D10" s="8">
        <v>24</v>
      </c>
      <c r="G10" s="26">
        <v>1</v>
      </c>
      <c r="H10" s="1">
        <f t="shared" ref="H10:H41" si="22">H9+D$10/100</f>
        <v>0.24</v>
      </c>
      <c r="I10" s="2"/>
      <c r="J10" s="24">
        <f t="shared" si="0"/>
        <v>0.114048</v>
      </c>
      <c r="K10" s="24">
        <f t="shared" si="1"/>
        <v>6.0217344000000006</v>
      </c>
      <c r="L10" s="6">
        <f t="shared" si="2"/>
        <v>0</v>
      </c>
      <c r="M10" s="6">
        <f t="shared" si="3"/>
        <v>0</v>
      </c>
      <c r="N10" s="6">
        <f t="shared" si="4"/>
        <v>0</v>
      </c>
      <c r="O10" s="6">
        <f t="shared" si="5"/>
        <v>0</v>
      </c>
      <c r="P10" s="6">
        <f t="shared" si="6"/>
        <v>0</v>
      </c>
      <c r="Q10" s="6">
        <f t="shared" ref="Q10:Q73" si="23">SUM($J10,$K10,$L10,$M10,$N10,$O10,$P10)</f>
        <v>6.135782400000001</v>
      </c>
      <c r="S10" s="24">
        <f t="shared" si="7"/>
        <v>0.47039999999999998</v>
      </c>
      <c r="T10" s="27">
        <f t="shared" si="8"/>
        <v>24.837120000000002</v>
      </c>
      <c r="U10" s="24">
        <f t="shared" si="9"/>
        <v>0</v>
      </c>
      <c r="V10" s="24">
        <f t="shared" si="10"/>
        <v>0</v>
      </c>
      <c r="W10" s="24">
        <f t="shared" si="11"/>
        <v>0</v>
      </c>
      <c r="X10" s="24">
        <f t="shared" si="12"/>
        <v>0</v>
      </c>
      <c r="Y10" s="24">
        <f t="shared" si="13"/>
        <v>0</v>
      </c>
      <c r="Z10" s="6">
        <f t="shared" ref="Z10:Z73" si="24">SUM($S10,$T10,$U10,$V10,$W10,$X10,$Y10)</f>
        <v>25.307520000000004</v>
      </c>
      <c r="AB10" s="28">
        <f t="shared" si="14"/>
        <v>-1.0730368780623159E-3</v>
      </c>
      <c r="AC10" s="28">
        <f t="shared" si="15"/>
        <v>-5.6656347161690282E-2</v>
      </c>
      <c r="AD10" s="28">
        <f t="shared" si="16"/>
        <v>0</v>
      </c>
      <c r="AE10" s="28">
        <f t="shared" si="17"/>
        <v>0</v>
      </c>
      <c r="AF10" s="28">
        <f t="shared" si="18"/>
        <v>0</v>
      </c>
      <c r="AG10" s="28">
        <f t="shared" si="19"/>
        <v>0</v>
      </c>
      <c r="AH10" s="28">
        <f t="shared" si="20"/>
        <v>0</v>
      </c>
      <c r="AI10" s="28">
        <f t="shared" ref="AI10:AI73" si="25">SUM($AB10,$AC10,$AD10,$AE10,$AF10,$AG10,$AH10)</f>
        <v>-5.7729384039752599E-2</v>
      </c>
      <c r="AK10" s="1">
        <f t="shared" ref="AK10:AK73" si="26">D$17</f>
        <v>138.4</v>
      </c>
      <c r="AL10" s="24">
        <f t="shared" si="21"/>
        <v>77.400000000000006</v>
      </c>
    </row>
    <row r="11" spans="1:38" ht="14.25" x14ac:dyDescent="0.25">
      <c r="A11" s="5" t="s">
        <v>852</v>
      </c>
      <c r="B11" s="2" t="s">
        <v>874</v>
      </c>
      <c r="C11" s="3" t="s">
        <v>403</v>
      </c>
      <c r="D11" s="8">
        <v>8</v>
      </c>
      <c r="G11" s="26">
        <v>2</v>
      </c>
      <c r="H11" s="1">
        <f t="shared" si="22"/>
        <v>0.48</v>
      </c>
      <c r="I11" s="2"/>
      <c r="J11" s="24">
        <f t="shared" si="0"/>
        <v>0.22579199999999996</v>
      </c>
      <c r="K11" s="24">
        <f t="shared" si="1"/>
        <v>11.921817599999999</v>
      </c>
      <c r="L11" s="6">
        <f t="shared" si="2"/>
        <v>0</v>
      </c>
      <c r="M11" s="6">
        <f t="shared" si="3"/>
        <v>0</v>
      </c>
      <c r="N11" s="6">
        <f t="shared" si="4"/>
        <v>0</v>
      </c>
      <c r="O11" s="6">
        <f t="shared" si="5"/>
        <v>0</v>
      </c>
      <c r="P11" s="6">
        <f t="shared" si="6"/>
        <v>0</v>
      </c>
      <c r="Q11" s="6">
        <f t="shared" si="23"/>
        <v>12.147609599999999</v>
      </c>
      <c r="S11" s="24">
        <f t="shared" si="7"/>
        <v>0.46079999999999999</v>
      </c>
      <c r="T11" s="27">
        <f t="shared" si="8"/>
        <v>24.33024</v>
      </c>
      <c r="U11" s="24">
        <f t="shared" si="9"/>
        <v>0</v>
      </c>
      <c r="V11" s="24">
        <f t="shared" si="10"/>
        <v>0</v>
      </c>
      <c r="W11" s="24">
        <f t="shared" si="11"/>
        <v>0</v>
      </c>
      <c r="X11" s="24">
        <f t="shared" si="12"/>
        <v>0</v>
      </c>
      <c r="Y11" s="24">
        <f t="shared" si="13"/>
        <v>0</v>
      </c>
      <c r="Z11" s="6">
        <f t="shared" si="24"/>
        <v>24.791039999999999</v>
      </c>
      <c r="AB11" s="28">
        <f t="shared" si="14"/>
        <v>-2.1448008810851173E-3</v>
      </c>
      <c r="AC11" s="28">
        <f t="shared" si="15"/>
        <v>-0.11324548652129421</v>
      </c>
      <c r="AD11" s="28">
        <f t="shared" si="16"/>
        <v>0</v>
      </c>
      <c r="AE11" s="28">
        <f t="shared" si="17"/>
        <v>0</v>
      </c>
      <c r="AF11" s="28">
        <f t="shared" si="18"/>
        <v>0</v>
      </c>
      <c r="AG11" s="28">
        <f t="shared" si="19"/>
        <v>0</v>
      </c>
      <c r="AH11" s="28">
        <f t="shared" si="20"/>
        <v>0</v>
      </c>
      <c r="AI11" s="28">
        <f t="shared" si="25"/>
        <v>-0.11539028740237933</v>
      </c>
      <c r="AK11" s="1">
        <f t="shared" si="26"/>
        <v>138.4</v>
      </c>
      <c r="AL11" s="24">
        <f t="shared" si="21"/>
        <v>77.400000000000006</v>
      </c>
    </row>
    <row r="12" spans="1:38" ht="14.25" x14ac:dyDescent="0.25">
      <c r="A12" s="5" t="s">
        <v>1015</v>
      </c>
      <c r="B12" s="2" t="s">
        <v>997</v>
      </c>
      <c r="C12" s="2" t="s">
        <v>1049</v>
      </c>
      <c r="D12" s="8">
        <v>40</v>
      </c>
      <c r="G12" s="26">
        <v>3</v>
      </c>
      <c r="H12" s="1">
        <f t="shared" si="22"/>
        <v>0.72</v>
      </c>
      <c r="I12" s="2"/>
      <c r="J12" s="24">
        <f t="shared" si="0"/>
        <v>0.33523200000000003</v>
      </c>
      <c r="K12" s="24">
        <f t="shared" si="1"/>
        <v>17.700249599999999</v>
      </c>
      <c r="L12" s="6">
        <f t="shared" si="2"/>
        <v>0</v>
      </c>
      <c r="M12" s="6">
        <f t="shared" si="3"/>
        <v>0</v>
      </c>
      <c r="N12" s="6">
        <f t="shared" si="4"/>
        <v>0</v>
      </c>
      <c r="O12" s="6">
        <f t="shared" si="5"/>
        <v>0</v>
      </c>
      <c r="P12" s="6">
        <f t="shared" si="6"/>
        <v>0</v>
      </c>
      <c r="Q12" s="6">
        <f t="shared" si="23"/>
        <v>18.035481600000001</v>
      </c>
      <c r="S12" s="24">
        <f t="shared" si="7"/>
        <v>0.45119999999999999</v>
      </c>
      <c r="T12" s="27">
        <f t="shared" si="8"/>
        <v>23.823360000000001</v>
      </c>
      <c r="U12" s="24">
        <f t="shared" si="9"/>
        <v>0</v>
      </c>
      <c r="V12" s="24">
        <f t="shared" si="10"/>
        <v>0</v>
      </c>
      <c r="W12" s="24">
        <f t="shared" si="11"/>
        <v>0</v>
      </c>
      <c r="X12" s="24">
        <f t="shared" si="12"/>
        <v>0</v>
      </c>
      <c r="Y12" s="24">
        <f t="shared" si="13"/>
        <v>0</v>
      </c>
      <c r="Z12" s="6">
        <f t="shared" si="24"/>
        <v>24.274560000000001</v>
      </c>
      <c r="AB12" s="28">
        <f t="shared" si="14"/>
        <v>-3.214042745538897E-3</v>
      </c>
      <c r="AC12" s="28">
        <f t="shared" si="15"/>
        <v>-0.16970145696445374</v>
      </c>
      <c r="AD12" s="28">
        <f t="shared" si="16"/>
        <v>0</v>
      </c>
      <c r="AE12" s="28">
        <f t="shared" si="17"/>
        <v>0</v>
      </c>
      <c r="AF12" s="28">
        <f t="shared" si="18"/>
        <v>0</v>
      </c>
      <c r="AG12" s="28">
        <f t="shared" si="19"/>
        <v>0</v>
      </c>
      <c r="AH12" s="28">
        <f t="shared" si="20"/>
        <v>0</v>
      </c>
      <c r="AI12" s="28">
        <f t="shared" si="25"/>
        <v>-0.17291549970999265</v>
      </c>
      <c r="AK12" s="1">
        <f t="shared" si="26"/>
        <v>138.4</v>
      </c>
      <c r="AL12" s="24">
        <f t="shared" si="21"/>
        <v>77.400000000000006</v>
      </c>
    </row>
    <row r="13" spans="1:38" ht="15.75" x14ac:dyDescent="0.25">
      <c r="A13" s="5" t="s">
        <v>866</v>
      </c>
      <c r="B13" s="2" t="s">
        <v>872</v>
      </c>
      <c r="C13" s="2" t="s">
        <v>873</v>
      </c>
      <c r="D13" s="8">
        <v>307</v>
      </c>
      <c r="G13" s="26">
        <v>4</v>
      </c>
      <c r="H13" s="1">
        <f t="shared" si="22"/>
        <v>0.96</v>
      </c>
      <c r="I13" s="2"/>
      <c r="J13" s="24">
        <f t="shared" si="0"/>
        <v>0.44236799999999993</v>
      </c>
      <c r="K13" s="24">
        <f t="shared" si="1"/>
        <v>23.357030399999999</v>
      </c>
      <c r="L13" s="6">
        <f t="shared" si="2"/>
        <v>0</v>
      </c>
      <c r="M13" s="6">
        <f t="shared" si="3"/>
        <v>0</v>
      </c>
      <c r="N13" s="6">
        <f t="shared" si="4"/>
        <v>0</v>
      </c>
      <c r="O13" s="6">
        <f t="shared" si="5"/>
        <v>0</v>
      </c>
      <c r="P13" s="6">
        <f t="shared" si="6"/>
        <v>0</v>
      </c>
      <c r="Q13" s="6">
        <f t="shared" si="23"/>
        <v>23.799398399999998</v>
      </c>
      <c r="S13" s="24">
        <f t="shared" si="7"/>
        <v>0.44159999999999999</v>
      </c>
      <c r="T13" s="27">
        <f t="shared" si="8"/>
        <v>23.316479999999999</v>
      </c>
      <c r="U13" s="24">
        <f t="shared" si="9"/>
        <v>0</v>
      </c>
      <c r="V13" s="24">
        <f t="shared" si="10"/>
        <v>0</v>
      </c>
      <c r="W13" s="24">
        <f t="shared" si="11"/>
        <v>0</v>
      </c>
      <c r="X13" s="24">
        <f t="shared" si="12"/>
        <v>0</v>
      </c>
      <c r="Y13" s="24">
        <f t="shared" si="13"/>
        <v>0</v>
      </c>
      <c r="Z13" s="6">
        <f t="shared" si="24"/>
        <v>23.75808</v>
      </c>
      <c r="AB13" s="28">
        <f t="shared" si="14"/>
        <v>-4.2795389659050654E-3</v>
      </c>
      <c r="AC13" s="28">
        <f t="shared" si="15"/>
        <v>-0.22595965739978746</v>
      </c>
      <c r="AD13" s="28">
        <f t="shared" si="16"/>
        <v>0</v>
      </c>
      <c r="AE13" s="28">
        <f t="shared" si="17"/>
        <v>0</v>
      </c>
      <c r="AF13" s="28">
        <f t="shared" si="18"/>
        <v>0</v>
      </c>
      <c r="AG13" s="28">
        <f t="shared" si="19"/>
        <v>0</v>
      </c>
      <c r="AH13" s="28">
        <f t="shared" si="20"/>
        <v>0</v>
      </c>
      <c r="AI13" s="28">
        <f t="shared" si="25"/>
        <v>-0.23023919636569254</v>
      </c>
      <c r="AK13" s="1">
        <f t="shared" si="26"/>
        <v>138.4</v>
      </c>
      <c r="AL13" s="24">
        <f t="shared" si="21"/>
        <v>77.400000000000006</v>
      </c>
    </row>
    <row r="14" spans="1:38" x14ac:dyDescent="0.2">
      <c r="A14" s="5" t="s">
        <v>1045</v>
      </c>
      <c r="B14" s="2" t="s">
        <v>1016</v>
      </c>
      <c r="C14" s="2" t="s">
        <v>405</v>
      </c>
      <c r="D14" s="8">
        <v>29000</v>
      </c>
      <c r="G14" s="26">
        <v>5</v>
      </c>
      <c r="H14" s="1">
        <f t="shared" si="22"/>
        <v>1.2</v>
      </c>
      <c r="I14" s="2"/>
      <c r="J14" s="24">
        <f t="shared" si="0"/>
        <v>0.54720000000000002</v>
      </c>
      <c r="K14" s="24">
        <f t="shared" si="1"/>
        <v>28.892160000000004</v>
      </c>
      <c r="L14" s="6">
        <f t="shared" si="2"/>
        <v>0</v>
      </c>
      <c r="M14" s="6">
        <f t="shared" si="3"/>
        <v>0</v>
      </c>
      <c r="N14" s="6">
        <f t="shared" si="4"/>
        <v>0</v>
      </c>
      <c r="O14" s="6">
        <f t="shared" si="5"/>
        <v>0</v>
      </c>
      <c r="P14" s="6">
        <f t="shared" si="6"/>
        <v>0</v>
      </c>
      <c r="Q14" s="6">
        <f t="shared" si="23"/>
        <v>29.439360000000004</v>
      </c>
      <c r="S14" s="24">
        <f t="shared" si="7"/>
        <v>0.43200000000000005</v>
      </c>
      <c r="T14" s="27">
        <f t="shared" si="8"/>
        <v>22.809600000000003</v>
      </c>
      <c r="U14" s="24">
        <f t="shared" si="9"/>
        <v>0</v>
      </c>
      <c r="V14" s="24">
        <f t="shared" si="10"/>
        <v>0</v>
      </c>
      <c r="W14" s="24">
        <f t="shared" si="11"/>
        <v>0</v>
      </c>
      <c r="X14" s="24">
        <f t="shared" si="12"/>
        <v>0</v>
      </c>
      <c r="Y14" s="24">
        <f t="shared" si="13"/>
        <v>0</v>
      </c>
      <c r="Z14" s="6">
        <f t="shared" si="24"/>
        <v>23.241600000000002</v>
      </c>
      <c r="AB14" s="28">
        <f t="shared" si="14"/>
        <v>-5.3400917946759517E-3</v>
      </c>
      <c r="AC14" s="28">
        <f t="shared" si="15"/>
        <v>-0.28195684675889021</v>
      </c>
      <c r="AD14" s="28">
        <f t="shared" si="16"/>
        <v>0</v>
      </c>
      <c r="AE14" s="28">
        <f t="shared" si="17"/>
        <v>0</v>
      </c>
      <c r="AF14" s="28">
        <f t="shared" si="18"/>
        <v>0</v>
      </c>
      <c r="AG14" s="28">
        <f t="shared" si="19"/>
        <v>0</v>
      </c>
      <c r="AH14" s="28">
        <f t="shared" si="20"/>
        <v>0</v>
      </c>
      <c r="AI14" s="28">
        <f t="shared" si="25"/>
        <v>-0.28729693855356614</v>
      </c>
      <c r="AK14" s="1">
        <f t="shared" si="26"/>
        <v>138.4</v>
      </c>
      <c r="AL14" s="24">
        <f t="shared" si="21"/>
        <v>77.400000000000006</v>
      </c>
    </row>
    <row r="15" spans="1:38" x14ac:dyDescent="0.2">
      <c r="G15" s="26">
        <v>6</v>
      </c>
      <c r="H15" s="1">
        <f t="shared" si="22"/>
        <v>1.44</v>
      </c>
      <c r="I15" s="2"/>
      <c r="J15" s="24">
        <f t="shared" si="0"/>
        <v>0.64972799999999997</v>
      </c>
      <c r="K15" s="24">
        <f t="shared" si="1"/>
        <v>34.305638399999999</v>
      </c>
      <c r="L15" s="6">
        <f t="shared" si="2"/>
        <v>0</v>
      </c>
      <c r="M15" s="6">
        <f t="shared" si="3"/>
        <v>0</v>
      </c>
      <c r="N15" s="6">
        <f t="shared" si="4"/>
        <v>0</v>
      </c>
      <c r="O15" s="6">
        <f t="shared" si="5"/>
        <v>0</v>
      </c>
      <c r="P15" s="6">
        <f t="shared" si="6"/>
        <v>0</v>
      </c>
      <c r="Q15" s="6">
        <f t="shared" si="23"/>
        <v>34.955366400000003</v>
      </c>
      <c r="S15" s="24">
        <f t="shared" si="7"/>
        <v>0.42240000000000005</v>
      </c>
      <c r="T15" s="27">
        <f t="shared" si="8"/>
        <v>22.302720000000001</v>
      </c>
      <c r="U15" s="24">
        <f t="shared" si="9"/>
        <v>0</v>
      </c>
      <c r="V15" s="24">
        <f t="shared" si="10"/>
        <v>0</v>
      </c>
      <c r="W15" s="24">
        <f t="shared" si="11"/>
        <v>0</v>
      </c>
      <c r="X15" s="24">
        <f t="shared" si="12"/>
        <v>0</v>
      </c>
      <c r="Y15" s="24">
        <f t="shared" si="13"/>
        <v>0</v>
      </c>
      <c r="Z15" s="6">
        <f t="shared" si="24"/>
        <v>22.72512</v>
      </c>
      <c r="AB15" s="28">
        <f t="shared" si="14"/>
        <v>-6.3945292423548024E-3</v>
      </c>
      <c r="AC15" s="28">
        <f t="shared" si="15"/>
        <v>-0.33763114399633348</v>
      </c>
      <c r="AD15" s="28">
        <f t="shared" si="16"/>
        <v>0</v>
      </c>
      <c r="AE15" s="28">
        <f t="shared" si="17"/>
        <v>0</v>
      </c>
      <c r="AF15" s="28">
        <f t="shared" si="18"/>
        <v>0</v>
      </c>
      <c r="AG15" s="28">
        <f t="shared" si="19"/>
        <v>0</v>
      </c>
      <c r="AH15" s="28">
        <f t="shared" si="20"/>
        <v>0</v>
      </c>
      <c r="AI15" s="28">
        <f t="shared" si="25"/>
        <v>-0.34402567323868827</v>
      </c>
      <c r="AK15" s="1">
        <f t="shared" si="26"/>
        <v>138.4</v>
      </c>
      <c r="AL15" s="24">
        <f t="shared" si="21"/>
        <v>77.400000000000006</v>
      </c>
    </row>
    <row r="16" spans="1:38" ht="14.25" x14ac:dyDescent="0.25">
      <c r="A16" s="5" t="s">
        <v>1937</v>
      </c>
      <c r="B16" s="2" t="s">
        <v>1938</v>
      </c>
      <c r="C16" s="2" t="s">
        <v>419</v>
      </c>
      <c r="D16" s="165">
        <v>77.400000000000006</v>
      </c>
      <c r="G16" s="26">
        <v>7</v>
      </c>
      <c r="H16" s="1">
        <f t="shared" si="22"/>
        <v>1.68</v>
      </c>
      <c r="I16" s="2"/>
      <c r="J16" s="24">
        <f t="shared" si="0"/>
        <v>0.74995199999999995</v>
      </c>
      <c r="K16" s="24">
        <f t="shared" si="1"/>
        <v>39.5974656</v>
      </c>
      <c r="L16" s="6">
        <f t="shared" si="2"/>
        <v>0</v>
      </c>
      <c r="M16" s="6">
        <f t="shared" si="3"/>
        <v>0</v>
      </c>
      <c r="N16" s="6">
        <f t="shared" si="4"/>
        <v>0</v>
      </c>
      <c r="O16" s="6">
        <f t="shared" si="5"/>
        <v>0</v>
      </c>
      <c r="P16" s="6">
        <f t="shared" si="6"/>
        <v>0</v>
      </c>
      <c r="Q16" s="6">
        <f t="shared" si="23"/>
        <v>40.3474176</v>
      </c>
      <c r="S16" s="24">
        <f t="shared" si="7"/>
        <v>0.4128</v>
      </c>
      <c r="T16" s="27">
        <f t="shared" si="8"/>
        <v>21.795840000000002</v>
      </c>
      <c r="U16" s="24">
        <f t="shared" si="9"/>
        <v>0</v>
      </c>
      <c r="V16" s="24">
        <f t="shared" si="10"/>
        <v>0</v>
      </c>
      <c r="W16" s="24">
        <f t="shared" si="11"/>
        <v>0</v>
      </c>
      <c r="X16" s="24">
        <f t="shared" si="12"/>
        <v>0</v>
      </c>
      <c r="Y16" s="24">
        <f t="shared" si="13"/>
        <v>0</v>
      </c>
      <c r="Z16" s="6">
        <f t="shared" si="24"/>
        <v>22.208640000000003</v>
      </c>
      <c r="AB16" s="28">
        <f t="shared" si="14"/>
        <v>-7.4417050774557778E-3</v>
      </c>
      <c r="AC16" s="28">
        <f t="shared" si="15"/>
        <v>-0.39292202808966509</v>
      </c>
      <c r="AD16" s="28">
        <f t="shared" si="16"/>
        <v>0</v>
      </c>
      <c r="AE16" s="28">
        <f t="shared" si="17"/>
        <v>0</v>
      </c>
      <c r="AF16" s="28">
        <f t="shared" si="18"/>
        <v>0</v>
      </c>
      <c r="AG16" s="28">
        <f t="shared" si="19"/>
        <v>0</v>
      </c>
      <c r="AH16" s="28">
        <f t="shared" si="20"/>
        <v>0</v>
      </c>
      <c r="AI16" s="28">
        <f t="shared" si="25"/>
        <v>-0.40036373316712087</v>
      </c>
      <c r="AK16" s="1">
        <f t="shared" si="26"/>
        <v>138.4</v>
      </c>
      <c r="AL16" s="24">
        <f t="shared" si="21"/>
        <v>77.400000000000006</v>
      </c>
    </row>
    <row r="17" spans="1:38" ht="14.25" x14ac:dyDescent="0.25">
      <c r="A17" s="5" t="s">
        <v>1940</v>
      </c>
      <c r="B17" s="2" t="s">
        <v>1939</v>
      </c>
      <c r="C17" s="2" t="s">
        <v>406</v>
      </c>
      <c r="D17" s="165">
        <v>138.4</v>
      </c>
      <c r="G17" s="26">
        <v>8</v>
      </c>
      <c r="H17" s="1">
        <f t="shared" si="22"/>
        <v>1.92</v>
      </c>
      <c r="I17" s="2"/>
      <c r="J17" s="24">
        <f t="shared" si="0"/>
        <v>0.84787199999999985</v>
      </c>
      <c r="K17" s="24">
        <f t="shared" si="1"/>
        <v>44.767641599999997</v>
      </c>
      <c r="L17" s="6">
        <f t="shared" si="2"/>
        <v>0</v>
      </c>
      <c r="M17" s="6">
        <f t="shared" si="3"/>
        <v>0</v>
      </c>
      <c r="N17" s="6">
        <f t="shared" si="4"/>
        <v>0</v>
      </c>
      <c r="O17" s="6">
        <f t="shared" si="5"/>
        <v>0</v>
      </c>
      <c r="P17" s="6">
        <f t="shared" si="6"/>
        <v>0</v>
      </c>
      <c r="Q17" s="6">
        <f t="shared" si="23"/>
        <v>45.6155136</v>
      </c>
      <c r="S17" s="24">
        <f t="shared" si="7"/>
        <v>0.4032</v>
      </c>
      <c r="T17" s="27">
        <f t="shared" si="8"/>
        <v>21.288959999999999</v>
      </c>
      <c r="U17" s="24">
        <f t="shared" si="9"/>
        <v>0</v>
      </c>
      <c r="V17" s="24">
        <f t="shared" si="10"/>
        <v>0</v>
      </c>
      <c r="W17" s="24">
        <f t="shared" si="11"/>
        <v>0</v>
      </c>
      <c r="X17" s="24">
        <f t="shared" si="12"/>
        <v>0</v>
      </c>
      <c r="Y17" s="24">
        <f t="shared" si="13"/>
        <v>0</v>
      </c>
      <c r="Z17" s="6">
        <f t="shared" si="24"/>
        <v>21.692160000000001</v>
      </c>
      <c r="AB17" s="28">
        <f t="shared" si="14"/>
        <v>-8.4804988265039637E-3</v>
      </c>
      <c r="AC17" s="28">
        <f t="shared" si="15"/>
        <v>-0.4477703380394093</v>
      </c>
      <c r="AD17" s="28">
        <f t="shared" si="16"/>
        <v>0</v>
      </c>
      <c r="AE17" s="28">
        <f t="shared" si="17"/>
        <v>0</v>
      </c>
      <c r="AF17" s="28">
        <f t="shared" si="18"/>
        <v>0</v>
      </c>
      <c r="AG17" s="28">
        <f t="shared" si="19"/>
        <v>0</v>
      </c>
      <c r="AH17" s="28">
        <f t="shared" si="20"/>
        <v>0</v>
      </c>
      <c r="AI17" s="28">
        <f t="shared" si="25"/>
        <v>-0.45625083686591328</v>
      </c>
      <c r="AK17" s="1">
        <f t="shared" si="26"/>
        <v>138.4</v>
      </c>
      <c r="AL17" s="24">
        <f t="shared" si="21"/>
        <v>77.400000000000006</v>
      </c>
    </row>
    <row r="18" spans="1:38" x14ac:dyDescent="0.2">
      <c r="G18" s="26">
        <v>9</v>
      </c>
      <c r="H18" s="1">
        <f t="shared" si="22"/>
        <v>2.16</v>
      </c>
      <c r="I18" s="2"/>
      <c r="J18" s="24">
        <f t="shared" si="0"/>
        <v>0.94348799999999999</v>
      </c>
      <c r="K18" s="24">
        <f t="shared" si="1"/>
        <v>49.816166400000007</v>
      </c>
      <c r="L18" s="6">
        <f t="shared" si="2"/>
        <v>0</v>
      </c>
      <c r="M18" s="6">
        <f t="shared" si="3"/>
        <v>0</v>
      </c>
      <c r="N18" s="6">
        <f t="shared" si="4"/>
        <v>0</v>
      </c>
      <c r="O18" s="6">
        <f t="shared" si="5"/>
        <v>0</v>
      </c>
      <c r="P18" s="6">
        <f t="shared" si="6"/>
        <v>0</v>
      </c>
      <c r="Q18" s="6">
        <f t="shared" si="23"/>
        <v>50.759654400000009</v>
      </c>
      <c r="S18" s="24">
        <f t="shared" si="7"/>
        <v>0.39360000000000001</v>
      </c>
      <c r="T18" s="27">
        <f t="shared" si="8"/>
        <v>20.782080000000001</v>
      </c>
      <c r="U18" s="24">
        <f t="shared" si="9"/>
        <v>0</v>
      </c>
      <c r="V18" s="24">
        <f t="shared" si="10"/>
        <v>0</v>
      </c>
      <c r="W18" s="24">
        <f t="shared" si="11"/>
        <v>0</v>
      </c>
      <c r="X18" s="24">
        <f t="shared" si="12"/>
        <v>0</v>
      </c>
      <c r="Y18" s="24">
        <f t="shared" si="13"/>
        <v>0</v>
      </c>
      <c r="Z18" s="6">
        <f t="shared" si="24"/>
        <v>21.17568</v>
      </c>
      <c r="AB18" s="28">
        <f t="shared" si="14"/>
        <v>-9.5098157740353597E-3</v>
      </c>
      <c r="AC18" s="28">
        <f t="shared" si="15"/>
        <v>-0.50211827286906696</v>
      </c>
      <c r="AD18" s="28">
        <f t="shared" si="16"/>
        <v>0</v>
      </c>
      <c r="AE18" s="28">
        <f t="shared" si="17"/>
        <v>0</v>
      </c>
      <c r="AF18" s="28">
        <f t="shared" si="18"/>
        <v>0</v>
      </c>
      <c r="AG18" s="28">
        <f t="shared" si="19"/>
        <v>0</v>
      </c>
      <c r="AH18" s="28">
        <f t="shared" si="20"/>
        <v>0</v>
      </c>
      <c r="AI18" s="28">
        <f t="shared" si="25"/>
        <v>-0.51162808864310227</v>
      </c>
      <c r="AK18" s="1">
        <f t="shared" si="26"/>
        <v>138.4</v>
      </c>
      <c r="AL18" s="24">
        <f t="shared" si="21"/>
        <v>77.400000000000006</v>
      </c>
    </row>
    <row r="19" spans="1:38" x14ac:dyDescent="0.2">
      <c r="A19" s="31" t="s">
        <v>1070</v>
      </c>
      <c r="G19" s="26">
        <v>10</v>
      </c>
      <c r="H19" s="1">
        <f t="shared" si="22"/>
        <v>2.4000000000000004</v>
      </c>
      <c r="I19" s="2"/>
      <c r="J19" s="24">
        <f t="shared" si="0"/>
        <v>1.0368000000000002</v>
      </c>
      <c r="K19" s="24">
        <f t="shared" si="1"/>
        <v>54.743040000000015</v>
      </c>
      <c r="L19" s="6">
        <f t="shared" si="2"/>
        <v>0</v>
      </c>
      <c r="M19" s="6">
        <f t="shared" si="3"/>
        <v>0</v>
      </c>
      <c r="N19" s="6">
        <f t="shared" si="4"/>
        <v>0</v>
      </c>
      <c r="O19" s="6">
        <f t="shared" si="5"/>
        <v>0</v>
      </c>
      <c r="P19" s="6">
        <f t="shared" si="6"/>
        <v>0</v>
      </c>
      <c r="Q19" s="6">
        <f t="shared" si="23"/>
        <v>55.779840000000014</v>
      </c>
      <c r="S19" s="24">
        <f t="shared" si="7"/>
        <v>0.38400000000000001</v>
      </c>
      <c r="T19" s="27">
        <f t="shared" si="8"/>
        <v>20.275200000000002</v>
      </c>
      <c r="U19" s="24">
        <f t="shared" si="9"/>
        <v>0</v>
      </c>
      <c r="V19" s="24">
        <f t="shared" si="10"/>
        <v>0</v>
      </c>
      <c r="W19" s="24">
        <f t="shared" si="11"/>
        <v>0</v>
      </c>
      <c r="X19" s="24">
        <f t="shared" si="12"/>
        <v>0</v>
      </c>
      <c r="Y19" s="24">
        <f t="shared" si="13"/>
        <v>0</v>
      </c>
      <c r="Z19" s="6">
        <f t="shared" si="24"/>
        <v>20.659200000000002</v>
      </c>
      <c r="AB19" s="28">
        <f t="shared" si="14"/>
        <v>-1.052858696259688E-2</v>
      </c>
      <c r="AC19" s="28">
        <f t="shared" si="15"/>
        <v>-0.55590939162511532</v>
      </c>
      <c r="AD19" s="28">
        <f t="shared" si="16"/>
        <v>0</v>
      </c>
      <c r="AE19" s="28">
        <f t="shared" si="17"/>
        <v>0</v>
      </c>
      <c r="AF19" s="28">
        <f t="shared" si="18"/>
        <v>0</v>
      </c>
      <c r="AG19" s="28">
        <f t="shared" si="19"/>
        <v>0</v>
      </c>
      <c r="AH19" s="28">
        <f t="shared" si="20"/>
        <v>0</v>
      </c>
      <c r="AI19" s="28">
        <f t="shared" si="25"/>
        <v>-0.56643797858771217</v>
      </c>
      <c r="AK19" s="1">
        <f t="shared" si="26"/>
        <v>138.4</v>
      </c>
      <c r="AL19" s="24">
        <f t="shared" si="21"/>
        <v>77.400000000000006</v>
      </c>
    </row>
    <row r="20" spans="1:38" ht="14.25" x14ac:dyDescent="0.25">
      <c r="A20" s="5" t="s">
        <v>1068</v>
      </c>
      <c r="B20" s="2" t="s">
        <v>1048</v>
      </c>
      <c r="C20" s="2" t="s">
        <v>855</v>
      </c>
      <c r="D20" s="49">
        <f>1.2*20+1.6*150</f>
        <v>264</v>
      </c>
      <c r="G20" s="26">
        <v>11</v>
      </c>
      <c r="H20" s="1">
        <f t="shared" si="22"/>
        <v>2.6400000000000006</v>
      </c>
      <c r="I20" s="2"/>
      <c r="J20" s="24">
        <f t="shared" si="0"/>
        <v>1.1278080000000004</v>
      </c>
      <c r="K20" s="24">
        <f t="shared" si="1"/>
        <v>59.548262400000013</v>
      </c>
      <c r="L20" s="6">
        <f t="shared" si="2"/>
        <v>0</v>
      </c>
      <c r="M20" s="6">
        <f t="shared" si="3"/>
        <v>0</v>
      </c>
      <c r="N20" s="6">
        <f t="shared" si="4"/>
        <v>0</v>
      </c>
      <c r="O20" s="6">
        <f t="shared" si="5"/>
        <v>0</v>
      </c>
      <c r="P20" s="6">
        <f t="shared" si="6"/>
        <v>0</v>
      </c>
      <c r="Q20" s="6">
        <f t="shared" si="23"/>
        <v>60.676070400000015</v>
      </c>
      <c r="S20" s="24">
        <f t="shared" si="7"/>
        <v>0.37440000000000001</v>
      </c>
      <c r="T20" s="27">
        <f t="shared" si="8"/>
        <v>19.768319999999999</v>
      </c>
      <c r="U20" s="24">
        <f t="shared" si="9"/>
        <v>0</v>
      </c>
      <c r="V20" s="24">
        <f t="shared" si="10"/>
        <v>0</v>
      </c>
      <c r="W20" s="24">
        <f t="shared" si="11"/>
        <v>0</v>
      </c>
      <c r="X20" s="24">
        <f t="shared" si="12"/>
        <v>0</v>
      </c>
      <c r="Y20" s="24">
        <f t="shared" si="13"/>
        <v>0</v>
      </c>
      <c r="Z20" s="6">
        <f t="shared" si="24"/>
        <v>20.142720000000001</v>
      </c>
      <c r="AB20" s="28">
        <f t="shared" si="14"/>
        <v>-1.1535769192746358E-2</v>
      </c>
      <c r="AC20" s="28">
        <f t="shared" si="15"/>
        <v>-0.6090886133770077</v>
      </c>
      <c r="AD20" s="28">
        <f t="shared" si="16"/>
        <v>0</v>
      </c>
      <c r="AE20" s="28">
        <f t="shared" si="17"/>
        <v>0</v>
      </c>
      <c r="AF20" s="28">
        <f t="shared" si="18"/>
        <v>0</v>
      </c>
      <c r="AG20" s="28">
        <f t="shared" si="19"/>
        <v>0</v>
      </c>
      <c r="AH20" s="28">
        <f t="shared" si="20"/>
        <v>0</v>
      </c>
      <c r="AI20" s="28">
        <f t="shared" si="25"/>
        <v>-0.62062438256975405</v>
      </c>
      <c r="AK20" s="1">
        <f t="shared" si="26"/>
        <v>138.4</v>
      </c>
      <c r="AL20" s="24">
        <f t="shared" si="21"/>
        <v>77.400000000000006</v>
      </c>
    </row>
    <row r="21" spans="1:38" ht="15" x14ac:dyDescent="0.25">
      <c r="A21" s="5" t="s">
        <v>1069</v>
      </c>
      <c r="B21" s="2" t="s">
        <v>1047</v>
      </c>
      <c r="C21" s="2" t="s">
        <v>851</v>
      </c>
      <c r="D21" s="25">
        <f>($D$11*$D$20)/1000</f>
        <v>2.1120000000000001</v>
      </c>
      <c r="G21" s="26">
        <v>12</v>
      </c>
      <c r="H21" s="1">
        <f t="shared" si="22"/>
        <v>2.8800000000000008</v>
      </c>
      <c r="I21" s="2"/>
      <c r="J21" s="24">
        <f t="shared" si="0"/>
        <v>1.2165120000000003</v>
      </c>
      <c r="K21" s="24">
        <f t="shared" si="1"/>
        <v>64.231833600000016</v>
      </c>
      <c r="L21" s="6">
        <f t="shared" si="2"/>
        <v>0</v>
      </c>
      <c r="M21" s="6">
        <f t="shared" si="3"/>
        <v>0</v>
      </c>
      <c r="N21" s="6">
        <f t="shared" si="4"/>
        <v>0</v>
      </c>
      <c r="O21" s="6">
        <f t="shared" si="5"/>
        <v>0</v>
      </c>
      <c r="P21" s="6">
        <f t="shared" si="6"/>
        <v>0</v>
      </c>
      <c r="Q21" s="6">
        <f t="shared" si="23"/>
        <v>65.44834560000001</v>
      </c>
      <c r="S21" s="24">
        <f t="shared" si="7"/>
        <v>0.36479999999999996</v>
      </c>
      <c r="T21" s="27">
        <f t="shared" si="8"/>
        <v>19.26144</v>
      </c>
      <c r="U21" s="24">
        <f t="shared" si="9"/>
        <v>0</v>
      </c>
      <c r="V21" s="24">
        <f t="shared" si="10"/>
        <v>0</v>
      </c>
      <c r="W21" s="24">
        <f t="shared" si="11"/>
        <v>0</v>
      </c>
      <c r="X21" s="24">
        <f t="shared" si="12"/>
        <v>0</v>
      </c>
      <c r="Y21" s="24">
        <f t="shared" si="13"/>
        <v>0</v>
      </c>
      <c r="Z21" s="6">
        <f t="shared" si="24"/>
        <v>19.626239999999999</v>
      </c>
      <c r="AB21" s="28">
        <f t="shared" si="14"/>
        <v>-1.2530345023052549E-2</v>
      </c>
      <c r="AC21" s="28">
        <f t="shared" si="15"/>
        <v>-0.66160221721717449</v>
      </c>
      <c r="AD21" s="28">
        <f t="shared" si="16"/>
        <v>0</v>
      </c>
      <c r="AE21" s="28">
        <f t="shared" si="17"/>
        <v>0</v>
      </c>
      <c r="AF21" s="28">
        <f t="shared" si="18"/>
        <v>0</v>
      </c>
      <c r="AG21" s="28">
        <f t="shared" si="19"/>
        <v>0</v>
      </c>
      <c r="AH21" s="28">
        <f t="shared" si="20"/>
        <v>0</v>
      </c>
      <c r="AI21" s="28">
        <f t="shared" si="25"/>
        <v>-0.674132562240227</v>
      </c>
      <c r="AK21" s="1">
        <f t="shared" si="26"/>
        <v>138.4</v>
      </c>
      <c r="AL21" s="24">
        <f t="shared" si="21"/>
        <v>77.400000000000006</v>
      </c>
    </row>
    <row r="22" spans="1:38" x14ac:dyDescent="0.2">
      <c r="G22" s="26">
        <v>13</v>
      </c>
      <c r="H22" s="1">
        <f t="shared" si="22"/>
        <v>3.120000000000001</v>
      </c>
      <c r="I22" s="2"/>
      <c r="J22" s="24">
        <f t="shared" si="0"/>
        <v>1.3029120000000003</v>
      </c>
      <c r="K22" s="24">
        <f t="shared" si="1"/>
        <v>68.793753600000016</v>
      </c>
      <c r="L22" s="6">
        <f t="shared" si="2"/>
        <v>0</v>
      </c>
      <c r="M22" s="6">
        <f t="shared" si="3"/>
        <v>0</v>
      </c>
      <c r="N22" s="6">
        <f t="shared" si="4"/>
        <v>0</v>
      </c>
      <c r="O22" s="6">
        <f t="shared" si="5"/>
        <v>0</v>
      </c>
      <c r="P22" s="6">
        <f t="shared" si="6"/>
        <v>0</v>
      </c>
      <c r="Q22" s="6">
        <f t="shared" si="23"/>
        <v>70.096665600000023</v>
      </c>
      <c r="S22" s="24">
        <f t="shared" si="7"/>
        <v>0.35519999999999996</v>
      </c>
      <c r="T22" s="27">
        <f t="shared" si="8"/>
        <v>18.754559999999998</v>
      </c>
      <c r="U22" s="24">
        <f t="shared" si="9"/>
        <v>0</v>
      </c>
      <c r="V22" s="24">
        <f t="shared" si="10"/>
        <v>0</v>
      </c>
      <c r="W22" s="24">
        <f t="shared" si="11"/>
        <v>0</v>
      </c>
      <c r="X22" s="24">
        <f t="shared" si="12"/>
        <v>0</v>
      </c>
      <c r="Y22" s="24">
        <f t="shared" si="13"/>
        <v>0</v>
      </c>
      <c r="Z22" s="6">
        <f t="shared" si="24"/>
        <v>19.109759999999998</v>
      </c>
      <c r="AB22" s="28">
        <f t="shared" si="14"/>
        <v>-1.3511322770095119E-2</v>
      </c>
      <c r="AC22" s="28">
        <f t="shared" si="15"/>
        <v>-0.71339784226102221</v>
      </c>
      <c r="AD22" s="28">
        <f t="shared" si="16"/>
        <v>0</v>
      </c>
      <c r="AE22" s="28">
        <f t="shared" si="17"/>
        <v>0</v>
      </c>
      <c r="AF22" s="28">
        <f t="shared" si="18"/>
        <v>0</v>
      </c>
      <c r="AG22" s="28">
        <f t="shared" si="19"/>
        <v>0</v>
      </c>
      <c r="AH22" s="28">
        <f t="shared" si="20"/>
        <v>0</v>
      </c>
      <c r="AI22" s="28">
        <f t="shared" si="25"/>
        <v>-0.72690916503111735</v>
      </c>
      <c r="AK22" s="1">
        <f t="shared" si="26"/>
        <v>138.4</v>
      </c>
      <c r="AL22" s="24">
        <f t="shared" si="21"/>
        <v>77.400000000000006</v>
      </c>
    </row>
    <row r="23" spans="1:38" x14ac:dyDescent="0.2">
      <c r="A23" s="31" t="s">
        <v>1903</v>
      </c>
      <c r="G23" s="26">
        <v>14</v>
      </c>
      <c r="H23" s="1">
        <f t="shared" si="22"/>
        <v>3.3600000000000012</v>
      </c>
      <c r="I23" s="2"/>
      <c r="J23" s="24">
        <f t="shared" si="0"/>
        <v>1.3870080000000005</v>
      </c>
      <c r="K23" s="24">
        <f t="shared" si="1"/>
        <v>73.234022400000029</v>
      </c>
      <c r="L23" s="6">
        <f t="shared" si="2"/>
        <v>0</v>
      </c>
      <c r="M23" s="6">
        <f t="shared" si="3"/>
        <v>0</v>
      </c>
      <c r="N23" s="6">
        <f t="shared" si="4"/>
        <v>0</v>
      </c>
      <c r="O23" s="6">
        <f t="shared" si="5"/>
        <v>0</v>
      </c>
      <c r="P23" s="6">
        <f t="shared" si="6"/>
        <v>0</v>
      </c>
      <c r="Q23" s="6">
        <f t="shared" si="23"/>
        <v>74.621030400000024</v>
      </c>
      <c r="S23" s="24">
        <f t="shared" si="7"/>
        <v>0.34559999999999996</v>
      </c>
      <c r="T23" s="27">
        <f t="shared" si="8"/>
        <v>18.247679999999999</v>
      </c>
      <c r="U23" s="24">
        <f t="shared" si="9"/>
        <v>0</v>
      </c>
      <c r="V23" s="24">
        <f t="shared" si="10"/>
        <v>0</v>
      </c>
      <c r="W23" s="24">
        <f t="shared" si="11"/>
        <v>0</v>
      </c>
      <c r="X23" s="24">
        <f t="shared" si="12"/>
        <v>0</v>
      </c>
      <c r="Y23" s="24">
        <f t="shared" si="13"/>
        <v>0</v>
      </c>
      <c r="Z23" s="6">
        <f t="shared" si="24"/>
        <v>18.59328</v>
      </c>
      <c r="AB23" s="28">
        <f t="shared" si="14"/>
        <v>-1.4477736508464656E-2</v>
      </c>
      <c r="AC23" s="28">
        <f t="shared" si="15"/>
        <v>-0.76442448764693394</v>
      </c>
      <c r="AD23" s="28">
        <f t="shared" si="16"/>
        <v>0</v>
      </c>
      <c r="AE23" s="28">
        <f t="shared" si="17"/>
        <v>0</v>
      </c>
      <c r="AF23" s="28">
        <f t="shared" si="18"/>
        <v>0</v>
      </c>
      <c r="AG23" s="28">
        <f t="shared" si="19"/>
        <v>0</v>
      </c>
      <c r="AH23" s="28">
        <f t="shared" si="20"/>
        <v>0</v>
      </c>
      <c r="AI23" s="28">
        <f t="shared" si="25"/>
        <v>-0.77890222415539856</v>
      </c>
      <c r="AK23" s="1">
        <f t="shared" si="26"/>
        <v>138.4</v>
      </c>
      <c r="AL23" s="24">
        <f t="shared" si="21"/>
        <v>77.400000000000006</v>
      </c>
    </row>
    <row r="24" spans="1:38" ht="14.25" x14ac:dyDescent="0.25">
      <c r="A24" s="5" t="s">
        <v>1893</v>
      </c>
      <c r="B24" s="2" t="s">
        <v>1035</v>
      </c>
      <c r="C24" s="2" t="s">
        <v>419</v>
      </c>
      <c r="D24" s="8"/>
      <c r="G24" s="26">
        <v>15</v>
      </c>
      <c r="H24" s="1">
        <f t="shared" si="22"/>
        <v>3.6000000000000014</v>
      </c>
      <c r="I24" s="2"/>
      <c r="J24" s="24">
        <f t="shared" si="0"/>
        <v>1.4688000000000005</v>
      </c>
      <c r="K24" s="24">
        <f t="shared" si="1"/>
        <v>77.552640000000039</v>
      </c>
      <c r="L24" s="6">
        <f t="shared" si="2"/>
        <v>0</v>
      </c>
      <c r="M24" s="6">
        <f t="shared" si="3"/>
        <v>0</v>
      </c>
      <c r="N24" s="6">
        <f t="shared" si="4"/>
        <v>0</v>
      </c>
      <c r="O24" s="6">
        <f t="shared" si="5"/>
        <v>0</v>
      </c>
      <c r="P24" s="6">
        <f t="shared" si="6"/>
        <v>0</v>
      </c>
      <c r="Q24" s="6">
        <f t="shared" si="23"/>
        <v>79.021440000000041</v>
      </c>
      <c r="S24" s="24">
        <f t="shared" si="7"/>
        <v>0.33599999999999997</v>
      </c>
      <c r="T24" s="27">
        <f t="shared" si="8"/>
        <v>17.740799999999997</v>
      </c>
      <c r="U24" s="24">
        <f t="shared" si="9"/>
        <v>0</v>
      </c>
      <c r="V24" s="24">
        <f t="shared" si="10"/>
        <v>0</v>
      </c>
      <c r="W24" s="24">
        <f t="shared" si="11"/>
        <v>0</v>
      </c>
      <c r="X24" s="24">
        <f t="shared" si="12"/>
        <v>0</v>
      </c>
      <c r="Y24" s="24">
        <f t="shared" si="13"/>
        <v>0</v>
      </c>
      <c r="Z24" s="6">
        <f t="shared" si="24"/>
        <v>18.076799999999995</v>
      </c>
      <c r="AB24" s="28">
        <f t="shared" si="14"/>
        <v>-1.5428646070762671E-2</v>
      </c>
      <c r="AC24" s="28">
        <f t="shared" si="15"/>
        <v>-0.814632512536269</v>
      </c>
      <c r="AD24" s="28">
        <f t="shared" si="16"/>
        <v>0</v>
      </c>
      <c r="AE24" s="28">
        <f t="shared" si="17"/>
        <v>0</v>
      </c>
      <c r="AF24" s="28">
        <f t="shared" si="18"/>
        <v>0</v>
      </c>
      <c r="AG24" s="28">
        <f t="shared" si="19"/>
        <v>0</v>
      </c>
      <c r="AH24" s="28">
        <f t="shared" si="20"/>
        <v>0</v>
      </c>
      <c r="AI24" s="28">
        <f t="shared" si="25"/>
        <v>-0.83006115860703167</v>
      </c>
      <c r="AK24" s="1">
        <f t="shared" si="26"/>
        <v>138.4</v>
      </c>
      <c r="AL24" s="24">
        <f t="shared" si="21"/>
        <v>77.400000000000006</v>
      </c>
    </row>
    <row r="25" spans="1:38" ht="14.25" x14ac:dyDescent="0.25">
      <c r="A25" s="5" t="s">
        <v>1902</v>
      </c>
      <c r="B25" s="2" t="s">
        <v>1036</v>
      </c>
      <c r="C25" s="2" t="s">
        <v>403</v>
      </c>
      <c r="D25" s="8"/>
      <c r="G25" s="26">
        <v>16</v>
      </c>
      <c r="H25" s="1">
        <f t="shared" si="22"/>
        <v>3.8400000000000016</v>
      </c>
      <c r="I25" s="2"/>
      <c r="J25" s="24">
        <f t="shared" si="0"/>
        <v>1.5482880000000006</v>
      </c>
      <c r="K25" s="24">
        <f t="shared" si="1"/>
        <v>81.749606400000019</v>
      </c>
      <c r="L25" s="6">
        <f t="shared" si="2"/>
        <v>0</v>
      </c>
      <c r="M25" s="6">
        <f t="shared" si="3"/>
        <v>0</v>
      </c>
      <c r="N25" s="6">
        <f t="shared" si="4"/>
        <v>0</v>
      </c>
      <c r="O25" s="6">
        <f t="shared" si="5"/>
        <v>0</v>
      </c>
      <c r="P25" s="6">
        <f t="shared" si="6"/>
        <v>0</v>
      </c>
      <c r="Q25" s="6">
        <f t="shared" si="23"/>
        <v>83.297894400000018</v>
      </c>
      <c r="S25" s="24">
        <f t="shared" si="7"/>
        <v>0.32639999999999997</v>
      </c>
      <c r="T25" s="27">
        <f t="shared" si="8"/>
        <v>17.233919999999998</v>
      </c>
      <c r="U25" s="24">
        <f t="shared" si="9"/>
        <v>0</v>
      </c>
      <c r="V25" s="24">
        <f t="shared" si="10"/>
        <v>0</v>
      </c>
      <c r="W25" s="24">
        <f t="shared" si="11"/>
        <v>0</v>
      </c>
      <c r="X25" s="24">
        <f t="shared" si="12"/>
        <v>0</v>
      </c>
      <c r="Y25" s="24">
        <f t="shared" si="13"/>
        <v>0</v>
      </c>
      <c r="Z25" s="6">
        <f t="shared" si="24"/>
        <v>17.560319999999997</v>
      </c>
      <c r="AB25" s="28">
        <f t="shared" si="14"/>
        <v>-1.6363137047601582E-2</v>
      </c>
      <c r="AC25" s="28">
        <f t="shared" si="15"/>
        <v>-0.86397363611336342</v>
      </c>
      <c r="AD25" s="28">
        <f t="shared" si="16"/>
        <v>0</v>
      </c>
      <c r="AE25" s="28">
        <f t="shared" si="17"/>
        <v>0</v>
      </c>
      <c r="AF25" s="28">
        <f t="shared" si="18"/>
        <v>0</v>
      </c>
      <c r="AG25" s="28">
        <f t="shared" si="19"/>
        <v>0</v>
      </c>
      <c r="AH25" s="28">
        <f t="shared" si="20"/>
        <v>0</v>
      </c>
      <c r="AI25" s="28">
        <f t="shared" si="25"/>
        <v>-0.88033677316096504</v>
      </c>
      <c r="AK25" s="1">
        <f t="shared" si="26"/>
        <v>138.4</v>
      </c>
      <c r="AL25" s="24">
        <f t="shared" si="21"/>
        <v>77.400000000000006</v>
      </c>
    </row>
    <row r="26" spans="1:38" x14ac:dyDescent="0.2">
      <c r="G26" s="26">
        <v>17</v>
      </c>
      <c r="H26" s="1">
        <f t="shared" si="22"/>
        <v>4.0800000000000018</v>
      </c>
      <c r="I26" s="2"/>
      <c r="J26" s="24">
        <f t="shared" si="0"/>
        <v>1.6254720000000005</v>
      </c>
      <c r="K26" s="24">
        <f t="shared" si="1"/>
        <v>85.824921600000039</v>
      </c>
      <c r="L26" s="6">
        <f t="shared" si="2"/>
        <v>0</v>
      </c>
      <c r="M26" s="6">
        <f t="shared" si="3"/>
        <v>0</v>
      </c>
      <c r="N26" s="6">
        <f t="shared" si="4"/>
        <v>0</v>
      </c>
      <c r="O26" s="6">
        <f t="shared" si="5"/>
        <v>0</v>
      </c>
      <c r="P26" s="6">
        <f t="shared" si="6"/>
        <v>0</v>
      </c>
      <c r="Q26" s="6">
        <f t="shared" si="23"/>
        <v>87.450393600000041</v>
      </c>
      <c r="S26" s="24">
        <f t="shared" si="7"/>
        <v>0.31679999999999992</v>
      </c>
      <c r="T26" s="27">
        <f t="shared" si="8"/>
        <v>16.727039999999995</v>
      </c>
      <c r="U26" s="24">
        <f t="shared" si="9"/>
        <v>0</v>
      </c>
      <c r="V26" s="24">
        <f t="shared" si="10"/>
        <v>0</v>
      </c>
      <c r="W26" s="24">
        <f t="shared" si="11"/>
        <v>0</v>
      </c>
      <c r="X26" s="24">
        <f t="shared" si="12"/>
        <v>0</v>
      </c>
      <c r="Y26" s="24">
        <f t="shared" si="13"/>
        <v>0</v>
      </c>
      <c r="Z26" s="6">
        <f t="shared" si="24"/>
        <v>17.043839999999996</v>
      </c>
      <c r="AB26" s="28">
        <f t="shared" si="14"/>
        <v>-1.7280320787604723E-2</v>
      </c>
      <c r="AC26" s="28">
        <f t="shared" si="15"/>
        <v>-0.91240093758552943</v>
      </c>
      <c r="AD26" s="28">
        <f t="shared" si="16"/>
        <v>0</v>
      </c>
      <c r="AE26" s="28">
        <f t="shared" si="17"/>
        <v>0</v>
      </c>
      <c r="AF26" s="28">
        <f t="shared" si="18"/>
        <v>0</v>
      </c>
      <c r="AG26" s="28">
        <f t="shared" si="19"/>
        <v>0</v>
      </c>
      <c r="AH26" s="28">
        <f t="shared" si="20"/>
        <v>0</v>
      </c>
      <c r="AI26" s="28">
        <f t="shared" si="25"/>
        <v>-0.9296812583731342</v>
      </c>
      <c r="AK26" s="1">
        <f t="shared" si="26"/>
        <v>138.4</v>
      </c>
      <c r="AL26" s="24">
        <f t="shared" si="21"/>
        <v>77.400000000000006</v>
      </c>
    </row>
    <row r="27" spans="1:38" ht="14.25" x14ac:dyDescent="0.25">
      <c r="A27" s="5" t="s">
        <v>1894</v>
      </c>
      <c r="B27" s="2" t="s">
        <v>1037</v>
      </c>
      <c r="C27" s="2" t="s">
        <v>419</v>
      </c>
      <c r="D27" s="8"/>
      <c r="G27" s="26">
        <v>18</v>
      </c>
      <c r="H27" s="1">
        <f t="shared" si="22"/>
        <v>4.3200000000000021</v>
      </c>
      <c r="I27" s="2"/>
      <c r="J27" s="24">
        <f t="shared" si="0"/>
        <v>1.700352000000001</v>
      </c>
      <c r="K27" s="24">
        <f t="shared" si="1"/>
        <v>89.778585600000042</v>
      </c>
      <c r="L27" s="6">
        <f t="shared" si="2"/>
        <v>0</v>
      </c>
      <c r="M27" s="6">
        <f t="shared" si="3"/>
        <v>0</v>
      </c>
      <c r="N27" s="6">
        <f t="shared" si="4"/>
        <v>0</v>
      </c>
      <c r="O27" s="6">
        <f t="shared" si="5"/>
        <v>0</v>
      </c>
      <c r="P27" s="6">
        <f t="shared" si="6"/>
        <v>0</v>
      </c>
      <c r="Q27" s="6">
        <f t="shared" si="23"/>
        <v>91.478937600000037</v>
      </c>
      <c r="S27" s="24">
        <f t="shared" si="7"/>
        <v>0.30719999999999992</v>
      </c>
      <c r="T27" s="27">
        <f t="shared" si="8"/>
        <v>16.220159999999996</v>
      </c>
      <c r="U27" s="24">
        <f t="shared" si="9"/>
        <v>0</v>
      </c>
      <c r="V27" s="24">
        <f t="shared" si="10"/>
        <v>0</v>
      </c>
      <c r="W27" s="24">
        <f t="shared" si="11"/>
        <v>0</v>
      </c>
      <c r="X27" s="24">
        <f t="shared" si="12"/>
        <v>0</v>
      </c>
      <c r="Y27" s="24">
        <f t="shared" si="13"/>
        <v>0</v>
      </c>
      <c r="Z27" s="6">
        <f t="shared" si="24"/>
        <v>16.527359999999994</v>
      </c>
      <c r="AB27" s="28">
        <f t="shared" si="14"/>
        <v>-1.8179334397406367E-2</v>
      </c>
      <c r="AC27" s="28">
        <f t="shared" si="15"/>
        <v>-0.95986885618305617</v>
      </c>
      <c r="AD27" s="28">
        <f t="shared" si="16"/>
        <v>0</v>
      </c>
      <c r="AE27" s="28">
        <f t="shared" si="17"/>
        <v>0</v>
      </c>
      <c r="AF27" s="28">
        <f t="shared" si="18"/>
        <v>0</v>
      </c>
      <c r="AG27" s="28">
        <f t="shared" si="19"/>
        <v>0</v>
      </c>
      <c r="AH27" s="28">
        <f t="shared" si="20"/>
        <v>0</v>
      </c>
      <c r="AI27" s="28">
        <f t="shared" si="25"/>
        <v>-0.97804819058046255</v>
      </c>
      <c r="AK27" s="1">
        <f t="shared" si="26"/>
        <v>138.4</v>
      </c>
      <c r="AL27" s="24">
        <f t="shared" si="21"/>
        <v>77.400000000000006</v>
      </c>
    </row>
    <row r="28" spans="1:38" ht="14.25" x14ac:dyDescent="0.25">
      <c r="A28" s="5" t="s">
        <v>1901</v>
      </c>
      <c r="B28" s="2" t="s">
        <v>1038</v>
      </c>
      <c r="C28" s="2" t="s">
        <v>403</v>
      </c>
      <c r="D28" s="8"/>
      <c r="G28" s="26">
        <v>19</v>
      </c>
      <c r="H28" s="1">
        <f t="shared" si="22"/>
        <v>4.5600000000000023</v>
      </c>
      <c r="I28" s="2"/>
      <c r="J28" s="24">
        <f t="shared" si="0"/>
        <v>1.7729280000000007</v>
      </c>
      <c r="K28" s="24">
        <f t="shared" si="1"/>
        <v>93.610598400000043</v>
      </c>
      <c r="L28" s="6">
        <f t="shared" si="2"/>
        <v>0</v>
      </c>
      <c r="M28" s="6">
        <f t="shared" si="3"/>
        <v>0</v>
      </c>
      <c r="N28" s="6">
        <f t="shared" si="4"/>
        <v>0</v>
      </c>
      <c r="O28" s="6">
        <f t="shared" si="5"/>
        <v>0</v>
      </c>
      <c r="P28" s="6">
        <f t="shared" si="6"/>
        <v>0</v>
      </c>
      <c r="Q28" s="6">
        <f t="shared" si="23"/>
        <v>95.383526400000051</v>
      </c>
      <c r="S28" s="24">
        <f t="shared" si="7"/>
        <v>0.29759999999999992</v>
      </c>
      <c r="T28" s="27">
        <f t="shared" si="8"/>
        <v>15.713279999999996</v>
      </c>
      <c r="U28" s="24">
        <f t="shared" si="9"/>
        <v>0</v>
      </c>
      <c r="V28" s="24">
        <f t="shared" si="10"/>
        <v>0</v>
      </c>
      <c r="W28" s="24">
        <f t="shared" si="11"/>
        <v>0</v>
      </c>
      <c r="X28" s="24">
        <f t="shared" si="12"/>
        <v>0</v>
      </c>
      <c r="Y28" s="24">
        <f t="shared" si="13"/>
        <v>0</v>
      </c>
      <c r="Z28" s="6">
        <f t="shared" si="24"/>
        <v>16.010879999999997</v>
      </c>
      <c r="AB28" s="28">
        <f t="shared" si="14"/>
        <v>-1.9059340741651682E-2</v>
      </c>
      <c r="AC28" s="28">
        <f t="shared" si="15"/>
        <v>-1.0063331911592086</v>
      </c>
      <c r="AD28" s="28">
        <f t="shared" si="16"/>
        <v>0</v>
      </c>
      <c r="AE28" s="28">
        <f t="shared" si="17"/>
        <v>0</v>
      </c>
      <c r="AF28" s="28">
        <f t="shared" si="18"/>
        <v>0</v>
      </c>
      <c r="AG28" s="28">
        <f t="shared" si="19"/>
        <v>0</v>
      </c>
      <c r="AH28" s="28">
        <f t="shared" si="20"/>
        <v>0</v>
      </c>
      <c r="AI28" s="28">
        <f t="shared" si="25"/>
        <v>-1.0253925319008603</v>
      </c>
      <c r="AK28" s="1">
        <f t="shared" si="26"/>
        <v>138.4</v>
      </c>
      <c r="AL28" s="24">
        <f t="shared" si="21"/>
        <v>77.400000000000006</v>
      </c>
    </row>
    <row r="29" spans="1:38" x14ac:dyDescent="0.2">
      <c r="G29" s="26">
        <v>20</v>
      </c>
      <c r="H29" s="1">
        <f t="shared" si="22"/>
        <v>4.8000000000000025</v>
      </c>
      <c r="I29" s="2"/>
      <c r="J29" s="24">
        <f t="shared" si="0"/>
        <v>1.8432000000000006</v>
      </c>
      <c r="K29" s="24">
        <f t="shared" si="1"/>
        <v>97.320960000000042</v>
      </c>
      <c r="L29" s="6">
        <f t="shared" si="2"/>
        <v>0</v>
      </c>
      <c r="M29" s="6">
        <f t="shared" si="3"/>
        <v>0</v>
      </c>
      <c r="N29" s="6">
        <f t="shared" si="4"/>
        <v>0</v>
      </c>
      <c r="O29" s="6">
        <f t="shared" si="5"/>
        <v>0</v>
      </c>
      <c r="P29" s="6">
        <f t="shared" si="6"/>
        <v>0</v>
      </c>
      <c r="Q29" s="6">
        <f t="shared" si="23"/>
        <v>99.164160000000038</v>
      </c>
      <c r="S29" s="24">
        <f t="shared" si="7"/>
        <v>0.28799999999999992</v>
      </c>
      <c r="T29" s="27">
        <f t="shared" si="8"/>
        <v>15.206399999999995</v>
      </c>
      <c r="U29" s="24">
        <f t="shared" si="9"/>
        <v>0</v>
      </c>
      <c r="V29" s="24">
        <f t="shared" si="10"/>
        <v>0</v>
      </c>
      <c r="W29" s="24">
        <f t="shared" si="11"/>
        <v>0</v>
      </c>
      <c r="X29" s="24">
        <f t="shared" si="12"/>
        <v>0</v>
      </c>
      <c r="Y29" s="24">
        <f t="shared" si="13"/>
        <v>0</v>
      </c>
      <c r="Z29" s="6">
        <f t="shared" si="24"/>
        <v>15.494399999999995</v>
      </c>
      <c r="AB29" s="28">
        <f t="shared" si="14"/>
        <v>-1.9919528442996753E-2</v>
      </c>
      <c r="AC29" s="28">
        <f t="shared" si="15"/>
        <v>-1.0517511017902283</v>
      </c>
      <c r="AD29" s="28">
        <f t="shared" si="16"/>
        <v>0</v>
      </c>
      <c r="AE29" s="28">
        <f t="shared" si="17"/>
        <v>0</v>
      </c>
      <c r="AF29" s="28">
        <f t="shared" si="18"/>
        <v>0</v>
      </c>
      <c r="AG29" s="28">
        <f t="shared" si="19"/>
        <v>0</v>
      </c>
      <c r="AH29" s="28">
        <f t="shared" si="20"/>
        <v>0</v>
      </c>
      <c r="AI29" s="28">
        <f t="shared" si="25"/>
        <v>-1.0716706302332251</v>
      </c>
      <c r="AK29" s="1">
        <f t="shared" si="26"/>
        <v>138.4</v>
      </c>
      <c r="AL29" s="24">
        <f t="shared" si="21"/>
        <v>77.400000000000006</v>
      </c>
    </row>
    <row r="30" spans="1:38" ht="14.25" x14ac:dyDescent="0.25">
      <c r="A30" s="5" t="s">
        <v>1895</v>
      </c>
      <c r="B30" s="2" t="s">
        <v>1039</v>
      </c>
      <c r="C30" s="2" t="s">
        <v>419</v>
      </c>
      <c r="D30" s="8"/>
      <c r="G30" s="26">
        <v>21</v>
      </c>
      <c r="H30" s="1">
        <f t="shared" si="22"/>
        <v>5.0400000000000027</v>
      </c>
      <c r="I30" s="2"/>
      <c r="J30" s="24">
        <f t="shared" si="0"/>
        <v>1.9111680000000009</v>
      </c>
      <c r="K30" s="24">
        <f t="shared" si="1"/>
        <v>100.90967040000005</v>
      </c>
      <c r="L30" s="6">
        <f t="shared" si="2"/>
        <v>0</v>
      </c>
      <c r="M30" s="6">
        <f t="shared" si="3"/>
        <v>0</v>
      </c>
      <c r="N30" s="6">
        <f t="shared" si="4"/>
        <v>0</v>
      </c>
      <c r="O30" s="6">
        <f t="shared" si="5"/>
        <v>0</v>
      </c>
      <c r="P30" s="6">
        <f t="shared" si="6"/>
        <v>0</v>
      </c>
      <c r="Q30" s="6">
        <f t="shared" si="23"/>
        <v>102.82083840000006</v>
      </c>
      <c r="S30" s="24">
        <f t="shared" si="7"/>
        <v>0.27839999999999993</v>
      </c>
      <c r="T30" s="27">
        <f t="shared" si="8"/>
        <v>14.699519999999994</v>
      </c>
      <c r="U30" s="24">
        <f t="shared" si="9"/>
        <v>0</v>
      </c>
      <c r="V30" s="24">
        <f t="shared" si="10"/>
        <v>0</v>
      </c>
      <c r="W30" s="24">
        <f t="shared" si="11"/>
        <v>0</v>
      </c>
      <c r="X30" s="24">
        <f t="shared" si="12"/>
        <v>0</v>
      </c>
      <c r="Y30" s="24">
        <f t="shared" si="13"/>
        <v>0</v>
      </c>
      <c r="Z30" s="6">
        <f t="shared" si="24"/>
        <v>14.977919999999994</v>
      </c>
      <c r="AB30" s="28">
        <f t="shared" si="14"/>
        <v>-2.0759111882108605E-2</v>
      </c>
      <c r="AC30" s="28">
        <f t="shared" si="15"/>
        <v>-1.0960811073753343</v>
      </c>
      <c r="AD30" s="28">
        <f t="shared" si="16"/>
        <v>0</v>
      </c>
      <c r="AE30" s="28">
        <f t="shared" si="17"/>
        <v>0</v>
      </c>
      <c r="AF30" s="28">
        <f t="shared" si="18"/>
        <v>0</v>
      </c>
      <c r="AG30" s="28">
        <f t="shared" si="19"/>
        <v>0</v>
      </c>
      <c r="AH30" s="28">
        <f t="shared" si="20"/>
        <v>0</v>
      </c>
      <c r="AI30" s="28">
        <f t="shared" si="25"/>
        <v>-1.1168402192574429</v>
      </c>
      <c r="AK30" s="1">
        <f t="shared" si="26"/>
        <v>138.4</v>
      </c>
      <c r="AL30" s="24">
        <f t="shared" si="21"/>
        <v>77.400000000000006</v>
      </c>
    </row>
    <row r="31" spans="1:38" ht="14.25" x14ac:dyDescent="0.25">
      <c r="A31" s="5" t="s">
        <v>1900</v>
      </c>
      <c r="B31" s="2" t="s">
        <v>1040</v>
      </c>
      <c r="C31" s="2" t="s">
        <v>403</v>
      </c>
      <c r="D31" s="8"/>
      <c r="G31" s="26">
        <v>22</v>
      </c>
      <c r="H31" s="1">
        <f t="shared" si="22"/>
        <v>5.2800000000000029</v>
      </c>
      <c r="I31" s="2"/>
      <c r="J31" s="24">
        <f t="shared" si="0"/>
        <v>1.9768320000000008</v>
      </c>
      <c r="K31" s="24">
        <f t="shared" si="1"/>
        <v>104.37672960000006</v>
      </c>
      <c r="L31" s="6">
        <f t="shared" si="2"/>
        <v>0</v>
      </c>
      <c r="M31" s="6">
        <f t="shared" si="3"/>
        <v>0</v>
      </c>
      <c r="N31" s="6">
        <f t="shared" si="4"/>
        <v>0</v>
      </c>
      <c r="O31" s="6">
        <f t="shared" si="5"/>
        <v>0</v>
      </c>
      <c r="P31" s="6">
        <f t="shared" si="6"/>
        <v>0</v>
      </c>
      <c r="Q31" s="6">
        <f t="shared" si="23"/>
        <v>106.35356160000006</v>
      </c>
      <c r="S31" s="24">
        <f t="shared" si="7"/>
        <v>0.26879999999999987</v>
      </c>
      <c r="T31" s="27">
        <f t="shared" si="8"/>
        <v>14.192639999999994</v>
      </c>
      <c r="U31" s="24">
        <f t="shared" si="9"/>
        <v>0</v>
      </c>
      <c r="V31" s="24">
        <f t="shared" si="10"/>
        <v>0</v>
      </c>
      <c r="W31" s="24">
        <f t="shared" si="11"/>
        <v>0</v>
      </c>
      <c r="X31" s="24">
        <f t="shared" si="12"/>
        <v>0</v>
      </c>
      <c r="Y31" s="24">
        <f t="shared" si="13"/>
        <v>0</v>
      </c>
      <c r="Z31" s="6">
        <f t="shared" si="24"/>
        <v>14.461439999999994</v>
      </c>
      <c r="AB31" s="28">
        <f t="shared" si="14"/>
        <v>-2.157733119766516E-2</v>
      </c>
      <c r="AC31" s="28">
        <f t="shared" si="15"/>
        <v>-1.1392830872367203</v>
      </c>
      <c r="AD31" s="28">
        <f t="shared" si="16"/>
        <v>0</v>
      </c>
      <c r="AE31" s="28">
        <f t="shared" si="17"/>
        <v>0</v>
      </c>
      <c r="AF31" s="28">
        <f t="shared" si="18"/>
        <v>0</v>
      </c>
      <c r="AG31" s="28">
        <f t="shared" si="19"/>
        <v>0</v>
      </c>
      <c r="AH31" s="28">
        <f t="shared" si="20"/>
        <v>0</v>
      </c>
      <c r="AI31" s="28">
        <f t="shared" si="25"/>
        <v>-1.1608604184343856</v>
      </c>
      <c r="AK31" s="1">
        <f t="shared" si="26"/>
        <v>138.4</v>
      </c>
      <c r="AL31" s="24">
        <f t="shared" si="21"/>
        <v>77.400000000000006</v>
      </c>
    </row>
    <row r="32" spans="1:38" x14ac:dyDescent="0.2">
      <c r="G32" s="26">
        <v>23</v>
      </c>
      <c r="H32" s="1">
        <f t="shared" si="22"/>
        <v>5.5200000000000031</v>
      </c>
      <c r="I32" s="2"/>
      <c r="J32" s="24">
        <f t="shared" si="0"/>
        <v>2.0401920000000011</v>
      </c>
      <c r="K32" s="24">
        <f t="shared" si="1"/>
        <v>107.72213760000004</v>
      </c>
      <c r="L32" s="6">
        <f t="shared" si="2"/>
        <v>0</v>
      </c>
      <c r="M32" s="6">
        <f t="shared" si="3"/>
        <v>0</v>
      </c>
      <c r="N32" s="6">
        <f t="shared" si="4"/>
        <v>0</v>
      </c>
      <c r="O32" s="6">
        <f t="shared" si="5"/>
        <v>0</v>
      </c>
      <c r="P32" s="6">
        <f t="shared" si="6"/>
        <v>0</v>
      </c>
      <c r="Q32" s="6">
        <f t="shared" si="23"/>
        <v>109.76232960000004</v>
      </c>
      <c r="S32" s="24">
        <f t="shared" si="7"/>
        <v>0.25919999999999987</v>
      </c>
      <c r="T32" s="27">
        <f t="shared" si="8"/>
        <v>13.685759999999995</v>
      </c>
      <c r="U32" s="24">
        <f t="shared" si="9"/>
        <v>0</v>
      </c>
      <c r="V32" s="24">
        <f t="shared" si="10"/>
        <v>0</v>
      </c>
      <c r="W32" s="24">
        <f t="shared" si="11"/>
        <v>0</v>
      </c>
      <c r="X32" s="24">
        <f t="shared" si="12"/>
        <v>0</v>
      </c>
      <c r="Y32" s="24">
        <f t="shared" si="13"/>
        <v>0</v>
      </c>
      <c r="Z32" s="6">
        <f t="shared" si="24"/>
        <v>13.944959999999995</v>
      </c>
      <c r="AB32" s="28">
        <f t="shared" si="14"/>
        <v>-2.2373452286355261E-2</v>
      </c>
      <c r="AC32" s="28">
        <f t="shared" si="15"/>
        <v>-1.1813182807195579</v>
      </c>
      <c r="AD32" s="28">
        <f t="shared" si="16"/>
        <v>0</v>
      </c>
      <c r="AE32" s="28">
        <f t="shared" si="17"/>
        <v>0</v>
      </c>
      <c r="AF32" s="28">
        <f t="shared" si="18"/>
        <v>0</v>
      </c>
      <c r="AG32" s="28">
        <f t="shared" si="19"/>
        <v>0</v>
      </c>
      <c r="AH32" s="28">
        <f t="shared" si="20"/>
        <v>0</v>
      </c>
      <c r="AI32" s="28">
        <f t="shared" si="25"/>
        <v>-1.2036917330059131</v>
      </c>
      <c r="AK32" s="1">
        <f t="shared" si="26"/>
        <v>138.4</v>
      </c>
      <c r="AL32" s="24">
        <f t="shared" si="21"/>
        <v>77.400000000000006</v>
      </c>
    </row>
    <row r="33" spans="1:38" ht="14.25" x14ac:dyDescent="0.25">
      <c r="A33" s="5" t="s">
        <v>1896</v>
      </c>
      <c r="B33" s="2" t="s">
        <v>1041</v>
      </c>
      <c r="C33" s="2" t="s">
        <v>419</v>
      </c>
      <c r="D33" s="8"/>
      <c r="G33" s="26">
        <v>24</v>
      </c>
      <c r="H33" s="1">
        <f t="shared" si="22"/>
        <v>5.7600000000000033</v>
      </c>
      <c r="I33" s="2"/>
      <c r="J33" s="24">
        <f t="shared" si="0"/>
        <v>2.1012480000000004</v>
      </c>
      <c r="K33" s="24">
        <f t="shared" si="1"/>
        <v>110.94589440000003</v>
      </c>
      <c r="L33" s="6">
        <f t="shared" si="2"/>
        <v>0</v>
      </c>
      <c r="M33" s="6">
        <f t="shared" si="3"/>
        <v>0</v>
      </c>
      <c r="N33" s="6">
        <f t="shared" si="4"/>
        <v>0</v>
      </c>
      <c r="O33" s="6">
        <f t="shared" si="5"/>
        <v>0</v>
      </c>
      <c r="P33" s="6">
        <f t="shared" si="6"/>
        <v>0</v>
      </c>
      <c r="Q33" s="6">
        <f t="shared" si="23"/>
        <v>113.04714240000003</v>
      </c>
      <c r="S33" s="24">
        <f t="shared" si="7"/>
        <v>0.24959999999999988</v>
      </c>
      <c r="T33" s="27">
        <f t="shared" si="8"/>
        <v>13.178879999999994</v>
      </c>
      <c r="U33" s="24">
        <f t="shared" si="9"/>
        <v>0</v>
      </c>
      <c r="V33" s="24">
        <f t="shared" si="10"/>
        <v>0</v>
      </c>
      <c r="W33" s="24">
        <f t="shared" si="11"/>
        <v>0</v>
      </c>
      <c r="X33" s="24">
        <f t="shared" si="12"/>
        <v>0</v>
      </c>
      <c r="Y33" s="24">
        <f t="shared" si="13"/>
        <v>0</v>
      </c>
      <c r="Z33" s="6">
        <f t="shared" si="24"/>
        <v>13.428479999999993</v>
      </c>
      <c r="AB33" s="28">
        <f t="shared" si="14"/>
        <v>-2.3146766802878679E-2</v>
      </c>
      <c r="AC33" s="28">
        <f t="shared" si="15"/>
        <v>-1.2221492871919943</v>
      </c>
      <c r="AD33" s="28">
        <f t="shared" si="16"/>
        <v>0</v>
      </c>
      <c r="AE33" s="28">
        <f t="shared" si="17"/>
        <v>0</v>
      </c>
      <c r="AF33" s="28">
        <f t="shared" si="18"/>
        <v>0</v>
      </c>
      <c r="AG33" s="28">
        <f t="shared" si="19"/>
        <v>0</v>
      </c>
      <c r="AH33" s="28">
        <f t="shared" si="20"/>
        <v>0</v>
      </c>
      <c r="AI33" s="28">
        <f t="shared" si="25"/>
        <v>-1.245296053994873</v>
      </c>
      <c r="AK33" s="1">
        <f t="shared" si="26"/>
        <v>138.4</v>
      </c>
      <c r="AL33" s="24">
        <f t="shared" si="21"/>
        <v>77.400000000000006</v>
      </c>
    </row>
    <row r="34" spans="1:38" ht="14.25" x14ac:dyDescent="0.25">
      <c r="A34" s="5" t="s">
        <v>1899</v>
      </c>
      <c r="B34" s="2" t="s">
        <v>1042</v>
      </c>
      <c r="C34" s="2" t="s">
        <v>403</v>
      </c>
      <c r="D34" s="8"/>
      <c r="G34" s="26">
        <v>25</v>
      </c>
      <c r="H34" s="1">
        <f t="shared" si="22"/>
        <v>6.0000000000000036</v>
      </c>
      <c r="I34" s="2"/>
      <c r="J34" s="24">
        <f t="shared" si="0"/>
        <v>2.160000000000001</v>
      </c>
      <c r="K34" s="24">
        <f t="shared" si="1"/>
        <v>114.04800000000004</v>
      </c>
      <c r="L34" s="6">
        <f t="shared" si="2"/>
        <v>0</v>
      </c>
      <c r="M34" s="6">
        <f t="shared" si="3"/>
        <v>0</v>
      </c>
      <c r="N34" s="6">
        <f t="shared" si="4"/>
        <v>0</v>
      </c>
      <c r="O34" s="6">
        <f t="shared" si="5"/>
        <v>0</v>
      </c>
      <c r="P34" s="6">
        <f t="shared" si="6"/>
        <v>0</v>
      </c>
      <c r="Q34" s="6">
        <f t="shared" si="23"/>
        <v>116.20800000000004</v>
      </c>
      <c r="S34" s="24">
        <f t="shared" si="7"/>
        <v>0.23999999999999985</v>
      </c>
      <c r="T34" s="27">
        <f t="shared" si="8"/>
        <v>12.671999999999993</v>
      </c>
      <c r="U34" s="24">
        <f t="shared" si="9"/>
        <v>0</v>
      </c>
      <c r="V34" s="24">
        <f t="shared" si="10"/>
        <v>0</v>
      </c>
      <c r="W34" s="24">
        <f t="shared" si="11"/>
        <v>0</v>
      </c>
      <c r="X34" s="24">
        <f t="shared" si="12"/>
        <v>0</v>
      </c>
      <c r="Y34" s="24">
        <f t="shared" si="13"/>
        <v>0</v>
      </c>
      <c r="Z34" s="6">
        <f t="shared" si="24"/>
        <v>12.911999999999994</v>
      </c>
      <c r="AB34" s="28">
        <f t="shared" si="14"/>
        <v>-2.3896592159946096E-2</v>
      </c>
      <c r="AC34" s="28">
        <f t="shared" si="15"/>
        <v>-1.2617400660451539</v>
      </c>
      <c r="AD34" s="28">
        <f t="shared" si="16"/>
        <v>0</v>
      </c>
      <c r="AE34" s="28">
        <f t="shared" si="17"/>
        <v>0</v>
      </c>
      <c r="AF34" s="28">
        <f t="shared" si="18"/>
        <v>0</v>
      </c>
      <c r="AG34" s="28">
        <f t="shared" si="19"/>
        <v>0</v>
      </c>
      <c r="AH34" s="28">
        <f t="shared" si="20"/>
        <v>0</v>
      </c>
      <c r="AI34" s="28">
        <f t="shared" si="25"/>
        <v>-1.2856366582051</v>
      </c>
      <c r="AK34" s="1">
        <f t="shared" si="26"/>
        <v>138.4</v>
      </c>
      <c r="AL34" s="24">
        <f t="shared" si="21"/>
        <v>77.400000000000006</v>
      </c>
    </row>
    <row r="35" spans="1:38" x14ac:dyDescent="0.2">
      <c r="G35" s="26">
        <v>26</v>
      </c>
      <c r="H35" s="1">
        <f t="shared" si="22"/>
        <v>6.2400000000000038</v>
      </c>
      <c r="I35" s="2"/>
      <c r="J35" s="24">
        <f t="shared" si="0"/>
        <v>2.2164480000000011</v>
      </c>
      <c r="K35" s="24">
        <f t="shared" si="1"/>
        <v>117.02845440000006</v>
      </c>
      <c r="L35" s="6">
        <f t="shared" si="2"/>
        <v>0</v>
      </c>
      <c r="M35" s="6">
        <f t="shared" si="3"/>
        <v>0</v>
      </c>
      <c r="N35" s="6">
        <f t="shared" si="4"/>
        <v>0</v>
      </c>
      <c r="O35" s="6">
        <f t="shared" si="5"/>
        <v>0</v>
      </c>
      <c r="P35" s="6">
        <f t="shared" si="6"/>
        <v>0</v>
      </c>
      <c r="Q35" s="6">
        <f t="shared" si="23"/>
        <v>119.24490240000006</v>
      </c>
      <c r="S35" s="24">
        <f t="shared" si="7"/>
        <v>0.23039999999999985</v>
      </c>
      <c r="T35" s="27">
        <f t="shared" si="8"/>
        <v>12.165119999999993</v>
      </c>
      <c r="U35" s="24">
        <f t="shared" si="9"/>
        <v>0</v>
      </c>
      <c r="V35" s="24">
        <f t="shared" si="10"/>
        <v>0</v>
      </c>
      <c r="W35" s="24">
        <f t="shared" si="11"/>
        <v>0</v>
      </c>
      <c r="X35" s="24">
        <f t="shared" si="12"/>
        <v>0</v>
      </c>
      <c r="Y35" s="24">
        <f t="shared" si="13"/>
        <v>0</v>
      </c>
      <c r="Z35" s="6">
        <f t="shared" si="24"/>
        <v>12.395519999999992</v>
      </c>
      <c r="AB35" s="28">
        <f t="shared" si="14"/>
        <v>-2.4622271528279109E-2</v>
      </c>
      <c r="AC35" s="28">
        <f t="shared" si="15"/>
        <v>-1.3000559366931368</v>
      </c>
      <c r="AD35" s="28">
        <f t="shared" si="16"/>
        <v>0</v>
      </c>
      <c r="AE35" s="28">
        <f t="shared" si="17"/>
        <v>0</v>
      </c>
      <c r="AF35" s="28">
        <f t="shared" si="18"/>
        <v>0</v>
      </c>
      <c r="AG35" s="28">
        <f t="shared" si="19"/>
        <v>0</v>
      </c>
      <c r="AH35" s="28">
        <f t="shared" si="20"/>
        <v>0</v>
      </c>
      <c r="AI35" s="28">
        <f t="shared" si="25"/>
        <v>-1.3246782082214159</v>
      </c>
      <c r="AK35" s="1">
        <f t="shared" si="26"/>
        <v>138.4</v>
      </c>
      <c r="AL35" s="24">
        <f t="shared" si="21"/>
        <v>77.400000000000006</v>
      </c>
    </row>
    <row r="36" spans="1:38" ht="14.25" x14ac:dyDescent="0.25">
      <c r="A36" s="5" t="s">
        <v>1897</v>
      </c>
      <c r="B36" s="2" t="s">
        <v>1043</v>
      </c>
      <c r="C36" s="2" t="s">
        <v>419</v>
      </c>
      <c r="D36" s="8"/>
      <c r="G36" s="26">
        <v>27</v>
      </c>
      <c r="H36" s="1">
        <f t="shared" si="22"/>
        <v>6.480000000000004</v>
      </c>
      <c r="I36" s="2"/>
      <c r="J36" s="24">
        <f t="shared" si="0"/>
        <v>2.2705920000000006</v>
      </c>
      <c r="K36" s="24">
        <f t="shared" si="1"/>
        <v>119.88725760000005</v>
      </c>
      <c r="L36" s="6">
        <f t="shared" si="2"/>
        <v>0</v>
      </c>
      <c r="M36" s="6">
        <f t="shared" si="3"/>
        <v>0</v>
      </c>
      <c r="N36" s="6">
        <f t="shared" si="4"/>
        <v>0</v>
      </c>
      <c r="O36" s="6">
        <f t="shared" si="5"/>
        <v>0</v>
      </c>
      <c r="P36" s="6">
        <f t="shared" si="6"/>
        <v>0</v>
      </c>
      <c r="Q36" s="6">
        <f t="shared" si="23"/>
        <v>122.15784960000005</v>
      </c>
      <c r="S36" s="24">
        <f t="shared" si="7"/>
        <v>0.22079999999999986</v>
      </c>
      <c r="T36" s="27">
        <f t="shared" si="8"/>
        <v>11.658239999999992</v>
      </c>
      <c r="U36" s="24">
        <f t="shared" si="9"/>
        <v>0</v>
      </c>
      <c r="V36" s="24">
        <f t="shared" si="10"/>
        <v>0</v>
      </c>
      <c r="W36" s="24">
        <f t="shared" si="11"/>
        <v>0</v>
      </c>
      <c r="X36" s="24">
        <f t="shared" si="12"/>
        <v>0</v>
      </c>
      <c r="Y36" s="24">
        <f t="shared" si="13"/>
        <v>0</v>
      </c>
      <c r="Z36" s="6">
        <f t="shared" si="24"/>
        <v>11.879039999999993</v>
      </c>
      <c r="AB36" s="28">
        <f t="shared" si="14"/>
        <v>-2.532317383661023E-2</v>
      </c>
      <c r="AC36" s="28">
        <f t="shared" si="15"/>
        <v>-1.3370635785730203</v>
      </c>
      <c r="AD36" s="28">
        <f t="shared" si="16"/>
        <v>0</v>
      </c>
      <c r="AE36" s="28">
        <f t="shared" si="17"/>
        <v>0</v>
      </c>
      <c r="AF36" s="28">
        <f t="shared" si="18"/>
        <v>0</v>
      </c>
      <c r="AG36" s="28">
        <f t="shared" si="19"/>
        <v>0</v>
      </c>
      <c r="AH36" s="28">
        <f t="shared" si="20"/>
        <v>0</v>
      </c>
      <c r="AI36" s="28">
        <f t="shared" si="25"/>
        <v>-1.3623867524096305</v>
      </c>
      <c r="AK36" s="1">
        <f t="shared" si="26"/>
        <v>138.4</v>
      </c>
      <c r="AL36" s="24">
        <f t="shared" si="21"/>
        <v>77.400000000000006</v>
      </c>
    </row>
    <row r="37" spans="1:38" ht="14.25" x14ac:dyDescent="0.25">
      <c r="A37" s="5" t="s">
        <v>1898</v>
      </c>
      <c r="B37" s="2" t="s">
        <v>1044</v>
      </c>
      <c r="C37" s="2" t="s">
        <v>403</v>
      </c>
      <c r="D37" s="8"/>
      <c r="G37" s="26">
        <v>28</v>
      </c>
      <c r="H37" s="1">
        <f t="shared" si="22"/>
        <v>6.7200000000000042</v>
      </c>
      <c r="I37" s="2"/>
      <c r="J37" s="24">
        <f t="shared" si="0"/>
        <v>2.3224320000000005</v>
      </c>
      <c r="K37" s="24">
        <f t="shared" si="1"/>
        <v>122.62440960000004</v>
      </c>
      <c r="L37" s="6">
        <f t="shared" si="2"/>
        <v>0</v>
      </c>
      <c r="M37" s="6">
        <f t="shared" si="3"/>
        <v>0</v>
      </c>
      <c r="N37" s="6">
        <f t="shared" si="4"/>
        <v>0</v>
      </c>
      <c r="O37" s="6">
        <f t="shared" si="5"/>
        <v>0</v>
      </c>
      <c r="P37" s="6">
        <f t="shared" si="6"/>
        <v>0</v>
      </c>
      <c r="Q37" s="6">
        <f t="shared" si="23"/>
        <v>124.94684160000004</v>
      </c>
      <c r="S37" s="24">
        <f t="shared" si="7"/>
        <v>0.21119999999999983</v>
      </c>
      <c r="T37" s="27">
        <f t="shared" si="8"/>
        <v>11.151359999999992</v>
      </c>
      <c r="U37" s="24">
        <f t="shared" si="9"/>
        <v>0</v>
      </c>
      <c r="V37" s="24">
        <f t="shared" si="10"/>
        <v>0</v>
      </c>
      <c r="W37" s="24">
        <f t="shared" si="11"/>
        <v>0</v>
      </c>
      <c r="X37" s="24">
        <f t="shared" si="12"/>
        <v>0</v>
      </c>
      <c r="Y37" s="24">
        <f t="shared" si="13"/>
        <v>0</v>
      </c>
      <c r="Z37" s="6">
        <f t="shared" si="24"/>
        <v>11.362559999999991</v>
      </c>
      <c r="AB37" s="28">
        <f t="shared" si="14"/>
        <v>-2.5998693771682905E-2</v>
      </c>
      <c r="AC37" s="28">
        <f t="shared" si="15"/>
        <v>-1.3727310311448573</v>
      </c>
      <c r="AD37" s="28">
        <f t="shared" si="16"/>
        <v>0</v>
      </c>
      <c r="AE37" s="28">
        <f t="shared" si="17"/>
        <v>0</v>
      </c>
      <c r="AF37" s="28">
        <f t="shared" si="18"/>
        <v>0</v>
      </c>
      <c r="AG37" s="28">
        <f t="shared" si="19"/>
        <v>0</v>
      </c>
      <c r="AH37" s="28">
        <f t="shared" si="20"/>
        <v>0</v>
      </c>
      <c r="AI37" s="28">
        <f t="shared" si="25"/>
        <v>-1.3987297249165402</v>
      </c>
      <c r="AK37" s="1">
        <f t="shared" si="26"/>
        <v>138.4</v>
      </c>
      <c r="AL37" s="24">
        <f t="shared" si="21"/>
        <v>77.400000000000006</v>
      </c>
    </row>
    <row r="38" spans="1:38" x14ac:dyDescent="0.2">
      <c r="G38" s="26">
        <v>29</v>
      </c>
      <c r="H38" s="1">
        <f t="shared" si="22"/>
        <v>6.9600000000000044</v>
      </c>
      <c r="I38" s="2"/>
      <c r="J38" s="24">
        <f t="shared" si="0"/>
        <v>2.3719680000000012</v>
      </c>
      <c r="K38" s="24">
        <f t="shared" si="1"/>
        <v>125.23991040000006</v>
      </c>
      <c r="L38" s="6">
        <f t="shared" si="2"/>
        <v>0</v>
      </c>
      <c r="M38" s="6">
        <f t="shared" si="3"/>
        <v>0</v>
      </c>
      <c r="N38" s="6">
        <f t="shared" si="4"/>
        <v>0</v>
      </c>
      <c r="O38" s="6">
        <f t="shared" si="5"/>
        <v>0</v>
      </c>
      <c r="P38" s="6">
        <f t="shared" si="6"/>
        <v>0</v>
      </c>
      <c r="Q38" s="6">
        <f t="shared" si="23"/>
        <v>127.61187840000005</v>
      </c>
      <c r="S38" s="24">
        <f t="shared" si="7"/>
        <v>0.20159999999999983</v>
      </c>
      <c r="T38" s="27">
        <f t="shared" si="8"/>
        <v>10.644479999999991</v>
      </c>
      <c r="U38" s="24">
        <f t="shared" si="9"/>
        <v>0</v>
      </c>
      <c r="V38" s="24">
        <f t="shared" si="10"/>
        <v>0</v>
      </c>
      <c r="W38" s="24">
        <f t="shared" si="11"/>
        <v>0</v>
      </c>
      <c r="X38" s="24">
        <f t="shared" si="12"/>
        <v>0</v>
      </c>
      <c r="Y38" s="24">
        <f t="shared" si="13"/>
        <v>0</v>
      </c>
      <c r="Z38" s="6">
        <f t="shared" si="24"/>
        <v>10.84607999999999</v>
      </c>
      <c r="AB38" s="28">
        <f t="shared" si="14"/>
        <v>-2.6648251778251475E-2</v>
      </c>
      <c r="AC38" s="28">
        <f t="shared" si="15"/>
        <v>-1.4070276938916777</v>
      </c>
      <c r="AD38" s="28">
        <f t="shared" si="16"/>
        <v>0</v>
      </c>
      <c r="AE38" s="28">
        <f t="shared" si="17"/>
        <v>0</v>
      </c>
      <c r="AF38" s="28">
        <f t="shared" si="18"/>
        <v>0</v>
      </c>
      <c r="AG38" s="28">
        <f t="shared" si="19"/>
        <v>0</v>
      </c>
      <c r="AH38" s="28">
        <f t="shared" si="20"/>
        <v>0</v>
      </c>
      <c r="AI38" s="28">
        <f t="shared" si="25"/>
        <v>-1.4336759456699291</v>
      </c>
      <c r="AK38" s="1">
        <f t="shared" si="26"/>
        <v>138.4</v>
      </c>
      <c r="AL38" s="24">
        <f t="shared" si="21"/>
        <v>77.400000000000006</v>
      </c>
    </row>
    <row r="39" spans="1:38" x14ac:dyDescent="0.2">
      <c r="A39" s="31" t="s">
        <v>1943</v>
      </c>
      <c r="G39" s="26">
        <v>30</v>
      </c>
      <c r="H39" s="1">
        <f t="shared" si="22"/>
        <v>7.2000000000000046</v>
      </c>
      <c r="I39" s="2"/>
      <c r="J39" s="24">
        <f t="shared" si="0"/>
        <v>2.4192000000000013</v>
      </c>
      <c r="K39" s="24">
        <f t="shared" si="1"/>
        <v>127.73376000000007</v>
      </c>
      <c r="L39" s="6">
        <f t="shared" si="2"/>
        <v>0</v>
      </c>
      <c r="M39" s="6">
        <f t="shared" si="3"/>
        <v>0</v>
      </c>
      <c r="N39" s="6">
        <f t="shared" si="4"/>
        <v>0</v>
      </c>
      <c r="O39" s="6">
        <f t="shared" si="5"/>
        <v>0</v>
      </c>
      <c r="P39" s="6">
        <f t="shared" si="6"/>
        <v>0</v>
      </c>
      <c r="Q39" s="6">
        <f t="shared" si="23"/>
        <v>130.15296000000006</v>
      </c>
      <c r="S39" s="24">
        <f t="shared" si="7"/>
        <v>0.19199999999999981</v>
      </c>
      <c r="T39" s="27">
        <f t="shared" si="8"/>
        <v>10.13759999999999</v>
      </c>
      <c r="U39" s="24">
        <f t="shared" si="9"/>
        <v>0</v>
      </c>
      <c r="V39" s="24">
        <f t="shared" si="10"/>
        <v>0</v>
      </c>
      <c r="W39" s="24">
        <f t="shared" si="11"/>
        <v>0</v>
      </c>
      <c r="X39" s="24">
        <f t="shared" si="12"/>
        <v>0</v>
      </c>
      <c r="Y39" s="24">
        <f t="shared" si="13"/>
        <v>0</v>
      </c>
      <c r="Z39" s="6">
        <f t="shared" si="24"/>
        <v>10.32959999999999</v>
      </c>
      <c r="AB39" s="28">
        <f t="shared" si="14"/>
        <v>-2.7271294059081224E-2</v>
      </c>
      <c r="AC39" s="28">
        <f t="shared" si="15"/>
        <v>-1.4399243263194883</v>
      </c>
      <c r="AD39" s="28">
        <f t="shared" si="16"/>
        <v>0</v>
      </c>
      <c r="AE39" s="28">
        <f t="shared" si="17"/>
        <v>0</v>
      </c>
      <c r="AF39" s="28">
        <f t="shared" si="18"/>
        <v>0</v>
      </c>
      <c r="AG39" s="28">
        <f t="shared" si="19"/>
        <v>0</v>
      </c>
      <c r="AH39" s="28">
        <f t="shared" si="20"/>
        <v>0</v>
      </c>
      <c r="AI39" s="28">
        <f t="shared" si="25"/>
        <v>-1.4671956203785694</v>
      </c>
      <c r="AK39" s="1">
        <f t="shared" si="26"/>
        <v>138.4</v>
      </c>
      <c r="AL39" s="24">
        <f t="shared" si="21"/>
        <v>77.400000000000006</v>
      </c>
    </row>
    <row r="40" spans="1:38" ht="14.25" x14ac:dyDescent="0.25">
      <c r="A40" s="5" t="s">
        <v>1127</v>
      </c>
      <c r="B40" s="2" t="s">
        <v>1137</v>
      </c>
      <c r="C40" s="2" t="s">
        <v>419</v>
      </c>
      <c r="D40" s="36">
        <f>MAX(Z9:Z109)</f>
        <v>25.824000000000002</v>
      </c>
      <c r="G40" s="26">
        <v>31</v>
      </c>
      <c r="H40" s="1">
        <f t="shared" si="22"/>
        <v>7.4400000000000048</v>
      </c>
      <c r="I40" s="2"/>
      <c r="J40" s="24">
        <f t="shared" si="0"/>
        <v>2.464128000000001</v>
      </c>
      <c r="K40" s="24">
        <f t="shared" si="1"/>
        <v>130.10595840000005</v>
      </c>
      <c r="L40" s="6">
        <f t="shared" si="2"/>
        <v>0</v>
      </c>
      <c r="M40" s="6">
        <f t="shared" si="3"/>
        <v>0</v>
      </c>
      <c r="N40" s="6">
        <f t="shared" si="4"/>
        <v>0</v>
      </c>
      <c r="O40" s="6">
        <f t="shared" si="5"/>
        <v>0</v>
      </c>
      <c r="P40" s="6">
        <f t="shared" si="6"/>
        <v>0</v>
      </c>
      <c r="Q40" s="6">
        <f t="shared" si="23"/>
        <v>132.57008640000004</v>
      </c>
      <c r="S40" s="24">
        <f t="shared" si="7"/>
        <v>0.18239999999999981</v>
      </c>
      <c r="T40" s="27">
        <f t="shared" si="8"/>
        <v>9.6307199999999895</v>
      </c>
      <c r="U40" s="24">
        <f t="shared" si="9"/>
        <v>0</v>
      </c>
      <c r="V40" s="24">
        <f t="shared" si="10"/>
        <v>0</v>
      </c>
      <c r="W40" s="24">
        <f t="shared" si="11"/>
        <v>0</v>
      </c>
      <c r="X40" s="24">
        <f t="shared" si="12"/>
        <v>0</v>
      </c>
      <c r="Y40" s="24">
        <f t="shared" si="13"/>
        <v>0</v>
      </c>
      <c r="Z40" s="6">
        <f t="shared" si="24"/>
        <v>9.813119999999989</v>
      </c>
      <c r="AB40" s="28">
        <f t="shared" si="14"/>
        <v>-2.7867292574948323E-2</v>
      </c>
      <c r="AC40" s="28">
        <f t="shared" si="15"/>
        <v>-1.4713930479572714</v>
      </c>
      <c r="AD40" s="28">
        <f t="shared" si="16"/>
        <v>0</v>
      </c>
      <c r="AE40" s="28">
        <f t="shared" si="17"/>
        <v>0</v>
      </c>
      <c r="AF40" s="28">
        <f t="shared" si="18"/>
        <v>0</v>
      </c>
      <c r="AG40" s="28">
        <f t="shared" si="19"/>
        <v>0</v>
      </c>
      <c r="AH40" s="28">
        <f t="shared" si="20"/>
        <v>0</v>
      </c>
      <c r="AI40" s="28">
        <f t="shared" si="25"/>
        <v>-1.4992603405322198</v>
      </c>
      <c r="AK40" s="1">
        <f t="shared" si="26"/>
        <v>138.4</v>
      </c>
      <c r="AL40" s="24">
        <f t="shared" si="21"/>
        <v>77.400000000000006</v>
      </c>
    </row>
    <row r="41" spans="1:38" ht="14.25" x14ac:dyDescent="0.25">
      <c r="A41" s="5" t="s">
        <v>1130</v>
      </c>
      <c r="B41" s="2" t="s">
        <v>1136</v>
      </c>
      <c r="C41" s="2" t="s">
        <v>419</v>
      </c>
      <c r="D41" s="36">
        <f>MIN(Z10:Z110)</f>
        <v>-25.823999999999916</v>
      </c>
      <c r="G41" s="26">
        <v>32</v>
      </c>
      <c r="H41" s="1">
        <f t="shared" si="22"/>
        <v>7.680000000000005</v>
      </c>
      <c r="I41" s="2"/>
      <c r="J41" s="24">
        <f t="shared" ref="J41:J72" si="27">0.5*($D$12/1000)*$H41*($D$10-$H41)</f>
        <v>2.5067520000000005</v>
      </c>
      <c r="K41" s="24">
        <f t="shared" ref="K41:K72" si="28">0.5*$D$21*$H41*($D$10-$H41)</f>
        <v>132.35650560000002</v>
      </c>
      <c r="L41" s="6">
        <f t="shared" ref="L41:L72" si="29">IF($H41&lt;=$D$25,($D$24*($D$10-$D$25)*$H41)/$D$10,((($D$24*($D$10-$D$25))/$D$10)*$H41)-($D$24*($H41-$D$25)))</f>
        <v>0</v>
      </c>
      <c r="M41" s="6">
        <f t="shared" ref="M41:M72" si="30">IF($H41&lt;=$D$28,($D$27*($D$10-$D$28)*$H41)/$D$10,((($D$27*($D$10-$D$28))/$D$10)*$H41)-($D$27*($H41-$D$28)))</f>
        <v>0</v>
      </c>
      <c r="N41" s="6">
        <f t="shared" ref="N41:N72" si="31">IF($H41&lt;=$D$31,($D$30*($D$10-$D$31)*$H41)/$D$10,((($D$30*($D$10-$D$31))/$D$10)*$H41)-($D$30*($H41-$D$31)))</f>
        <v>0</v>
      </c>
      <c r="O41" s="6">
        <f t="shared" ref="O41:O72" si="32">IF($H41&lt;=$D$34,($D$33*($D$10-$D$34)*$H41)/$D$10,((($D$33*($D$10-$D$34))/$D$10)*$H41)-($D$33*($H41-$D$34)))</f>
        <v>0</v>
      </c>
      <c r="P41" s="6">
        <f t="shared" ref="P41:P72" si="33">IF($H41&lt;=$D$37,($D$36*($D$10-$D$37)*$H41)/$D$10,((($D$36*($D$10-$D$37))/$D$10)*$H41)-($D$36*($H41-$D$37)))</f>
        <v>0</v>
      </c>
      <c r="Q41" s="6">
        <f t="shared" si="23"/>
        <v>134.86325760000003</v>
      </c>
      <c r="S41" s="24">
        <f t="shared" ref="S41:S72" si="34">($D$12/1000)*(0.5*$D$10-$H41)</f>
        <v>0.17279999999999981</v>
      </c>
      <c r="T41" s="27">
        <f t="shared" ref="T41:T72" si="35">($D$21*(0.5*$D$10-$H41))</f>
        <v>9.1238399999999906</v>
      </c>
      <c r="U41" s="24">
        <f t="shared" ref="U41:U72" si="36">IF($H41&lt;=$D$25,($D$24*($D$10-$D$25))/$D$10,-($D$24*$D$25)/$D$10)</f>
        <v>0</v>
      </c>
      <c r="V41" s="24">
        <f t="shared" ref="V41:V72" si="37">IF($H41&lt;=$D$28,($D$27*($D$10-$D$28))/$D$10,-($D$27*$D$28)/$D$10)</f>
        <v>0</v>
      </c>
      <c r="W41" s="24">
        <f t="shared" ref="W41:W72" si="38">IF($H41&lt;=$D$31,($D$30*($D$10-$D$31))/$D$10,-($D$30*$D$31)/$D$10)</f>
        <v>0</v>
      </c>
      <c r="X41" s="24">
        <f t="shared" ref="X41:X72" si="39">IF($H41&lt;=$D$34,($D$33*($D$10-$D$34))/$D$10,-($D$33*$D$34)/$D$10)</f>
        <v>0</v>
      </c>
      <c r="Y41" s="24">
        <f t="shared" ref="Y41:Y72" si="40">IF($H41&lt;=$D$37,($D$36*($D$10-$D$37))/$D$10,-($D$36*$D$37)/$D$10)</f>
        <v>0</v>
      </c>
      <c r="Z41" s="6">
        <f t="shared" si="24"/>
        <v>9.2966399999999911</v>
      </c>
      <c r="AB41" s="28">
        <f t="shared" ref="AB41:AB72" si="41">-((1.728*$D$12*$H41)/(24*$D$14*$D$13))*(($D$10^3)-(2*$D$10*$H41^2)+($H41^3))</f>
        <v>-2.8435745044639884E-2</v>
      </c>
      <c r="AC41" s="28">
        <f t="shared" ref="AC41:AC72" si="42">-((1728*$D$21*$H41)/(24*$D$14*$D$13))*(($D$10^3)-(2*$D$10*$H41^2)+($H41^3))</f>
        <v>-1.5014073383569857</v>
      </c>
      <c r="AD41" s="28">
        <f t="shared" ref="AD41:AD72" si="43">-IF($H41&lt;=$D$25,(($D$24*($D$10-$D$25)*$H41*1728)/(6*$D$14*$D$13*$D$10))*(($D$10^2)-(($D$10-$D$25)^2)-($H41^2)),(($D$24*$D$25*($D$10-$H41)*1728)/(6*$D$14*$D$13*$D$10))*((2*$D$10*$H41)-($H41^2)-($D$25^2)))</f>
        <v>0</v>
      </c>
      <c r="AE41" s="28">
        <f t="shared" ref="AE41:AE72" si="44">-IF($H41&lt;=$D$28,(($D$27*($D$10-$D$28)*$H41*1728)/(6*$D$14*$D$13*$D$10))*(($D$10^2)-(($D$10-$D$28)^2)-($H41^2)),(($D$27*$D$28*($D$10-$H41)*1728)/(6*$D$14*$D$13*$D$10))*((2*$D$10*$H41)-($H41^2)-($D$28^2)))</f>
        <v>0</v>
      </c>
      <c r="AF41" s="28">
        <f t="shared" ref="AF41:AF72" si="45">-IF($H41&lt;=$D$31,(($D$30*($D$10-$D$31)*$H41*1728)/(6*$D$14*$D$13*$D$10))*(($D$10^2)-(($D$10-$D$31)^2)-($H41^2)),(($D$30*$D$31*($D$10-$H41)*1728)/(6*$D$14*$D$13*$D$10))*((2*$D$10*$H41)-($H41^2)-($D$31^2)))</f>
        <v>0</v>
      </c>
      <c r="AG41" s="28">
        <f t="shared" ref="AG41:AG72" si="46">-IF($H41&lt;=$D$34,(($D$33*($D$10-$D$34)*$H41*1728)/(6*$D$14*$D$13*$D$10))*(($D$10^2)-(($D$10-$D$34)^2)-($H41^2)),(($D$33*$D$34*($D$10-$H41)*1728)/(6*$D$14*$D$13*$D$10))*((2*$D$10*$H41)-($H41^2)-($D$34^2)))</f>
        <v>0</v>
      </c>
      <c r="AH41" s="28">
        <f t="shared" ref="AH41:AH72" si="47">-IF($H41&lt;=$D$37,(($D$36*($D$10-$D$37)*$H41*1728)/(6*$D$14*$D$13*$D$10))*(($D$10^2)-(($D$10-$D$37)^2)-($H41^2)),(($D$36*$D$37*($D$10-$H41)*1728)/(6*$D$14*$D$13*$D$10))*((2*$D$10*$H41)-($H41^2)-($D$37^2)))</f>
        <v>0</v>
      </c>
      <c r="AI41" s="28">
        <f t="shared" si="25"/>
        <v>-1.5298430834016257</v>
      </c>
      <c r="AK41" s="1">
        <f t="shared" si="26"/>
        <v>138.4</v>
      </c>
      <c r="AL41" s="24">
        <f t="shared" ref="AL41:AL72" si="48">D$16</f>
        <v>77.400000000000006</v>
      </c>
    </row>
    <row r="42" spans="1:38" ht="14.25" x14ac:dyDescent="0.25">
      <c r="A42" s="5" t="s">
        <v>1126</v>
      </c>
      <c r="B42" s="2" t="s">
        <v>1135</v>
      </c>
      <c r="C42" s="2" t="s">
        <v>406</v>
      </c>
      <c r="D42" s="35">
        <f>MAX(Q9:Q109)</f>
        <v>154.94399999999999</v>
      </c>
      <c r="G42" s="26">
        <v>33</v>
      </c>
      <c r="H42" s="1">
        <f t="shared" ref="H42:H73" si="49">H41+D$10/100</f>
        <v>7.9200000000000053</v>
      </c>
      <c r="I42" s="2"/>
      <c r="J42" s="24">
        <f t="shared" si="27"/>
        <v>2.5470720000000009</v>
      </c>
      <c r="K42" s="24">
        <f t="shared" si="28"/>
        <v>134.48540160000007</v>
      </c>
      <c r="L42" s="6">
        <f t="shared" si="29"/>
        <v>0</v>
      </c>
      <c r="M42" s="6">
        <f t="shared" si="30"/>
        <v>0</v>
      </c>
      <c r="N42" s="6">
        <f t="shared" si="31"/>
        <v>0</v>
      </c>
      <c r="O42" s="6">
        <f t="shared" si="32"/>
        <v>0</v>
      </c>
      <c r="P42" s="6">
        <f t="shared" si="33"/>
        <v>0</v>
      </c>
      <c r="Q42" s="6">
        <f t="shared" si="23"/>
        <v>137.03247360000009</v>
      </c>
      <c r="S42" s="24">
        <f t="shared" si="34"/>
        <v>0.16319999999999979</v>
      </c>
      <c r="T42" s="27">
        <f t="shared" si="35"/>
        <v>8.61695999999999</v>
      </c>
      <c r="U42" s="24">
        <f t="shared" si="36"/>
        <v>0</v>
      </c>
      <c r="V42" s="24">
        <f t="shared" si="37"/>
        <v>0</v>
      </c>
      <c r="W42" s="24">
        <f t="shared" si="38"/>
        <v>0</v>
      </c>
      <c r="X42" s="24">
        <f t="shared" si="39"/>
        <v>0</v>
      </c>
      <c r="Y42" s="24">
        <f t="shared" si="40"/>
        <v>0</v>
      </c>
      <c r="Z42" s="6">
        <f t="shared" si="24"/>
        <v>8.7801599999999898</v>
      </c>
      <c r="AB42" s="28">
        <f t="shared" si="41"/>
        <v>-2.8976174944953935E-2</v>
      </c>
      <c r="AC42" s="28">
        <f t="shared" si="42"/>
        <v>-1.5299420370935679</v>
      </c>
      <c r="AD42" s="28">
        <f t="shared" si="43"/>
        <v>0</v>
      </c>
      <c r="AE42" s="28">
        <f t="shared" si="44"/>
        <v>0</v>
      </c>
      <c r="AF42" s="28">
        <f t="shared" si="45"/>
        <v>0</v>
      </c>
      <c r="AG42" s="28">
        <f t="shared" si="46"/>
        <v>0</v>
      </c>
      <c r="AH42" s="28">
        <f t="shared" si="47"/>
        <v>0</v>
      </c>
      <c r="AI42" s="28">
        <f t="shared" si="25"/>
        <v>-1.5589182120385219</v>
      </c>
      <c r="AK42" s="1">
        <f t="shared" si="26"/>
        <v>138.4</v>
      </c>
      <c r="AL42" s="24">
        <f t="shared" si="48"/>
        <v>77.400000000000006</v>
      </c>
    </row>
    <row r="43" spans="1:38" ht="14.25" x14ac:dyDescent="0.25">
      <c r="A43" s="5" t="s">
        <v>1131</v>
      </c>
      <c r="B43" s="2" t="s">
        <v>1134</v>
      </c>
      <c r="C43" s="2" t="s">
        <v>406</v>
      </c>
      <c r="D43" s="35">
        <f>MIN(Q10:Q110)</f>
        <v>1.0091980584547838E-12</v>
      </c>
      <c r="G43" s="26">
        <v>34</v>
      </c>
      <c r="H43" s="1">
        <f t="shared" si="49"/>
        <v>8.1600000000000055</v>
      </c>
      <c r="I43" s="2"/>
      <c r="J43" s="24">
        <f t="shared" si="27"/>
        <v>2.5850880000000012</v>
      </c>
      <c r="K43" s="24">
        <f t="shared" si="28"/>
        <v>136.49264640000004</v>
      </c>
      <c r="L43" s="6">
        <f t="shared" si="29"/>
        <v>0</v>
      </c>
      <c r="M43" s="6">
        <f t="shared" si="30"/>
        <v>0</v>
      </c>
      <c r="N43" s="6">
        <f t="shared" si="31"/>
        <v>0</v>
      </c>
      <c r="O43" s="6">
        <f t="shared" si="32"/>
        <v>0</v>
      </c>
      <c r="P43" s="6">
        <f t="shared" si="33"/>
        <v>0</v>
      </c>
      <c r="Q43" s="6">
        <f t="shared" si="23"/>
        <v>139.07773440000005</v>
      </c>
      <c r="S43" s="24">
        <f t="shared" si="34"/>
        <v>0.15359999999999979</v>
      </c>
      <c r="T43" s="27">
        <f t="shared" si="35"/>
        <v>8.1100799999999893</v>
      </c>
      <c r="U43" s="24">
        <f t="shared" si="36"/>
        <v>0</v>
      </c>
      <c r="V43" s="24">
        <f t="shared" si="37"/>
        <v>0</v>
      </c>
      <c r="W43" s="24">
        <f t="shared" si="38"/>
        <v>0</v>
      </c>
      <c r="X43" s="24">
        <f t="shared" si="39"/>
        <v>0</v>
      </c>
      <c r="Y43" s="24">
        <f t="shared" si="40"/>
        <v>0</v>
      </c>
      <c r="Z43" s="6">
        <f t="shared" si="24"/>
        <v>8.2636799999999884</v>
      </c>
      <c r="AB43" s="28">
        <f t="shared" si="41"/>
        <v>-2.9488131510699418E-2</v>
      </c>
      <c r="AC43" s="28">
        <f t="shared" si="42"/>
        <v>-1.5569733437649291</v>
      </c>
      <c r="AD43" s="28">
        <f t="shared" si="43"/>
        <v>0</v>
      </c>
      <c r="AE43" s="28">
        <f t="shared" si="44"/>
        <v>0</v>
      </c>
      <c r="AF43" s="28">
        <f t="shared" si="45"/>
        <v>0</v>
      </c>
      <c r="AG43" s="28">
        <f t="shared" si="46"/>
        <v>0</v>
      </c>
      <c r="AH43" s="28">
        <f t="shared" si="47"/>
        <v>0</v>
      </c>
      <c r="AI43" s="28">
        <f t="shared" si="25"/>
        <v>-1.5864614752756285</v>
      </c>
      <c r="AK43" s="1">
        <f t="shared" si="26"/>
        <v>138.4</v>
      </c>
      <c r="AL43" s="24">
        <f t="shared" si="48"/>
        <v>77.400000000000006</v>
      </c>
    </row>
    <row r="44" spans="1:38" ht="14.25" x14ac:dyDescent="0.25">
      <c r="A44" s="5" t="s">
        <v>1128</v>
      </c>
      <c r="B44" s="2" t="s">
        <v>1133</v>
      </c>
      <c r="C44" s="2" t="s">
        <v>407</v>
      </c>
      <c r="D44" s="51">
        <f>MAX(AI9:AI109)</f>
        <v>0</v>
      </c>
      <c r="G44" s="26">
        <v>35</v>
      </c>
      <c r="H44" s="1">
        <f t="shared" si="49"/>
        <v>8.4000000000000057</v>
      </c>
      <c r="I44" s="2"/>
      <c r="J44" s="24">
        <f t="shared" si="27"/>
        <v>2.6208000000000009</v>
      </c>
      <c r="K44" s="24">
        <f t="shared" si="28"/>
        <v>138.37824000000006</v>
      </c>
      <c r="L44" s="6">
        <f t="shared" si="29"/>
        <v>0</v>
      </c>
      <c r="M44" s="6">
        <f t="shared" si="30"/>
        <v>0</v>
      </c>
      <c r="N44" s="6">
        <f t="shared" si="31"/>
        <v>0</v>
      </c>
      <c r="O44" s="6">
        <f t="shared" si="32"/>
        <v>0</v>
      </c>
      <c r="P44" s="6">
        <f t="shared" si="33"/>
        <v>0</v>
      </c>
      <c r="Q44" s="6">
        <f t="shared" si="23"/>
        <v>140.99904000000006</v>
      </c>
      <c r="S44" s="24">
        <f t="shared" si="34"/>
        <v>0.14399999999999977</v>
      </c>
      <c r="T44" s="27">
        <f t="shared" si="35"/>
        <v>7.6031999999999886</v>
      </c>
      <c r="U44" s="24">
        <f t="shared" si="36"/>
        <v>0</v>
      </c>
      <c r="V44" s="24">
        <f t="shared" si="37"/>
        <v>0</v>
      </c>
      <c r="W44" s="24">
        <f t="shared" si="38"/>
        <v>0</v>
      </c>
      <c r="X44" s="24">
        <f t="shared" si="39"/>
        <v>0</v>
      </c>
      <c r="Y44" s="24">
        <f t="shared" si="40"/>
        <v>0</v>
      </c>
      <c r="Z44" s="6">
        <f t="shared" si="24"/>
        <v>7.7471999999999888</v>
      </c>
      <c r="AB44" s="28">
        <f t="shared" si="41"/>
        <v>-2.9971189734696181E-2</v>
      </c>
      <c r="AC44" s="28">
        <f t="shared" si="42"/>
        <v>-1.5824788179919582</v>
      </c>
      <c r="AD44" s="28">
        <f t="shared" si="43"/>
        <v>0</v>
      </c>
      <c r="AE44" s="28">
        <f t="shared" si="44"/>
        <v>0</v>
      </c>
      <c r="AF44" s="28">
        <f t="shared" si="45"/>
        <v>0</v>
      </c>
      <c r="AG44" s="28">
        <f t="shared" si="46"/>
        <v>0</v>
      </c>
      <c r="AH44" s="28">
        <f t="shared" si="47"/>
        <v>0</v>
      </c>
      <c r="AI44" s="28">
        <f t="shared" si="25"/>
        <v>-1.6124500077266544</v>
      </c>
      <c r="AK44" s="1">
        <f t="shared" si="26"/>
        <v>138.4</v>
      </c>
      <c r="AL44" s="24">
        <f t="shared" si="48"/>
        <v>77.400000000000006</v>
      </c>
    </row>
    <row r="45" spans="1:38" ht="14.25" x14ac:dyDescent="0.25">
      <c r="A45" s="5" t="s">
        <v>1129</v>
      </c>
      <c r="B45" s="2" t="s">
        <v>1132</v>
      </c>
      <c r="C45" s="2" t="s">
        <v>407</v>
      </c>
      <c r="D45" s="51">
        <f>MIN(AI10:AI110)</f>
        <v>-1.8044023273054024</v>
      </c>
      <c r="G45" s="26">
        <v>36</v>
      </c>
      <c r="H45" s="1">
        <f t="shared" si="49"/>
        <v>8.6400000000000059</v>
      </c>
      <c r="I45" s="2"/>
      <c r="J45" s="24">
        <f t="shared" si="27"/>
        <v>2.654208000000001</v>
      </c>
      <c r="K45" s="24">
        <f t="shared" si="28"/>
        <v>140.14218240000005</v>
      </c>
      <c r="L45" s="6">
        <f t="shared" si="29"/>
        <v>0</v>
      </c>
      <c r="M45" s="6">
        <f t="shared" si="30"/>
        <v>0</v>
      </c>
      <c r="N45" s="6">
        <f t="shared" si="31"/>
        <v>0</v>
      </c>
      <c r="O45" s="6">
        <f t="shared" si="32"/>
        <v>0</v>
      </c>
      <c r="P45" s="6">
        <f t="shared" si="33"/>
        <v>0</v>
      </c>
      <c r="Q45" s="6">
        <f t="shared" si="23"/>
        <v>142.79639040000006</v>
      </c>
      <c r="S45" s="24">
        <f t="shared" si="34"/>
        <v>0.13439999999999977</v>
      </c>
      <c r="T45" s="27">
        <f t="shared" si="35"/>
        <v>7.096319999999988</v>
      </c>
      <c r="U45" s="24">
        <f t="shared" si="36"/>
        <v>0</v>
      </c>
      <c r="V45" s="24">
        <f t="shared" si="37"/>
        <v>0</v>
      </c>
      <c r="W45" s="24">
        <f t="shared" si="38"/>
        <v>0</v>
      </c>
      <c r="X45" s="24">
        <f t="shared" si="39"/>
        <v>0</v>
      </c>
      <c r="Y45" s="24">
        <f t="shared" si="40"/>
        <v>0</v>
      </c>
      <c r="Z45" s="6">
        <f t="shared" si="24"/>
        <v>7.2307199999999874</v>
      </c>
      <c r="AB45" s="28">
        <f t="shared" si="41"/>
        <v>-3.0424950367775008E-2</v>
      </c>
      <c r="AC45" s="28">
        <f t="shared" si="42"/>
        <v>-1.6064373794185205</v>
      </c>
      <c r="AD45" s="28">
        <f t="shared" si="43"/>
        <v>0</v>
      </c>
      <c r="AE45" s="28">
        <f t="shared" si="44"/>
        <v>0</v>
      </c>
      <c r="AF45" s="28">
        <f t="shared" si="45"/>
        <v>0</v>
      </c>
      <c r="AG45" s="28">
        <f t="shared" si="46"/>
        <v>0</v>
      </c>
      <c r="AH45" s="28">
        <f t="shared" si="47"/>
        <v>0</v>
      </c>
      <c r="AI45" s="28">
        <f t="shared" si="25"/>
        <v>-1.6368623297862954</v>
      </c>
      <c r="AK45" s="1">
        <f t="shared" si="26"/>
        <v>138.4</v>
      </c>
      <c r="AL45" s="24">
        <f t="shared" si="48"/>
        <v>77.400000000000006</v>
      </c>
    </row>
    <row r="46" spans="1:38" x14ac:dyDescent="0.2">
      <c r="G46" s="26">
        <v>37</v>
      </c>
      <c r="H46" s="1">
        <f t="shared" si="49"/>
        <v>8.8800000000000061</v>
      </c>
      <c r="I46" s="2"/>
      <c r="J46" s="24">
        <f t="shared" si="27"/>
        <v>2.6853120000000006</v>
      </c>
      <c r="K46" s="24">
        <f t="shared" si="28"/>
        <v>141.78447360000004</v>
      </c>
      <c r="L46" s="6">
        <f t="shared" si="29"/>
        <v>0</v>
      </c>
      <c r="M46" s="6">
        <f t="shared" si="30"/>
        <v>0</v>
      </c>
      <c r="N46" s="6">
        <f t="shared" si="31"/>
        <v>0</v>
      </c>
      <c r="O46" s="6">
        <f t="shared" si="32"/>
        <v>0</v>
      </c>
      <c r="P46" s="6">
        <f t="shared" si="33"/>
        <v>0</v>
      </c>
      <c r="Q46" s="6">
        <f t="shared" si="23"/>
        <v>144.46978560000005</v>
      </c>
      <c r="S46" s="24">
        <f t="shared" si="34"/>
        <v>0.12479999999999976</v>
      </c>
      <c r="T46" s="27">
        <f t="shared" si="35"/>
        <v>6.5894399999999873</v>
      </c>
      <c r="U46" s="24">
        <f t="shared" si="36"/>
        <v>0</v>
      </c>
      <c r="V46" s="24">
        <f t="shared" si="37"/>
        <v>0</v>
      </c>
      <c r="W46" s="24">
        <f t="shared" si="38"/>
        <v>0</v>
      </c>
      <c r="X46" s="24">
        <f t="shared" si="39"/>
        <v>0</v>
      </c>
      <c r="Y46" s="24">
        <f t="shared" si="40"/>
        <v>0</v>
      </c>
      <c r="Z46" s="6">
        <f t="shared" si="24"/>
        <v>6.7142399999999869</v>
      </c>
      <c r="AB46" s="28">
        <f t="shared" si="41"/>
        <v>-3.0849039918777601E-2</v>
      </c>
      <c r="AC46" s="28">
        <f t="shared" si="42"/>
        <v>-1.6288293077114568</v>
      </c>
      <c r="AD46" s="28">
        <f t="shared" si="43"/>
        <v>0</v>
      </c>
      <c r="AE46" s="28">
        <f t="shared" si="44"/>
        <v>0</v>
      </c>
      <c r="AF46" s="28">
        <f t="shared" si="45"/>
        <v>0</v>
      </c>
      <c r="AG46" s="28">
        <f t="shared" si="46"/>
        <v>0</v>
      </c>
      <c r="AH46" s="28">
        <f t="shared" si="47"/>
        <v>0</v>
      </c>
      <c r="AI46" s="28">
        <f t="shared" si="25"/>
        <v>-1.6596783476302344</v>
      </c>
      <c r="AK46" s="1">
        <f t="shared" si="26"/>
        <v>138.4</v>
      </c>
      <c r="AL46" s="24">
        <f t="shared" si="48"/>
        <v>77.400000000000006</v>
      </c>
    </row>
    <row r="47" spans="1:38" x14ac:dyDescent="0.2">
      <c r="G47" s="26">
        <v>38</v>
      </c>
      <c r="H47" s="1">
        <f t="shared" si="49"/>
        <v>9.1200000000000063</v>
      </c>
      <c r="I47" s="2"/>
      <c r="J47" s="24">
        <f t="shared" si="27"/>
        <v>2.7141120000000005</v>
      </c>
      <c r="K47" s="24">
        <f t="shared" si="28"/>
        <v>143.30511360000006</v>
      </c>
      <c r="L47" s="6">
        <f t="shared" si="29"/>
        <v>0</v>
      </c>
      <c r="M47" s="6">
        <f t="shared" si="30"/>
        <v>0</v>
      </c>
      <c r="N47" s="6">
        <f t="shared" si="31"/>
        <v>0</v>
      </c>
      <c r="O47" s="6">
        <f t="shared" si="32"/>
        <v>0</v>
      </c>
      <c r="P47" s="6">
        <f t="shared" si="33"/>
        <v>0</v>
      </c>
      <c r="Q47" s="6">
        <f t="shared" si="23"/>
        <v>146.01922560000006</v>
      </c>
      <c r="S47" s="24">
        <f t="shared" si="34"/>
        <v>0.11519999999999975</v>
      </c>
      <c r="T47" s="27">
        <f t="shared" si="35"/>
        <v>6.0825599999999866</v>
      </c>
      <c r="U47" s="24">
        <f t="shared" si="36"/>
        <v>0</v>
      </c>
      <c r="V47" s="24">
        <f t="shared" si="37"/>
        <v>0</v>
      </c>
      <c r="W47" s="24">
        <f t="shared" si="38"/>
        <v>0</v>
      </c>
      <c r="X47" s="24">
        <f t="shared" si="39"/>
        <v>0</v>
      </c>
      <c r="Y47" s="24">
        <f t="shared" si="40"/>
        <v>0</v>
      </c>
      <c r="Z47" s="6">
        <f t="shared" si="24"/>
        <v>6.1977599999999864</v>
      </c>
      <c r="AB47" s="28">
        <f t="shared" si="41"/>
        <v>-3.1243110654556545E-2</v>
      </c>
      <c r="AC47" s="28">
        <f t="shared" si="42"/>
        <v>-1.6496362425605857</v>
      </c>
      <c r="AD47" s="28">
        <f t="shared" si="43"/>
        <v>0</v>
      </c>
      <c r="AE47" s="28">
        <f t="shared" si="44"/>
        <v>0</v>
      </c>
      <c r="AF47" s="28">
        <f t="shared" si="45"/>
        <v>0</v>
      </c>
      <c r="AG47" s="28">
        <f t="shared" si="46"/>
        <v>0</v>
      </c>
      <c r="AH47" s="28">
        <f t="shared" si="47"/>
        <v>0</v>
      </c>
      <c r="AI47" s="28">
        <f t="shared" si="25"/>
        <v>-1.6808793532151423</v>
      </c>
      <c r="AK47" s="1">
        <f t="shared" si="26"/>
        <v>138.4</v>
      </c>
      <c r="AL47" s="24">
        <f t="shared" si="48"/>
        <v>77.400000000000006</v>
      </c>
    </row>
    <row r="48" spans="1:38" x14ac:dyDescent="0.2">
      <c r="G48" s="26">
        <v>39</v>
      </c>
      <c r="H48" s="1">
        <f t="shared" si="49"/>
        <v>9.3600000000000065</v>
      </c>
      <c r="I48" s="2"/>
      <c r="J48" s="24">
        <f t="shared" si="27"/>
        <v>2.7406080000000008</v>
      </c>
      <c r="K48" s="24">
        <f t="shared" si="28"/>
        <v>144.70410240000004</v>
      </c>
      <c r="L48" s="6">
        <f t="shared" si="29"/>
        <v>0</v>
      </c>
      <c r="M48" s="6">
        <f t="shared" si="30"/>
        <v>0</v>
      </c>
      <c r="N48" s="6">
        <f t="shared" si="31"/>
        <v>0</v>
      </c>
      <c r="O48" s="6">
        <f t="shared" si="32"/>
        <v>0</v>
      </c>
      <c r="P48" s="6">
        <f t="shared" si="33"/>
        <v>0</v>
      </c>
      <c r="Q48" s="6">
        <f t="shared" si="23"/>
        <v>147.44471040000005</v>
      </c>
      <c r="S48" s="24">
        <f t="shared" si="34"/>
        <v>0.10559999999999974</v>
      </c>
      <c r="T48" s="27">
        <f t="shared" si="35"/>
        <v>5.5756799999999869</v>
      </c>
      <c r="U48" s="24">
        <f t="shared" si="36"/>
        <v>0</v>
      </c>
      <c r="V48" s="24">
        <f t="shared" si="37"/>
        <v>0</v>
      </c>
      <c r="W48" s="24">
        <f t="shared" si="38"/>
        <v>0</v>
      </c>
      <c r="X48" s="24">
        <f t="shared" si="39"/>
        <v>0</v>
      </c>
      <c r="Y48" s="24">
        <f t="shared" si="40"/>
        <v>0</v>
      </c>
      <c r="Z48" s="6">
        <f t="shared" si="24"/>
        <v>5.6812799999999868</v>
      </c>
      <c r="AB48" s="28">
        <f t="shared" si="41"/>
        <v>-3.1606840599975386E-2</v>
      </c>
      <c r="AC48" s="28">
        <f t="shared" si="42"/>
        <v>-1.6688411836787</v>
      </c>
      <c r="AD48" s="28">
        <f t="shared" si="43"/>
        <v>0</v>
      </c>
      <c r="AE48" s="28">
        <f t="shared" si="44"/>
        <v>0</v>
      </c>
      <c r="AF48" s="28">
        <f t="shared" si="45"/>
        <v>0</v>
      </c>
      <c r="AG48" s="28">
        <f t="shared" si="46"/>
        <v>0</v>
      </c>
      <c r="AH48" s="28">
        <f t="shared" si="47"/>
        <v>0</v>
      </c>
      <c r="AI48" s="28">
        <f t="shared" si="25"/>
        <v>-1.7004480242786755</v>
      </c>
      <c r="AK48" s="1">
        <f t="shared" si="26"/>
        <v>138.4</v>
      </c>
      <c r="AL48" s="24">
        <f t="shared" si="48"/>
        <v>77.400000000000006</v>
      </c>
    </row>
    <row r="49" spans="7:38" x14ac:dyDescent="0.2">
      <c r="G49" s="26">
        <v>40</v>
      </c>
      <c r="H49" s="1">
        <f t="shared" si="49"/>
        <v>9.6000000000000068</v>
      </c>
      <c r="I49" s="2"/>
      <c r="J49" s="24">
        <f t="shared" si="27"/>
        <v>2.7648000000000006</v>
      </c>
      <c r="K49" s="24">
        <f t="shared" si="28"/>
        <v>145.98144000000005</v>
      </c>
      <c r="L49" s="6">
        <f t="shared" si="29"/>
        <v>0</v>
      </c>
      <c r="M49" s="6">
        <f t="shared" si="30"/>
        <v>0</v>
      </c>
      <c r="N49" s="6">
        <f t="shared" si="31"/>
        <v>0</v>
      </c>
      <c r="O49" s="6">
        <f t="shared" si="32"/>
        <v>0</v>
      </c>
      <c r="P49" s="6">
        <f t="shared" si="33"/>
        <v>0</v>
      </c>
      <c r="Q49" s="6">
        <f t="shared" si="23"/>
        <v>148.74624000000006</v>
      </c>
      <c r="S49" s="24">
        <f t="shared" si="34"/>
        <v>9.5999999999999738E-2</v>
      </c>
      <c r="T49" s="27">
        <f t="shared" si="35"/>
        <v>5.0687999999999862</v>
      </c>
      <c r="U49" s="24">
        <f t="shared" si="36"/>
        <v>0</v>
      </c>
      <c r="V49" s="24">
        <f t="shared" si="37"/>
        <v>0</v>
      </c>
      <c r="W49" s="24">
        <f t="shared" si="38"/>
        <v>0</v>
      </c>
      <c r="X49" s="24">
        <f t="shared" si="39"/>
        <v>0</v>
      </c>
      <c r="Y49" s="24">
        <f t="shared" si="40"/>
        <v>0</v>
      </c>
      <c r="Z49" s="6">
        <f t="shared" si="24"/>
        <v>5.1647999999999863</v>
      </c>
      <c r="AB49" s="28">
        <f t="shared" si="41"/>
        <v>-3.1939933537908582E-2</v>
      </c>
      <c r="AC49" s="28">
        <f t="shared" si="42"/>
        <v>-1.6864284908015732</v>
      </c>
      <c r="AD49" s="28">
        <f t="shared" si="43"/>
        <v>0</v>
      </c>
      <c r="AE49" s="28">
        <f t="shared" si="44"/>
        <v>0</v>
      </c>
      <c r="AF49" s="28">
        <f t="shared" si="45"/>
        <v>0</v>
      </c>
      <c r="AG49" s="28">
        <f t="shared" si="46"/>
        <v>0</v>
      </c>
      <c r="AH49" s="28">
        <f t="shared" si="47"/>
        <v>0</v>
      </c>
      <c r="AI49" s="28">
        <f t="shared" si="25"/>
        <v>-1.7183684243394817</v>
      </c>
      <c r="AK49" s="1">
        <f t="shared" si="26"/>
        <v>138.4</v>
      </c>
      <c r="AL49" s="24">
        <f t="shared" si="48"/>
        <v>77.400000000000006</v>
      </c>
    </row>
    <row r="50" spans="7:38" x14ac:dyDescent="0.2">
      <c r="G50" s="26">
        <v>41</v>
      </c>
      <c r="H50" s="1">
        <f t="shared" si="49"/>
        <v>9.840000000000007</v>
      </c>
      <c r="I50" s="2"/>
      <c r="J50" s="24">
        <f t="shared" si="27"/>
        <v>2.7866880000000007</v>
      </c>
      <c r="K50" s="24">
        <f t="shared" si="28"/>
        <v>147.13712640000003</v>
      </c>
      <c r="L50" s="6">
        <f t="shared" si="29"/>
        <v>0</v>
      </c>
      <c r="M50" s="6">
        <f t="shared" si="30"/>
        <v>0</v>
      </c>
      <c r="N50" s="6">
        <f t="shared" si="31"/>
        <v>0</v>
      </c>
      <c r="O50" s="6">
        <f t="shared" si="32"/>
        <v>0</v>
      </c>
      <c r="P50" s="6">
        <f t="shared" si="33"/>
        <v>0</v>
      </c>
      <c r="Q50" s="6">
        <f t="shared" si="23"/>
        <v>149.92381440000003</v>
      </c>
      <c r="S50" s="24">
        <f t="shared" si="34"/>
        <v>8.6399999999999727E-2</v>
      </c>
      <c r="T50" s="27">
        <f t="shared" si="35"/>
        <v>4.5619199999999855</v>
      </c>
      <c r="U50" s="24">
        <f t="shared" si="36"/>
        <v>0</v>
      </c>
      <c r="V50" s="24">
        <f t="shared" si="37"/>
        <v>0</v>
      </c>
      <c r="W50" s="24">
        <f t="shared" si="38"/>
        <v>0</v>
      </c>
      <c r="X50" s="24">
        <f t="shared" si="39"/>
        <v>0</v>
      </c>
      <c r="Y50" s="24">
        <f t="shared" si="40"/>
        <v>0</v>
      </c>
      <c r="Z50" s="6">
        <f t="shared" si="24"/>
        <v>4.6483199999999849</v>
      </c>
      <c r="AB50" s="28">
        <f t="shared" si="41"/>
        <v>-3.2242119009241482E-2</v>
      </c>
      <c r="AC50" s="28">
        <f t="shared" si="42"/>
        <v>-1.7023838836879499</v>
      </c>
      <c r="AD50" s="28">
        <f t="shared" si="43"/>
        <v>0</v>
      </c>
      <c r="AE50" s="28">
        <f t="shared" si="44"/>
        <v>0</v>
      </c>
      <c r="AF50" s="28">
        <f t="shared" si="45"/>
        <v>0</v>
      </c>
      <c r="AG50" s="28">
        <f t="shared" si="46"/>
        <v>0</v>
      </c>
      <c r="AH50" s="28">
        <f t="shared" si="47"/>
        <v>0</v>
      </c>
      <c r="AI50" s="28">
        <f t="shared" si="25"/>
        <v>-1.7346260026971914</v>
      </c>
      <c r="AK50" s="1">
        <f t="shared" si="26"/>
        <v>138.4</v>
      </c>
      <c r="AL50" s="24">
        <f t="shared" si="48"/>
        <v>77.400000000000006</v>
      </c>
    </row>
    <row r="51" spans="7:38" x14ac:dyDescent="0.2">
      <c r="G51" s="26">
        <v>42</v>
      </c>
      <c r="H51" s="1">
        <f t="shared" si="49"/>
        <v>10.080000000000007</v>
      </c>
      <c r="I51" s="2"/>
      <c r="J51" s="24">
        <f t="shared" si="27"/>
        <v>2.8062720000000003</v>
      </c>
      <c r="K51" s="24">
        <f t="shared" si="28"/>
        <v>148.17116160000003</v>
      </c>
      <c r="L51" s="6">
        <f t="shared" si="29"/>
        <v>0</v>
      </c>
      <c r="M51" s="6">
        <f t="shared" si="30"/>
        <v>0</v>
      </c>
      <c r="N51" s="6">
        <f t="shared" si="31"/>
        <v>0</v>
      </c>
      <c r="O51" s="6">
        <f t="shared" si="32"/>
        <v>0</v>
      </c>
      <c r="P51" s="6">
        <f t="shared" si="33"/>
        <v>0</v>
      </c>
      <c r="Q51" s="6">
        <f t="shared" si="23"/>
        <v>150.97743360000004</v>
      </c>
      <c r="S51" s="24">
        <f t="shared" si="34"/>
        <v>7.6799999999999716E-2</v>
      </c>
      <c r="T51" s="27">
        <f t="shared" si="35"/>
        <v>4.0550399999999849</v>
      </c>
      <c r="U51" s="24">
        <f t="shared" si="36"/>
        <v>0</v>
      </c>
      <c r="V51" s="24">
        <f t="shared" si="37"/>
        <v>0</v>
      </c>
      <c r="W51" s="24">
        <f t="shared" si="38"/>
        <v>0</v>
      </c>
      <c r="X51" s="24">
        <f t="shared" si="39"/>
        <v>0</v>
      </c>
      <c r="Y51" s="24">
        <f t="shared" si="40"/>
        <v>0</v>
      </c>
      <c r="Z51" s="6">
        <f t="shared" si="24"/>
        <v>4.1318399999999844</v>
      </c>
      <c r="AB51" s="28">
        <f t="shared" si="41"/>
        <v>-3.2513152312870372E-2</v>
      </c>
      <c r="AC51" s="28">
        <f t="shared" si="42"/>
        <v>-1.7166944421195554</v>
      </c>
      <c r="AD51" s="28">
        <f t="shared" si="43"/>
        <v>0</v>
      </c>
      <c r="AE51" s="28">
        <f t="shared" si="44"/>
        <v>0</v>
      </c>
      <c r="AF51" s="28">
        <f t="shared" si="45"/>
        <v>0</v>
      </c>
      <c r="AG51" s="28">
        <f t="shared" si="46"/>
        <v>0</v>
      </c>
      <c r="AH51" s="28">
        <f t="shared" si="47"/>
        <v>0</v>
      </c>
      <c r="AI51" s="28">
        <f t="shared" si="25"/>
        <v>-1.7492075944324257</v>
      </c>
      <c r="AK51" s="1">
        <f t="shared" si="26"/>
        <v>138.4</v>
      </c>
      <c r="AL51" s="24">
        <f t="shared" si="48"/>
        <v>77.400000000000006</v>
      </c>
    </row>
    <row r="52" spans="7:38" x14ac:dyDescent="0.2">
      <c r="G52" s="26">
        <v>43</v>
      </c>
      <c r="H52" s="1">
        <f t="shared" si="49"/>
        <v>10.320000000000007</v>
      </c>
      <c r="I52" s="2"/>
      <c r="J52" s="24">
        <f t="shared" si="27"/>
        <v>2.8235520000000003</v>
      </c>
      <c r="K52" s="24">
        <f t="shared" si="28"/>
        <v>149.08354560000004</v>
      </c>
      <c r="L52" s="6">
        <f t="shared" si="29"/>
        <v>0</v>
      </c>
      <c r="M52" s="6">
        <f t="shared" si="30"/>
        <v>0</v>
      </c>
      <c r="N52" s="6">
        <f t="shared" si="31"/>
        <v>0</v>
      </c>
      <c r="O52" s="6">
        <f t="shared" si="32"/>
        <v>0</v>
      </c>
      <c r="P52" s="6">
        <f t="shared" si="33"/>
        <v>0</v>
      </c>
      <c r="Q52" s="6">
        <f t="shared" si="23"/>
        <v>151.90709760000004</v>
      </c>
      <c r="S52" s="24">
        <f t="shared" si="34"/>
        <v>6.7199999999999704E-2</v>
      </c>
      <c r="T52" s="27">
        <f t="shared" si="35"/>
        <v>3.5481599999999847</v>
      </c>
      <c r="U52" s="24">
        <f t="shared" si="36"/>
        <v>0</v>
      </c>
      <c r="V52" s="24">
        <f t="shared" si="37"/>
        <v>0</v>
      </c>
      <c r="W52" s="24">
        <f t="shared" si="38"/>
        <v>0</v>
      </c>
      <c r="X52" s="24">
        <f t="shared" si="39"/>
        <v>0</v>
      </c>
      <c r="Y52" s="24">
        <f t="shared" si="40"/>
        <v>0</v>
      </c>
      <c r="Z52" s="6">
        <f t="shared" si="24"/>
        <v>3.6153599999999844</v>
      </c>
      <c r="AB52" s="28">
        <f t="shared" si="41"/>
        <v>-3.275281450570245E-2</v>
      </c>
      <c r="AC52" s="28">
        <f t="shared" si="42"/>
        <v>-1.7293486059010892</v>
      </c>
      <c r="AD52" s="28">
        <f t="shared" si="43"/>
        <v>0</v>
      </c>
      <c r="AE52" s="28">
        <f t="shared" si="44"/>
        <v>0</v>
      </c>
      <c r="AF52" s="28">
        <f t="shared" si="45"/>
        <v>0</v>
      </c>
      <c r="AG52" s="28">
        <f t="shared" si="46"/>
        <v>0</v>
      </c>
      <c r="AH52" s="28">
        <f t="shared" si="47"/>
        <v>0</v>
      </c>
      <c r="AI52" s="28">
        <f t="shared" si="25"/>
        <v>-1.7621014204067917</v>
      </c>
      <c r="AK52" s="1">
        <f t="shared" si="26"/>
        <v>138.4</v>
      </c>
      <c r="AL52" s="24">
        <f t="shared" si="48"/>
        <v>77.400000000000006</v>
      </c>
    </row>
    <row r="53" spans="7:38" x14ac:dyDescent="0.2">
      <c r="G53" s="26">
        <v>44</v>
      </c>
      <c r="H53" s="1">
        <f t="shared" si="49"/>
        <v>10.560000000000008</v>
      </c>
      <c r="I53" s="2"/>
      <c r="J53" s="24">
        <f t="shared" si="27"/>
        <v>2.8385280000000006</v>
      </c>
      <c r="K53" s="24">
        <f t="shared" si="28"/>
        <v>149.87427840000004</v>
      </c>
      <c r="L53" s="6">
        <f t="shared" si="29"/>
        <v>0</v>
      </c>
      <c r="M53" s="6">
        <f t="shared" si="30"/>
        <v>0</v>
      </c>
      <c r="N53" s="6">
        <f t="shared" si="31"/>
        <v>0</v>
      </c>
      <c r="O53" s="6">
        <f t="shared" si="32"/>
        <v>0</v>
      </c>
      <c r="P53" s="6">
        <f t="shared" si="33"/>
        <v>0</v>
      </c>
      <c r="Q53" s="6">
        <f t="shared" si="23"/>
        <v>152.71280640000003</v>
      </c>
      <c r="S53" s="24">
        <f t="shared" si="34"/>
        <v>5.75999999999997E-2</v>
      </c>
      <c r="T53" s="27">
        <f t="shared" si="35"/>
        <v>3.041279999999984</v>
      </c>
      <c r="U53" s="24">
        <f t="shared" si="36"/>
        <v>0</v>
      </c>
      <c r="V53" s="24">
        <f t="shared" si="37"/>
        <v>0</v>
      </c>
      <c r="W53" s="24">
        <f t="shared" si="38"/>
        <v>0</v>
      </c>
      <c r="X53" s="24">
        <f t="shared" si="39"/>
        <v>0</v>
      </c>
      <c r="Y53" s="24">
        <f t="shared" si="40"/>
        <v>0</v>
      </c>
      <c r="Z53" s="6">
        <f t="shared" si="24"/>
        <v>3.0988799999999839</v>
      </c>
      <c r="AB53" s="28">
        <f t="shared" si="41"/>
        <v>-3.2960912402655834E-2</v>
      </c>
      <c r="AC53" s="28">
        <f t="shared" si="42"/>
        <v>-1.7403361748602282</v>
      </c>
      <c r="AD53" s="28">
        <f t="shared" si="43"/>
        <v>0</v>
      </c>
      <c r="AE53" s="28">
        <f t="shared" si="44"/>
        <v>0</v>
      </c>
      <c r="AF53" s="28">
        <f t="shared" si="45"/>
        <v>0</v>
      </c>
      <c r="AG53" s="28">
        <f t="shared" si="46"/>
        <v>0</v>
      </c>
      <c r="AH53" s="28">
        <f t="shared" si="47"/>
        <v>0</v>
      </c>
      <c r="AI53" s="28">
        <f t="shared" si="25"/>
        <v>-1.7732970872628839</v>
      </c>
      <c r="AK53" s="1">
        <f t="shared" si="26"/>
        <v>138.4</v>
      </c>
      <c r="AL53" s="24">
        <f t="shared" si="48"/>
        <v>77.400000000000006</v>
      </c>
    </row>
    <row r="54" spans="7:38" x14ac:dyDescent="0.2">
      <c r="G54" s="26">
        <v>45</v>
      </c>
      <c r="H54" s="1">
        <f t="shared" si="49"/>
        <v>10.800000000000008</v>
      </c>
      <c r="I54" s="2"/>
      <c r="J54" s="24">
        <f t="shared" si="27"/>
        <v>2.8512000000000004</v>
      </c>
      <c r="K54" s="24">
        <f t="shared" si="28"/>
        <v>150.54336000000004</v>
      </c>
      <c r="L54" s="6">
        <f t="shared" si="29"/>
        <v>0</v>
      </c>
      <c r="M54" s="6">
        <f t="shared" si="30"/>
        <v>0</v>
      </c>
      <c r="N54" s="6">
        <f t="shared" si="31"/>
        <v>0</v>
      </c>
      <c r="O54" s="6">
        <f t="shared" si="32"/>
        <v>0</v>
      </c>
      <c r="P54" s="6">
        <f t="shared" si="33"/>
        <v>0</v>
      </c>
      <c r="Q54" s="6">
        <f t="shared" si="23"/>
        <v>153.39456000000004</v>
      </c>
      <c r="S54" s="24">
        <f t="shared" si="34"/>
        <v>4.7999999999999689E-2</v>
      </c>
      <c r="T54" s="27">
        <f t="shared" si="35"/>
        <v>2.5343999999999838</v>
      </c>
      <c r="U54" s="24">
        <f t="shared" si="36"/>
        <v>0</v>
      </c>
      <c r="V54" s="24">
        <f t="shared" si="37"/>
        <v>0</v>
      </c>
      <c r="W54" s="24">
        <f t="shared" si="38"/>
        <v>0</v>
      </c>
      <c r="X54" s="24">
        <f t="shared" si="39"/>
        <v>0</v>
      </c>
      <c r="Y54" s="24">
        <f t="shared" si="40"/>
        <v>0</v>
      </c>
      <c r="Z54" s="6">
        <f t="shared" si="24"/>
        <v>2.5823999999999834</v>
      </c>
      <c r="AB54" s="28">
        <f t="shared" si="41"/>
        <v>-3.313727857665956E-2</v>
      </c>
      <c r="AC54" s="28">
        <f t="shared" si="42"/>
        <v>-1.7496483088476247</v>
      </c>
      <c r="AD54" s="28">
        <f t="shared" si="43"/>
        <v>0</v>
      </c>
      <c r="AE54" s="28">
        <f t="shared" si="44"/>
        <v>0</v>
      </c>
      <c r="AF54" s="28">
        <f t="shared" si="45"/>
        <v>0</v>
      </c>
      <c r="AG54" s="28">
        <f t="shared" si="46"/>
        <v>0</v>
      </c>
      <c r="AH54" s="28">
        <f t="shared" si="47"/>
        <v>0</v>
      </c>
      <c r="AI54" s="28">
        <f t="shared" si="25"/>
        <v>-1.7827855874242842</v>
      </c>
      <c r="AK54" s="1">
        <f t="shared" si="26"/>
        <v>138.4</v>
      </c>
      <c r="AL54" s="24">
        <f t="shared" si="48"/>
        <v>77.400000000000006</v>
      </c>
    </row>
    <row r="55" spans="7:38" x14ac:dyDescent="0.2">
      <c r="G55" s="26">
        <v>46</v>
      </c>
      <c r="H55" s="1">
        <f t="shared" si="49"/>
        <v>11.040000000000008</v>
      </c>
      <c r="I55" s="2"/>
      <c r="J55" s="24">
        <f t="shared" si="27"/>
        <v>2.8615680000000006</v>
      </c>
      <c r="K55" s="24">
        <f t="shared" si="28"/>
        <v>151.0907904</v>
      </c>
      <c r="L55" s="6">
        <f t="shared" si="29"/>
        <v>0</v>
      </c>
      <c r="M55" s="6">
        <f t="shared" si="30"/>
        <v>0</v>
      </c>
      <c r="N55" s="6">
        <f t="shared" si="31"/>
        <v>0</v>
      </c>
      <c r="O55" s="6">
        <f t="shared" si="32"/>
        <v>0</v>
      </c>
      <c r="P55" s="6">
        <f t="shared" si="33"/>
        <v>0</v>
      </c>
      <c r="Q55" s="6">
        <f t="shared" si="23"/>
        <v>153.95235840000001</v>
      </c>
      <c r="S55" s="24">
        <f t="shared" si="34"/>
        <v>3.8399999999999677E-2</v>
      </c>
      <c r="T55" s="27">
        <f t="shared" si="35"/>
        <v>2.0275199999999831</v>
      </c>
      <c r="U55" s="24">
        <f t="shared" si="36"/>
        <v>0</v>
      </c>
      <c r="V55" s="24">
        <f t="shared" si="37"/>
        <v>0</v>
      </c>
      <c r="W55" s="24">
        <f t="shared" si="38"/>
        <v>0</v>
      </c>
      <c r="X55" s="24">
        <f t="shared" si="39"/>
        <v>0</v>
      </c>
      <c r="Y55" s="24">
        <f t="shared" si="40"/>
        <v>0</v>
      </c>
      <c r="Z55" s="6">
        <f t="shared" si="24"/>
        <v>2.0659199999999829</v>
      </c>
      <c r="AB55" s="28">
        <f t="shared" si="41"/>
        <v>-3.3281771358653581E-2</v>
      </c>
      <c r="AC55" s="28">
        <f t="shared" si="42"/>
        <v>-1.7572775277369093</v>
      </c>
      <c r="AD55" s="28">
        <f t="shared" si="43"/>
        <v>0</v>
      </c>
      <c r="AE55" s="28">
        <f t="shared" si="44"/>
        <v>0</v>
      </c>
      <c r="AF55" s="28">
        <f t="shared" si="45"/>
        <v>0</v>
      </c>
      <c r="AG55" s="28">
        <f t="shared" si="46"/>
        <v>0</v>
      </c>
      <c r="AH55" s="28">
        <f t="shared" si="47"/>
        <v>0</v>
      </c>
      <c r="AI55" s="28">
        <f t="shared" si="25"/>
        <v>-1.7905592990955628</v>
      </c>
      <c r="AK55" s="1">
        <f t="shared" si="26"/>
        <v>138.4</v>
      </c>
      <c r="AL55" s="24">
        <f t="shared" si="48"/>
        <v>77.400000000000006</v>
      </c>
    </row>
    <row r="56" spans="7:38" x14ac:dyDescent="0.2">
      <c r="G56" s="26">
        <v>47</v>
      </c>
      <c r="H56" s="1">
        <f t="shared" si="49"/>
        <v>11.280000000000008</v>
      </c>
      <c r="I56" s="2"/>
      <c r="J56" s="24">
        <f t="shared" si="27"/>
        <v>2.8696320000000002</v>
      </c>
      <c r="K56" s="24">
        <f t="shared" si="28"/>
        <v>151.51656960000003</v>
      </c>
      <c r="L56" s="6">
        <f t="shared" si="29"/>
        <v>0</v>
      </c>
      <c r="M56" s="6">
        <f t="shared" si="30"/>
        <v>0</v>
      </c>
      <c r="N56" s="6">
        <f t="shared" si="31"/>
        <v>0</v>
      </c>
      <c r="O56" s="6">
        <f t="shared" si="32"/>
        <v>0</v>
      </c>
      <c r="P56" s="6">
        <f t="shared" si="33"/>
        <v>0</v>
      </c>
      <c r="Q56" s="6">
        <f t="shared" si="23"/>
        <v>154.38620160000002</v>
      </c>
      <c r="S56" s="24">
        <f t="shared" si="34"/>
        <v>2.879999999999967E-2</v>
      </c>
      <c r="T56" s="27">
        <f t="shared" si="35"/>
        <v>1.5206399999999827</v>
      </c>
      <c r="U56" s="24">
        <f t="shared" si="36"/>
        <v>0</v>
      </c>
      <c r="V56" s="24">
        <f t="shared" si="37"/>
        <v>0</v>
      </c>
      <c r="W56" s="24">
        <f t="shared" si="38"/>
        <v>0</v>
      </c>
      <c r="X56" s="24">
        <f t="shared" si="39"/>
        <v>0</v>
      </c>
      <c r="Y56" s="24">
        <f t="shared" si="40"/>
        <v>0</v>
      </c>
      <c r="Z56" s="6">
        <f t="shared" si="24"/>
        <v>1.5494399999999824</v>
      </c>
      <c r="AB56" s="28">
        <f t="shared" si="41"/>
        <v>-3.3394274837588778E-2</v>
      </c>
      <c r="AC56" s="28">
        <f t="shared" si="42"/>
        <v>-1.7632177114246874</v>
      </c>
      <c r="AD56" s="28">
        <f t="shared" si="43"/>
        <v>0</v>
      </c>
      <c r="AE56" s="28">
        <f t="shared" si="44"/>
        <v>0</v>
      </c>
      <c r="AF56" s="28">
        <f t="shared" si="45"/>
        <v>0</v>
      </c>
      <c r="AG56" s="28">
        <f t="shared" si="46"/>
        <v>0</v>
      </c>
      <c r="AH56" s="28">
        <f t="shared" si="47"/>
        <v>0</v>
      </c>
      <c r="AI56" s="28">
        <f t="shared" si="25"/>
        <v>-1.7966119862622763</v>
      </c>
      <c r="AK56" s="1">
        <f t="shared" si="26"/>
        <v>138.4</v>
      </c>
      <c r="AL56" s="24">
        <f t="shared" si="48"/>
        <v>77.400000000000006</v>
      </c>
    </row>
    <row r="57" spans="7:38" x14ac:dyDescent="0.2">
      <c r="G57" s="26">
        <v>48</v>
      </c>
      <c r="H57" s="1">
        <f t="shared" si="49"/>
        <v>11.520000000000008</v>
      </c>
      <c r="I57" s="2"/>
      <c r="J57" s="24">
        <f t="shared" si="27"/>
        <v>2.8753920000000002</v>
      </c>
      <c r="K57" s="24">
        <f t="shared" si="28"/>
        <v>151.82069760000002</v>
      </c>
      <c r="L57" s="6">
        <f t="shared" si="29"/>
        <v>0</v>
      </c>
      <c r="M57" s="6">
        <f t="shared" si="30"/>
        <v>0</v>
      </c>
      <c r="N57" s="6">
        <f t="shared" si="31"/>
        <v>0</v>
      </c>
      <c r="O57" s="6">
        <f t="shared" si="32"/>
        <v>0</v>
      </c>
      <c r="P57" s="6">
        <f t="shared" si="33"/>
        <v>0</v>
      </c>
      <c r="Q57" s="6">
        <f t="shared" si="23"/>
        <v>154.69608960000002</v>
      </c>
      <c r="S57" s="24">
        <f t="shared" si="34"/>
        <v>1.9199999999999662E-2</v>
      </c>
      <c r="T57" s="27">
        <f t="shared" si="35"/>
        <v>1.0137599999999822</v>
      </c>
      <c r="U57" s="24">
        <f t="shared" si="36"/>
        <v>0</v>
      </c>
      <c r="V57" s="24">
        <f t="shared" si="37"/>
        <v>0</v>
      </c>
      <c r="W57" s="24">
        <f t="shared" si="38"/>
        <v>0</v>
      </c>
      <c r="X57" s="24">
        <f t="shared" si="39"/>
        <v>0</v>
      </c>
      <c r="Y57" s="24">
        <f t="shared" si="40"/>
        <v>0</v>
      </c>
      <c r="Z57" s="6">
        <f t="shared" si="24"/>
        <v>1.0329599999999819</v>
      </c>
      <c r="AB57" s="28">
        <f t="shared" si="41"/>
        <v>-3.3474698860426914E-2</v>
      </c>
      <c r="AC57" s="28">
        <f t="shared" si="42"/>
        <v>-1.7674640998305411</v>
      </c>
      <c r="AD57" s="28">
        <f t="shared" si="43"/>
        <v>0</v>
      </c>
      <c r="AE57" s="28">
        <f t="shared" si="44"/>
        <v>0</v>
      </c>
      <c r="AF57" s="28">
        <f t="shared" si="45"/>
        <v>0</v>
      </c>
      <c r="AG57" s="28">
        <f t="shared" si="46"/>
        <v>0</v>
      </c>
      <c r="AH57" s="28">
        <f t="shared" si="47"/>
        <v>0</v>
      </c>
      <c r="AI57" s="28">
        <f t="shared" si="25"/>
        <v>-1.800938798690968</v>
      </c>
      <c r="AK57" s="1">
        <f t="shared" si="26"/>
        <v>138.4</v>
      </c>
      <c r="AL57" s="24">
        <f t="shared" si="48"/>
        <v>77.400000000000006</v>
      </c>
    </row>
    <row r="58" spans="7:38" x14ac:dyDescent="0.2">
      <c r="G58" s="26">
        <v>49</v>
      </c>
      <c r="H58" s="1">
        <f t="shared" si="49"/>
        <v>11.760000000000009</v>
      </c>
      <c r="I58" s="2"/>
      <c r="J58" s="24">
        <f t="shared" si="27"/>
        <v>2.8788480000000001</v>
      </c>
      <c r="K58" s="24">
        <f t="shared" si="28"/>
        <v>152.00317440000001</v>
      </c>
      <c r="L58" s="6">
        <f t="shared" si="29"/>
        <v>0</v>
      </c>
      <c r="M58" s="6">
        <f t="shared" si="30"/>
        <v>0</v>
      </c>
      <c r="N58" s="6">
        <f t="shared" si="31"/>
        <v>0</v>
      </c>
      <c r="O58" s="6">
        <f t="shared" si="32"/>
        <v>0</v>
      </c>
      <c r="P58" s="6">
        <f t="shared" si="33"/>
        <v>0</v>
      </c>
      <c r="Q58" s="6">
        <f t="shared" si="23"/>
        <v>154.88202240000001</v>
      </c>
      <c r="S58" s="24">
        <f t="shared" si="34"/>
        <v>9.5999999999996539E-3</v>
      </c>
      <c r="T58" s="27">
        <f t="shared" si="35"/>
        <v>0.50687999999998168</v>
      </c>
      <c r="U58" s="24">
        <f t="shared" si="36"/>
        <v>0</v>
      </c>
      <c r="V58" s="24">
        <f t="shared" si="37"/>
        <v>0</v>
      </c>
      <c r="W58" s="24">
        <f t="shared" si="38"/>
        <v>0</v>
      </c>
      <c r="X58" s="24">
        <f t="shared" si="39"/>
        <v>0</v>
      </c>
      <c r="Y58" s="24">
        <f t="shared" si="40"/>
        <v>0</v>
      </c>
      <c r="Z58" s="6">
        <f t="shared" si="24"/>
        <v>0.51647999999998129</v>
      </c>
      <c r="AB58" s="28">
        <f t="shared" si="41"/>
        <v>-3.3522979032140715E-2</v>
      </c>
      <c r="AC58" s="28">
        <f t="shared" si="42"/>
        <v>-1.7700132928970296</v>
      </c>
      <c r="AD58" s="28">
        <f t="shared" si="43"/>
        <v>0</v>
      </c>
      <c r="AE58" s="28">
        <f t="shared" si="44"/>
        <v>0</v>
      </c>
      <c r="AF58" s="28">
        <f t="shared" si="45"/>
        <v>0</v>
      </c>
      <c r="AG58" s="28">
        <f t="shared" si="46"/>
        <v>0</v>
      </c>
      <c r="AH58" s="28">
        <f t="shared" si="47"/>
        <v>0</v>
      </c>
      <c r="AI58" s="28">
        <f t="shared" si="25"/>
        <v>-1.8035362719291703</v>
      </c>
      <c r="AK58" s="1">
        <f t="shared" si="26"/>
        <v>138.4</v>
      </c>
      <c r="AL58" s="24">
        <f t="shared" si="48"/>
        <v>77.400000000000006</v>
      </c>
    </row>
    <row r="59" spans="7:38" x14ac:dyDescent="0.2">
      <c r="G59" s="26">
        <v>50</v>
      </c>
      <c r="H59" s="1">
        <f t="shared" si="49"/>
        <v>12.000000000000009</v>
      </c>
      <c r="I59" s="2"/>
      <c r="J59" s="24">
        <f t="shared" si="27"/>
        <v>2.88</v>
      </c>
      <c r="K59" s="24">
        <f t="shared" si="28"/>
        <v>152.06399999999999</v>
      </c>
      <c r="L59" s="6">
        <f t="shared" si="29"/>
        <v>0</v>
      </c>
      <c r="M59" s="6">
        <f t="shared" si="30"/>
        <v>0</v>
      </c>
      <c r="N59" s="6">
        <f t="shared" si="31"/>
        <v>0</v>
      </c>
      <c r="O59" s="6">
        <f t="shared" si="32"/>
        <v>0</v>
      </c>
      <c r="P59" s="6">
        <f t="shared" si="33"/>
        <v>0</v>
      </c>
      <c r="Q59" s="6">
        <f t="shared" si="23"/>
        <v>154.94399999999999</v>
      </c>
      <c r="S59" s="24">
        <f t="shared" si="34"/>
        <v>-3.5527136788005011E-16</v>
      </c>
      <c r="T59" s="27">
        <f t="shared" si="35"/>
        <v>-1.8758328224066646E-14</v>
      </c>
      <c r="U59" s="24">
        <f t="shared" si="36"/>
        <v>0</v>
      </c>
      <c r="V59" s="24">
        <f t="shared" si="37"/>
        <v>0</v>
      </c>
      <c r="W59" s="24">
        <f t="shared" si="38"/>
        <v>0</v>
      </c>
      <c r="X59" s="24">
        <f t="shared" si="39"/>
        <v>0</v>
      </c>
      <c r="Y59" s="24">
        <f t="shared" si="40"/>
        <v>0</v>
      </c>
      <c r="Z59" s="6">
        <f t="shared" si="24"/>
        <v>-1.9113599591946695E-14</v>
      </c>
      <c r="AB59" s="28">
        <f t="shared" si="41"/>
        <v>-3.3539076715713802E-2</v>
      </c>
      <c r="AC59" s="28">
        <f t="shared" si="42"/>
        <v>-1.7708632505896886</v>
      </c>
      <c r="AD59" s="28">
        <f t="shared" si="43"/>
        <v>0</v>
      </c>
      <c r="AE59" s="28">
        <f t="shared" si="44"/>
        <v>0</v>
      </c>
      <c r="AF59" s="28">
        <f t="shared" si="45"/>
        <v>0</v>
      </c>
      <c r="AG59" s="28">
        <f t="shared" si="46"/>
        <v>0</v>
      </c>
      <c r="AH59" s="28">
        <f t="shared" si="47"/>
        <v>0</v>
      </c>
      <c r="AI59" s="28">
        <f t="shared" si="25"/>
        <v>-1.8044023273054024</v>
      </c>
      <c r="AK59" s="1">
        <f t="shared" si="26"/>
        <v>138.4</v>
      </c>
      <c r="AL59" s="24">
        <f t="shared" si="48"/>
        <v>77.400000000000006</v>
      </c>
    </row>
    <row r="60" spans="7:38" x14ac:dyDescent="0.2">
      <c r="G60" s="26">
        <v>51</v>
      </c>
      <c r="H60" s="1">
        <f t="shared" si="49"/>
        <v>12.240000000000009</v>
      </c>
      <c r="I60" s="2"/>
      <c r="J60" s="24">
        <f t="shared" si="27"/>
        <v>2.8788480000000001</v>
      </c>
      <c r="K60" s="24">
        <f t="shared" si="28"/>
        <v>152.00317440000001</v>
      </c>
      <c r="L60" s="6">
        <f t="shared" si="29"/>
        <v>0</v>
      </c>
      <c r="M60" s="6">
        <f t="shared" si="30"/>
        <v>0</v>
      </c>
      <c r="N60" s="6">
        <f t="shared" si="31"/>
        <v>0</v>
      </c>
      <c r="O60" s="6">
        <f t="shared" si="32"/>
        <v>0</v>
      </c>
      <c r="P60" s="6">
        <f t="shared" si="33"/>
        <v>0</v>
      </c>
      <c r="Q60" s="6">
        <f t="shared" si="23"/>
        <v>154.88202240000001</v>
      </c>
      <c r="S60" s="24">
        <f t="shared" si="34"/>
        <v>-9.6000000000003635E-3</v>
      </c>
      <c r="T60" s="27">
        <f t="shared" si="35"/>
        <v>-0.5068800000000192</v>
      </c>
      <c r="U60" s="24">
        <f t="shared" si="36"/>
        <v>0</v>
      </c>
      <c r="V60" s="24">
        <f t="shared" si="37"/>
        <v>0</v>
      </c>
      <c r="W60" s="24">
        <f t="shared" si="38"/>
        <v>0</v>
      </c>
      <c r="X60" s="24">
        <f t="shared" si="39"/>
        <v>0</v>
      </c>
      <c r="Y60" s="24">
        <f t="shared" si="40"/>
        <v>0</v>
      </c>
      <c r="Z60" s="6">
        <f t="shared" si="24"/>
        <v>-0.51648000000001959</v>
      </c>
      <c r="AB60" s="28">
        <f t="shared" si="41"/>
        <v>-3.3522979032140722E-2</v>
      </c>
      <c r="AC60" s="28">
        <f t="shared" si="42"/>
        <v>-1.7700132928970298</v>
      </c>
      <c r="AD60" s="28">
        <f t="shared" si="43"/>
        <v>0</v>
      </c>
      <c r="AE60" s="28">
        <f t="shared" si="44"/>
        <v>0</v>
      </c>
      <c r="AF60" s="28">
        <f t="shared" si="45"/>
        <v>0</v>
      </c>
      <c r="AG60" s="28">
        <f t="shared" si="46"/>
        <v>0</v>
      </c>
      <c r="AH60" s="28">
        <f t="shared" si="47"/>
        <v>0</v>
      </c>
      <c r="AI60" s="28">
        <f t="shared" si="25"/>
        <v>-1.8035362719291705</v>
      </c>
      <c r="AK60" s="1">
        <f t="shared" si="26"/>
        <v>138.4</v>
      </c>
      <c r="AL60" s="24">
        <f t="shared" si="48"/>
        <v>77.400000000000006</v>
      </c>
    </row>
    <row r="61" spans="7:38" x14ac:dyDescent="0.2">
      <c r="G61" s="26">
        <v>52</v>
      </c>
      <c r="H61" s="1">
        <f t="shared" si="49"/>
        <v>12.480000000000009</v>
      </c>
      <c r="I61" s="2"/>
      <c r="J61" s="24">
        <f t="shared" si="27"/>
        <v>2.8753919999999997</v>
      </c>
      <c r="K61" s="24">
        <f t="shared" si="28"/>
        <v>151.82069759999999</v>
      </c>
      <c r="L61" s="6">
        <f t="shared" si="29"/>
        <v>0</v>
      </c>
      <c r="M61" s="6">
        <f t="shared" si="30"/>
        <v>0</v>
      </c>
      <c r="N61" s="6">
        <f t="shared" si="31"/>
        <v>0</v>
      </c>
      <c r="O61" s="6">
        <f t="shared" si="32"/>
        <v>0</v>
      </c>
      <c r="P61" s="6">
        <f t="shared" si="33"/>
        <v>0</v>
      </c>
      <c r="Q61" s="6">
        <f t="shared" si="23"/>
        <v>154.69608959999999</v>
      </c>
      <c r="S61" s="24">
        <f t="shared" si="34"/>
        <v>-1.9200000000000373E-2</v>
      </c>
      <c r="T61" s="27">
        <f t="shared" si="35"/>
        <v>-1.0137600000000198</v>
      </c>
      <c r="U61" s="24">
        <f t="shared" si="36"/>
        <v>0</v>
      </c>
      <c r="V61" s="24">
        <f t="shared" si="37"/>
        <v>0</v>
      </c>
      <c r="W61" s="24">
        <f t="shared" si="38"/>
        <v>0</v>
      </c>
      <c r="X61" s="24">
        <f t="shared" si="39"/>
        <v>0</v>
      </c>
      <c r="Y61" s="24">
        <f t="shared" si="40"/>
        <v>0</v>
      </c>
      <c r="Z61" s="6">
        <f t="shared" si="24"/>
        <v>-1.0329600000000201</v>
      </c>
      <c r="AB61" s="28">
        <f t="shared" si="41"/>
        <v>-3.3474698860426914E-2</v>
      </c>
      <c r="AC61" s="28">
        <f t="shared" si="42"/>
        <v>-1.7674640998305406</v>
      </c>
      <c r="AD61" s="28">
        <f t="shared" si="43"/>
        <v>0</v>
      </c>
      <c r="AE61" s="28">
        <f t="shared" si="44"/>
        <v>0</v>
      </c>
      <c r="AF61" s="28">
        <f t="shared" si="45"/>
        <v>0</v>
      </c>
      <c r="AG61" s="28">
        <f t="shared" si="46"/>
        <v>0</v>
      </c>
      <c r="AH61" s="28">
        <f t="shared" si="47"/>
        <v>0</v>
      </c>
      <c r="AI61" s="28">
        <f t="shared" si="25"/>
        <v>-1.8009387986909675</v>
      </c>
      <c r="AK61" s="1">
        <f t="shared" si="26"/>
        <v>138.4</v>
      </c>
      <c r="AL61" s="24">
        <f t="shared" si="48"/>
        <v>77.400000000000006</v>
      </c>
    </row>
    <row r="62" spans="7:38" x14ac:dyDescent="0.2">
      <c r="G62" s="26">
        <v>53</v>
      </c>
      <c r="H62" s="1">
        <f t="shared" si="49"/>
        <v>12.72000000000001</v>
      </c>
      <c r="I62" s="2"/>
      <c r="J62" s="24">
        <f t="shared" si="27"/>
        <v>2.8696319999999997</v>
      </c>
      <c r="K62" s="24">
        <f t="shared" si="28"/>
        <v>151.5165696</v>
      </c>
      <c r="L62" s="6">
        <f t="shared" si="29"/>
        <v>0</v>
      </c>
      <c r="M62" s="6">
        <f t="shared" si="30"/>
        <v>0</v>
      </c>
      <c r="N62" s="6">
        <f t="shared" si="31"/>
        <v>0</v>
      </c>
      <c r="O62" s="6">
        <f t="shared" si="32"/>
        <v>0</v>
      </c>
      <c r="P62" s="6">
        <f t="shared" si="33"/>
        <v>0</v>
      </c>
      <c r="Q62" s="6">
        <f t="shared" si="23"/>
        <v>154.38620159999999</v>
      </c>
      <c r="S62" s="24">
        <f t="shared" si="34"/>
        <v>-2.8800000000000381E-2</v>
      </c>
      <c r="T62" s="27">
        <f t="shared" si="35"/>
        <v>-1.5206400000000202</v>
      </c>
      <c r="U62" s="24">
        <f t="shared" si="36"/>
        <v>0</v>
      </c>
      <c r="V62" s="24">
        <f t="shared" si="37"/>
        <v>0</v>
      </c>
      <c r="W62" s="24">
        <f t="shared" si="38"/>
        <v>0</v>
      </c>
      <c r="X62" s="24">
        <f t="shared" si="39"/>
        <v>0</v>
      </c>
      <c r="Y62" s="24">
        <f t="shared" si="40"/>
        <v>0</v>
      </c>
      <c r="Z62" s="6">
        <f t="shared" si="24"/>
        <v>-1.5494400000000206</v>
      </c>
      <c r="AB62" s="28">
        <f t="shared" si="41"/>
        <v>-3.3394274837588764E-2</v>
      </c>
      <c r="AC62" s="28">
        <f t="shared" si="42"/>
        <v>-1.7632177114246868</v>
      </c>
      <c r="AD62" s="28">
        <f t="shared" si="43"/>
        <v>0</v>
      </c>
      <c r="AE62" s="28">
        <f t="shared" si="44"/>
        <v>0</v>
      </c>
      <c r="AF62" s="28">
        <f t="shared" si="45"/>
        <v>0</v>
      </c>
      <c r="AG62" s="28">
        <f t="shared" si="46"/>
        <v>0</v>
      </c>
      <c r="AH62" s="28">
        <f t="shared" si="47"/>
        <v>0</v>
      </c>
      <c r="AI62" s="28">
        <f t="shared" si="25"/>
        <v>-1.7966119862622756</v>
      </c>
      <c r="AK62" s="1">
        <f t="shared" si="26"/>
        <v>138.4</v>
      </c>
      <c r="AL62" s="24">
        <f t="shared" si="48"/>
        <v>77.400000000000006</v>
      </c>
    </row>
    <row r="63" spans="7:38" x14ac:dyDescent="0.2">
      <c r="G63" s="26">
        <v>54</v>
      </c>
      <c r="H63" s="1">
        <f t="shared" si="49"/>
        <v>12.96000000000001</v>
      </c>
      <c r="I63" s="2"/>
      <c r="J63" s="24">
        <f t="shared" si="27"/>
        <v>2.8615679999999997</v>
      </c>
      <c r="K63" s="24">
        <f t="shared" si="28"/>
        <v>151.09079039999997</v>
      </c>
      <c r="L63" s="6">
        <f t="shared" si="29"/>
        <v>0</v>
      </c>
      <c r="M63" s="6">
        <f t="shared" si="30"/>
        <v>0</v>
      </c>
      <c r="N63" s="6">
        <f t="shared" si="31"/>
        <v>0</v>
      </c>
      <c r="O63" s="6">
        <f t="shared" si="32"/>
        <v>0</v>
      </c>
      <c r="P63" s="6">
        <f t="shared" si="33"/>
        <v>0</v>
      </c>
      <c r="Q63" s="6">
        <f t="shared" si="23"/>
        <v>153.95235839999998</v>
      </c>
      <c r="S63" s="24">
        <f t="shared" si="34"/>
        <v>-3.8400000000000392E-2</v>
      </c>
      <c r="T63" s="27">
        <f t="shared" si="35"/>
        <v>-2.0275200000000209</v>
      </c>
      <c r="U63" s="24">
        <f t="shared" si="36"/>
        <v>0</v>
      </c>
      <c r="V63" s="24">
        <f t="shared" si="37"/>
        <v>0</v>
      </c>
      <c r="W63" s="24">
        <f t="shared" si="38"/>
        <v>0</v>
      </c>
      <c r="X63" s="24">
        <f t="shared" si="39"/>
        <v>0</v>
      </c>
      <c r="Y63" s="24">
        <f t="shared" si="40"/>
        <v>0</v>
      </c>
      <c r="Z63" s="6">
        <f t="shared" si="24"/>
        <v>-2.0659200000000211</v>
      </c>
      <c r="AB63" s="28">
        <f t="shared" si="41"/>
        <v>-3.3281771358653574E-2</v>
      </c>
      <c r="AC63" s="28">
        <f t="shared" si="42"/>
        <v>-1.7572775277369084</v>
      </c>
      <c r="AD63" s="28">
        <f t="shared" si="43"/>
        <v>0</v>
      </c>
      <c r="AE63" s="28">
        <f t="shared" si="44"/>
        <v>0</v>
      </c>
      <c r="AF63" s="28">
        <f t="shared" si="45"/>
        <v>0</v>
      </c>
      <c r="AG63" s="28">
        <f t="shared" si="46"/>
        <v>0</v>
      </c>
      <c r="AH63" s="28">
        <f t="shared" si="47"/>
        <v>0</v>
      </c>
      <c r="AI63" s="28">
        <f t="shared" si="25"/>
        <v>-1.7905592990955619</v>
      </c>
      <c r="AK63" s="1">
        <f t="shared" si="26"/>
        <v>138.4</v>
      </c>
      <c r="AL63" s="24">
        <f t="shared" si="48"/>
        <v>77.400000000000006</v>
      </c>
    </row>
    <row r="64" spans="7:38" x14ac:dyDescent="0.2">
      <c r="G64" s="26">
        <v>55</v>
      </c>
      <c r="H64" s="1">
        <f t="shared" si="49"/>
        <v>13.20000000000001</v>
      </c>
      <c r="I64" s="2"/>
      <c r="J64" s="24">
        <f t="shared" si="27"/>
        <v>2.8511999999999995</v>
      </c>
      <c r="K64" s="24">
        <f t="shared" si="28"/>
        <v>150.54335999999998</v>
      </c>
      <c r="L64" s="6">
        <f t="shared" si="29"/>
        <v>0</v>
      </c>
      <c r="M64" s="6">
        <f t="shared" si="30"/>
        <v>0</v>
      </c>
      <c r="N64" s="6">
        <f t="shared" si="31"/>
        <v>0</v>
      </c>
      <c r="O64" s="6">
        <f t="shared" si="32"/>
        <v>0</v>
      </c>
      <c r="P64" s="6">
        <f t="shared" si="33"/>
        <v>0</v>
      </c>
      <c r="Q64" s="6">
        <f t="shared" si="23"/>
        <v>153.39455999999998</v>
      </c>
      <c r="S64" s="24">
        <f t="shared" si="34"/>
        <v>-4.8000000000000397E-2</v>
      </c>
      <c r="T64" s="27">
        <f t="shared" si="35"/>
        <v>-2.5344000000000211</v>
      </c>
      <c r="U64" s="24">
        <f t="shared" si="36"/>
        <v>0</v>
      </c>
      <c r="V64" s="24">
        <f t="shared" si="37"/>
        <v>0</v>
      </c>
      <c r="W64" s="24">
        <f t="shared" si="38"/>
        <v>0</v>
      </c>
      <c r="X64" s="24">
        <f t="shared" si="39"/>
        <v>0</v>
      </c>
      <c r="Y64" s="24">
        <f t="shared" si="40"/>
        <v>0</v>
      </c>
      <c r="Z64" s="6">
        <f t="shared" si="24"/>
        <v>-2.5824000000000216</v>
      </c>
      <c r="AB64" s="28">
        <f t="shared" si="41"/>
        <v>-3.3137278576659546E-2</v>
      </c>
      <c r="AC64" s="28">
        <f t="shared" si="42"/>
        <v>-1.749648308847624</v>
      </c>
      <c r="AD64" s="28">
        <f t="shared" si="43"/>
        <v>0</v>
      </c>
      <c r="AE64" s="28">
        <f t="shared" si="44"/>
        <v>0</v>
      </c>
      <c r="AF64" s="28">
        <f t="shared" si="45"/>
        <v>0</v>
      </c>
      <c r="AG64" s="28">
        <f t="shared" si="46"/>
        <v>0</v>
      </c>
      <c r="AH64" s="28">
        <f t="shared" si="47"/>
        <v>0</v>
      </c>
      <c r="AI64" s="28">
        <f t="shared" si="25"/>
        <v>-1.7827855874242835</v>
      </c>
      <c r="AK64" s="1">
        <f t="shared" si="26"/>
        <v>138.4</v>
      </c>
      <c r="AL64" s="24">
        <f t="shared" si="48"/>
        <v>77.400000000000006</v>
      </c>
    </row>
    <row r="65" spans="7:38" x14ac:dyDescent="0.2">
      <c r="G65" s="26">
        <v>56</v>
      </c>
      <c r="H65" s="1">
        <f t="shared" si="49"/>
        <v>13.44000000000001</v>
      </c>
      <c r="I65" s="2"/>
      <c r="J65" s="24">
        <f t="shared" si="27"/>
        <v>2.8385279999999993</v>
      </c>
      <c r="K65" s="24">
        <f t="shared" si="28"/>
        <v>149.87427839999998</v>
      </c>
      <c r="L65" s="6">
        <f t="shared" si="29"/>
        <v>0</v>
      </c>
      <c r="M65" s="6">
        <f t="shared" si="30"/>
        <v>0</v>
      </c>
      <c r="N65" s="6">
        <f t="shared" si="31"/>
        <v>0</v>
      </c>
      <c r="O65" s="6">
        <f t="shared" si="32"/>
        <v>0</v>
      </c>
      <c r="P65" s="6">
        <f t="shared" si="33"/>
        <v>0</v>
      </c>
      <c r="Q65" s="6">
        <f t="shared" si="23"/>
        <v>152.71280639999998</v>
      </c>
      <c r="S65" s="24">
        <f t="shared" si="34"/>
        <v>-5.7600000000000408E-2</v>
      </c>
      <c r="T65" s="27">
        <f t="shared" si="35"/>
        <v>-3.0412800000000217</v>
      </c>
      <c r="U65" s="24">
        <f t="shared" si="36"/>
        <v>0</v>
      </c>
      <c r="V65" s="24">
        <f t="shared" si="37"/>
        <v>0</v>
      </c>
      <c r="W65" s="24">
        <f t="shared" si="38"/>
        <v>0</v>
      </c>
      <c r="X65" s="24">
        <f t="shared" si="39"/>
        <v>0</v>
      </c>
      <c r="Y65" s="24">
        <f t="shared" si="40"/>
        <v>0</v>
      </c>
      <c r="Z65" s="6">
        <f t="shared" si="24"/>
        <v>-3.0988800000000221</v>
      </c>
      <c r="AB65" s="28">
        <f t="shared" si="41"/>
        <v>-3.296091240265582E-2</v>
      </c>
      <c r="AC65" s="28">
        <f t="shared" si="42"/>
        <v>-1.7403361748602271</v>
      </c>
      <c r="AD65" s="28">
        <f t="shared" si="43"/>
        <v>0</v>
      </c>
      <c r="AE65" s="28">
        <f t="shared" si="44"/>
        <v>0</v>
      </c>
      <c r="AF65" s="28">
        <f t="shared" si="45"/>
        <v>0</v>
      </c>
      <c r="AG65" s="28">
        <f t="shared" si="46"/>
        <v>0</v>
      </c>
      <c r="AH65" s="28">
        <f t="shared" si="47"/>
        <v>0</v>
      </c>
      <c r="AI65" s="28">
        <f t="shared" si="25"/>
        <v>-1.7732970872628828</v>
      </c>
      <c r="AK65" s="1">
        <f t="shared" si="26"/>
        <v>138.4</v>
      </c>
      <c r="AL65" s="24">
        <f t="shared" si="48"/>
        <v>77.400000000000006</v>
      </c>
    </row>
    <row r="66" spans="7:38" x14ac:dyDescent="0.2">
      <c r="G66" s="26">
        <v>57</v>
      </c>
      <c r="H66" s="1">
        <f t="shared" si="49"/>
        <v>13.68000000000001</v>
      </c>
      <c r="I66" s="2"/>
      <c r="J66" s="24">
        <f t="shared" si="27"/>
        <v>2.8235519999999994</v>
      </c>
      <c r="K66" s="24">
        <f t="shared" si="28"/>
        <v>149.08354559999995</v>
      </c>
      <c r="L66" s="6">
        <f t="shared" si="29"/>
        <v>0</v>
      </c>
      <c r="M66" s="6">
        <f t="shared" si="30"/>
        <v>0</v>
      </c>
      <c r="N66" s="6">
        <f t="shared" si="31"/>
        <v>0</v>
      </c>
      <c r="O66" s="6">
        <f t="shared" si="32"/>
        <v>0</v>
      </c>
      <c r="P66" s="6">
        <f t="shared" si="33"/>
        <v>0</v>
      </c>
      <c r="Q66" s="6">
        <f t="shared" si="23"/>
        <v>151.90709759999996</v>
      </c>
      <c r="S66" s="24">
        <f t="shared" si="34"/>
        <v>-6.7200000000000412E-2</v>
      </c>
      <c r="T66" s="27">
        <f t="shared" si="35"/>
        <v>-3.548160000000022</v>
      </c>
      <c r="U66" s="24">
        <f t="shared" si="36"/>
        <v>0</v>
      </c>
      <c r="V66" s="24">
        <f t="shared" si="37"/>
        <v>0</v>
      </c>
      <c r="W66" s="24">
        <f t="shared" si="38"/>
        <v>0</v>
      </c>
      <c r="X66" s="24">
        <f t="shared" si="39"/>
        <v>0</v>
      </c>
      <c r="Y66" s="24">
        <f t="shared" si="40"/>
        <v>0</v>
      </c>
      <c r="Z66" s="6">
        <f t="shared" si="24"/>
        <v>-3.6153600000000226</v>
      </c>
      <c r="AB66" s="28">
        <f t="shared" si="41"/>
        <v>-3.2752814505702423E-2</v>
      </c>
      <c r="AC66" s="28">
        <f t="shared" si="42"/>
        <v>-1.7293486059010881</v>
      </c>
      <c r="AD66" s="28">
        <f t="shared" si="43"/>
        <v>0</v>
      </c>
      <c r="AE66" s="28">
        <f t="shared" si="44"/>
        <v>0</v>
      </c>
      <c r="AF66" s="28">
        <f t="shared" si="45"/>
        <v>0</v>
      </c>
      <c r="AG66" s="28">
        <f t="shared" si="46"/>
        <v>0</v>
      </c>
      <c r="AH66" s="28">
        <f t="shared" si="47"/>
        <v>0</v>
      </c>
      <c r="AI66" s="28">
        <f t="shared" si="25"/>
        <v>-1.7621014204067904</v>
      </c>
      <c r="AK66" s="1">
        <f t="shared" si="26"/>
        <v>138.4</v>
      </c>
      <c r="AL66" s="24">
        <f t="shared" si="48"/>
        <v>77.400000000000006</v>
      </c>
    </row>
    <row r="67" spans="7:38" x14ac:dyDescent="0.2">
      <c r="G67" s="26">
        <v>58</v>
      </c>
      <c r="H67" s="1">
        <f t="shared" si="49"/>
        <v>13.920000000000011</v>
      </c>
      <c r="I67" s="2"/>
      <c r="J67" s="24">
        <f t="shared" si="27"/>
        <v>2.806271999999999</v>
      </c>
      <c r="K67" s="24">
        <f t="shared" si="28"/>
        <v>148.17116159999998</v>
      </c>
      <c r="L67" s="6">
        <f t="shared" si="29"/>
        <v>0</v>
      </c>
      <c r="M67" s="6">
        <f t="shared" si="30"/>
        <v>0</v>
      </c>
      <c r="N67" s="6">
        <f t="shared" si="31"/>
        <v>0</v>
      </c>
      <c r="O67" s="6">
        <f t="shared" si="32"/>
        <v>0</v>
      </c>
      <c r="P67" s="6">
        <f t="shared" si="33"/>
        <v>0</v>
      </c>
      <c r="Q67" s="6">
        <f t="shared" si="23"/>
        <v>150.97743359999998</v>
      </c>
      <c r="S67" s="24">
        <f t="shared" si="34"/>
        <v>-7.6800000000000423E-2</v>
      </c>
      <c r="T67" s="27">
        <f t="shared" si="35"/>
        <v>-4.0550400000000222</v>
      </c>
      <c r="U67" s="24">
        <f t="shared" si="36"/>
        <v>0</v>
      </c>
      <c r="V67" s="24">
        <f t="shared" si="37"/>
        <v>0</v>
      </c>
      <c r="W67" s="24">
        <f t="shared" si="38"/>
        <v>0</v>
      </c>
      <c r="X67" s="24">
        <f t="shared" si="39"/>
        <v>0</v>
      </c>
      <c r="Y67" s="24">
        <f t="shared" si="40"/>
        <v>0</v>
      </c>
      <c r="Z67" s="6">
        <f t="shared" si="24"/>
        <v>-4.1318400000000226</v>
      </c>
      <c r="AB67" s="28">
        <f t="shared" si="41"/>
        <v>-3.2513152312870351E-2</v>
      </c>
      <c r="AC67" s="28">
        <f t="shared" si="42"/>
        <v>-1.7166944421195542</v>
      </c>
      <c r="AD67" s="28">
        <f t="shared" si="43"/>
        <v>0</v>
      </c>
      <c r="AE67" s="28">
        <f t="shared" si="44"/>
        <v>0</v>
      </c>
      <c r="AF67" s="28">
        <f t="shared" si="45"/>
        <v>0</v>
      </c>
      <c r="AG67" s="28">
        <f t="shared" si="46"/>
        <v>0</v>
      </c>
      <c r="AH67" s="28">
        <f t="shared" si="47"/>
        <v>0</v>
      </c>
      <c r="AI67" s="28">
        <f t="shared" si="25"/>
        <v>-1.7492075944324246</v>
      </c>
      <c r="AK67" s="1">
        <f t="shared" si="26"/>
        <v>138.4</v>
      </c>
      <c r="AL67" s="24">
        <f t="shared" si="48"/>
        <v>77.400000000000006</v>
      </c>
    </row>
    <row r="68" spans="7:38" x14ac:dyDescent="0.2">
      <c r="G68" s="26">
        <v>59</v>
      </c>
      <c r="H68" s="1">
        <f t="shared" si="49"/>
        <v>14.160000000000011</v>
      </c>
      <c r="I68" s="2"/>
      <c r="J68" s="24">
        <f t="shared" si="27"/>
        <v>2.7866879999999994</v>
      </c>
      <c r="K68" s="24">
        <f t="shared" si="28"/>
        <v>147.13712639999994</v>
      </c>
      <c r="L68" s="6">
        <f t="shared" si="29"/>
        <v>0</v>
      </c>
      <c r="M68" s="6">
        <f t="shared" si="30"/>
        <v>0</v>
      </c>
      <c r="N68" s="6">
        <f t="shared" si="31"/>
        <v>0</v>
      </c>
      <c r="O68" s="6">
        <f t="shared" si="32"/>
        <v>0</v>
      </c>
      <c r="P68" s="6">
        <f t="shared" si="33"/>
        <v>0</v>
      </c>
      <c r="Q68" s="6">
        <f t="shared" si="23"/>
        <v>149.92381439999994</v>
      </c>
      <c r="S68" s="24">
        <f t="shared" si="34"/>
        <v>-8.6400000000000435E-2</v>
      </c>
      <c r="T68" s="27">
        <f t="shared" si="35"/>
        <v>-4.5619200000000228</v>
      </c>
      <c r="U68" s="24">
        <f t="shared" si="36"/>
        <v>0</v>
      </c>
      <c r="V68" s="24">
        <f t="shared" si="37"/>
        <v>0</v>
      </c>
      <c r="W68" s="24">
        <f t="shared" si="38"/>
        <v>0</v>
      </c>
      <c r="X68" s="24">
        <f t="shared" si="39"/>
        <v>0</v>
      </c>
      <c r="Y68" s="24">
        <f t="shared" si="40"/>
        <v>0</v>
      </c>
      <c r="Z68" s="6">
        <f t="shared" si="24"/>
        <v>-4.6483200000000231</v>
      </c>
      <c r="AB68" s="28">
        <f t="shared" si="41"/>
        <v>-3.2242119009241461E-2</v>
      </c>
      <c r="AC68" s="28">
        <f t="shared" si="42"/>
        <v>-1.7023838836879492</v>
      </c>
      <c r="AD68" s="28">
        <f t="shared" si="43"/>
        <v>0</v>
      </c>
      <c r="AE68" s="28">
        <f t="shared" si="44"/>
        <v>0</v>
      </c>
      <c r="AF68" s="28">
        <f t="shared" si="45"/>
        <v>0</v>
      </c>
      <c r="AG68" s="28">
        <f t="shared" si="46"/>
        <v>0</v>
      </c>
      <c r="AH68" s="28">
        <f t="shared" si="47"/>
        <v>0</v>
      </c>
      <c r="AI68" s="28">
        <f t="shared" si="25"/>
        <v>-1.7346260026971907</v>
      </c>
      <c r="AK68" s="1">
        <f t="shared" si="26"/>
        <v>138.4</v>
      </c>
      <c r="AL68" s="24">
        <f t="shared" si="48"/>
        <v>77.400000000000006</v>
      </c>
    </row>
    <row r="69" spans="7:38" x14ac:dyDescent="0.2">
      <c r="G69" s="26">
        <v>60</v>
      </c>
      <c r="H69" s="1">
        <f t="shared" si="49"/>
        <v>14.400000000000011</v>
      </c>
      <c r="I69" s="2"/>
      <c r="J69" s="24">
        <f t="shared" si="27"/>
        <v>2.7647999999999988</v>
      </c>
      <c r="K69" s="24">
        <f t="shared" si="28"/>
        <v>145.98143999999996</v>
      </c>
      <c r="L69" s="6">
        <f t="shared" si="29"/>
        <v>0</v>
      </c>
      <c r="M69" s="6">
        <f t="shared" si="30"/>
        <v>0</v>
      </c>
      <c r="N69" s="6">
        <f t="shared" si="31"/>
        <v>0</v>
      </c>
      <c r="O69" s="6">
        <f t="shared" si="32"/>
        <v>0</v>
      </c>
      <c r="P69" s="6">
        <f t="shared" si="33"/>
        <v>0</v>
      </c>
      <c r="Q69" s="6">
        <f t="shared" si="23"/>
        <v>148.74623999999997</v>
      </c>
      <c r="S69" s="24">
        <f t="shared" si="34"/>
        <v>-9.6000000000000446E-2</v>
      </c>
      <c r="T69" s="27">
        <f t="shared" si="35"/>
        <v>-5.0688000000000235</v>
      </c>
      <c r="U69" s="24">
        <f t="shared" si="36"/>
        <v>0</v>
      </c>
      <c r="V69" s="24">
        <f t="shared" si="37"/>
        <v>0</v>
      </c>
      <c r="W69" s="24">
        <f t="shared" si="38"/>
        <v>0</v>
      </c>
      <c r="X69" s="24">
        <f t="shared" si="39"/>
        <v>0</v>
      </c>
      <c r="Y69" s="24">
        <f t="shared" si="40"/>
        <v>0</v>
      </c>
      <c r="Z69" s="6">
        <f t="shared" si="24"/>
        <v>-5.1648000000000236</v>
      </c>
      <c r="AB69" s="28">
        <f t="shared" si="41"/>
        <v>-3.1939933537908562E-2</v>
      </c>
      <c r="AC69" s="28">
        <f t="shared" si="42"/>
        <v>-1.6864284908015719</v>
      </c>
      <c r="AD69" s="28">
        <f t="shared" si="43"/>
        <v>0</v>
      </c>
      <c r="AE69" s="28">
        <f t="shared" si="44"/>
        <v>0</v>
      </c>
      <c r="AF69" s="28">
        <f t="shared" si="45"/>
        <v>0</v>
      </c>
      <c r="AG69" s="28">
        <f t="shared" si="46"/>
        <v>0</v>
      </c>
      <c r="AH69" s="28">
        <f t="shared" si="47"/>
        <v>0</v>
      </c>
      <c r="AI69" s="28">
        <f t="shared" si="25"/>
        <v>-1.7183684243394803</v>
      </c>
      <c r="AK69" s="1">
        <f t="shared" si="26"/>
        <v>138.4</v>
      </c>
      <c r="AL69" s="24">
        <f t="shared" si="48"/>
        <v>77.400000000000006</v>
      </c>
    </row>
    <row r="70" spans="7:38" x14ac:dyDescent="0.2">
      <c r="G70" s="26">
        <v>61</v>
      </c>
      <c r="H70" s="1">
        <f t="shared" si="49"/>
        <v>14.640000000000011</v>
      </c>
      <c r="I70" s="2"/>
      <c r="J70" s="24">
        <f t="shared" si="27"/>
        <v>2.740607999999999</v>
      </c>
      <c r="K70" s="24">
        <f t="shared" si="28"/>
        <v>144.70410239999995</v>
      </c>
      <c r="L70" s="6">
        <f t="shared" si="29"/>
        <v>0</v>
      </c>
      <c r="M70" s="6">
        <f t="shared" si="30"/>
        <v>0</v>
      </c>
      <c r="N70" s="6">
        <f t="shared" si="31"/>
        <v>0</v>
      </c>
      <c r="O70" s="6">
        <f t="shared" si="32"/>
        <v>0</v>
      </c>
      <c r="P70" s="6">
        <f t="shared" si="33"/>
        <v>0</v>
      </c>
      <c r="Q70" s="6">
        <f t="shared" si="23"/>
        <v>147.44471039999996</v>
      </c>
      <c r="S70" s="24">
        <f t="shared" si="34"/>
        <v>-0.10560000000000046</v>
      </c>
      <c r="T70" s="27">
        <f t="shared" si="35"/>
        <v>-5.5756800000000242</v>
      </c>
      <c r="U70" s="24">
        <f t="shared" si="36"/>
        <v>0</v>
      </c>
      <c r="V70" s="24">
        <f t="shared" si="37"/>
        <v>0</v>
      </c>
      <c r="W70" s="24">
        <f t="shared" si="38"/>
        <v>0</v>
      </c>
      <c r="X70" s="24">
        <f t="shared" si="39"/>
        <v>0</v>
      </c>
      <c r="Y70" s="24">
        <f t="shared" si="40"/>
        <v>0</v>
      </c>
      <c r="Z70" s="6">
        <f t="shared" si="24"/>
        <v>-5.681280000000025</v>
      </c>
      <c r="AB70" s="28">
        <f t="shared" si="41"/>
        <v>-3.1606840599975365E-2</v>
      </c>
      <c r="AC70" s="28">
        <f t="shared" si="42"/>
        <v>-1.6688411836786994</v>
      </c>
      <c r="AD70" s="28">
        <f t="shared" si="43"/>
        <v>0</v>
      </c>
      <c r="AE70" s="28">
        <f t="shared" si="44"/>
        <v>0</v>
      </c>
      <c r="AF70" s="28">
        <f t="shared" si="45"/>
        <v>0</v>
      </c>
      <c r="AG70" s="28">
        <f t="shared" si="46"/>
        <v>0</v>
      </c>
      <c r="AH70" s="28">
        <f t="shared" si="47"/>
        <v>0</v>
      </c>
      <c r="AI70" s="28">
        <f t="shared" si="25"/>
        <v>-1.7004480242786748</v>
      </c>
      <c r="AK70" s="1">
        <f t="shared" si="26"/>
        <v>138.4</v>
      </c>
      <c r="AL70" s="24">
        <f t="shared" si="48"/>
        <v>77.400000000000006</v>
      </c>
    </row>
    <row r="71" spans="7:38" x14ac:dyDescent="0.2">
      <c r="G71" s="26">
        <v>62</v>
      </c>
      <c r="H71" s="1">
        <f t="shared" si="49"/>
        <v>14.880000000000011</v>
      </c>
      <c r="I71" s="2"/>
      <c r="J71" s="24">
        <f t="shared" si="27"/>
        <v>2.7141119999999987</v>
      </c>
      <c r="K71" s="24">
        <f t="shared" si="28"/>
        <v>143.30511359999994</v>
      </c>
      <c r="L71" s="6">
        <f t="shared" si="29"/>
        <v>0</v>
      </c>
      <c r="M71" s="6">
        <f t="shared" si="30"/>
        <v>0</v>
      </c>
      <c r="N71" s="6">
        <f t="shared" si="31"/>
        <v>0</v>
      </c>
      <c r="O71" s="6">
        <f t="shared" si="32"/>
        <v>0</v>
      </c>
      <c r="P71" s="6">
        <f t="shared" si="33"/>
        <v>0</v>
      </c>
      <c r="Q71" s="6">
        <f t="shared" si="23"/>
        <v>146.01922559999994</v>
      </c>
      <c r="S71" s="24">
        <f t="shared" si="34"/>
        <v>-0.11520000000000045</v>
      </c>
      <c r="T71" s="27">
        <f t="shared" si="35"/>
        <v>-6.0825600000000248</v>
      </c>
      <c r="U71" s="24">
        <f t="shared" si="36"/>
        <v>0</v>
      </c>
      <c r="V71" s="24">
        <f t="shared" si="37"/>
        <v>0</v>
      </c>
      <c r="W71" s="24">
        <f t="shared" si="38"/>
        <v>0</v>
      </c>
      <c r="X71" s="24">
        <f t="shared" si="39"/>
        <v>0</v>
      </c>
      <c r="Y71" s="24">
        <f t="shared" si="40"/>
        <v>0</v>
      </c>
      <c r="Z71" s="6">
        <f t="shared" si="24"/>
        <v>-6.1977600000000255</v>
      </c>
      <c r="AB71" s="28">
        <f t="shared" si="41"/>
        <v>-3.1243110654556514E-2</v>
      </c>
      <c r="AC71" s="28">
        <f t="shared" si="42"/>
        <v>-1.6496362425605837</v>
      </c>
      <c r="AD71" s="28">
        <f t="shared" si="43"/>
        <v>0</v>
      </c>
      <c r="AE71" s="28">
        <f t="shared" si="44"/>
        <v>0</v>
      </c>
      <c r="AF71" s="28">
        <f t="shared" si="45"/>
        <v>0</v>
      </c>
      <c r="AG71" s="28">
        <f t="shared" si="46"/>
        <v>0</v>
      </c>
      <c r="AH71" s="28">
        <f t="shared" si="47"/>
        <v>0</v>
      </c>
      <c r="AI71" s="28">
        <f t="shared" si="25"/>
        <v>-1.6808793532151403</v>
      </c>
      <c r="AK71" s="1">
        <f t="shared" si="26"/>
        <v>138.4</v>
      </c>
      <c r="AL71" s="24">
        <f t="shared" si="48"/>
        <v>77.400000000000006</v>
      </c>
    </row>
    <row r="72" spans="7:38" x14ac:dyDescent="0.2">
      <c r="G72" s="26">
        <v>63</v>
      </c>
      <c r="H72" s="1">
        <f t="shared" si="49"/>
        <v>15.120000000000012</v>
      </c>
      <c r="I72" s="2"/>
      <c r="J72" s="24">
        <f t="shared" si="27"/>
        <v>2.6853119999999984</v>
      </c>
      <c r="K72" s="24">
        <f t="shared" si="28"/>
        <v>141.78447359999993</v>
      </c>
      <c r="L72" s="6">
        <f t="shared" si="29"/>
        <v>0</v>
      </c>
      <c r="M72" s="6">
        <f t="shared" si="30"/>
        <v>0</v>
      </c>
      <c r="N72" s="6">
        <f t="shared" si="31"/>
        <v>0</v>
      </c>
      <c r="O72" s="6">
        <f t="shared" si="32"/>
        <v>0</v>
      </c>
      <c r="P72" s="6">
        <f t="shared" si="33"/>
        <v>0</v>
      </c>
      <c r="Q72" s="6">
        <f t="shared" si="23"/>
        <v>144.46978559999994</v>
      </c>
      <c r="S72" s="24">
        <f t="shared" si="34"/>
        <v>-0.12480000000000047</v>
      </c>
      <c r="T72" s="27">
        <f t="shared" si="35"/>
        <v>-6.5894400000000246</v>
      </c>
      <c r="U72" s="24">
        <f t="shared" si="36"/>
        <v>0</v>
      </c>
      <c r="V72" s="24">
        <f t="shared" si="37"/>
        <v>0</v>
      </c>
      <c r="W72" s="24">
        <f t="shared" si="38"/>
        <v>0</v>
      </c>
      <c r="X72" s="24">
        <f t="shared" si="39"/>
        <v>0</v>
      </c>
      <c r="Y72" s="24">
        <f t="shared" si="40"/>
        <v>0</v>
      </c>
      <c r="Z72" s="6">
        <f t="shared" si="24"/>
        <v>-6.7142400000000251</v>
      </c>
      <c r="AB72" s="28">
        <f t="shared" si="41"/>
        <v>-3.0849039918777563E-2</v>
      </c>
      <c r="AC72" s="28">
        <f t="shared" si="42"/>
        <v>-1.6288293077114553</v>
      </c>
      <c r="AD72" s="28">
        <f t="shared" si="43"/>
        <v>0</v>
      </c>
      <c r="AE72" s="28">
        <f t="shared" si="44"/>
        <v>0</v>
      </c>
      <c r="AF72" s="28">
        <f t="shared" si="45"/>
        <v>0</v>
      </c>
      <c r="AG72" s="28">
        <f t="shared" si="46"/>
        <v>0</v>
      </c>
      <c r="AH72" s="28">
        <f t="shared" si="47"/>
        <v>0</v>
      </c>
      <c r="AI72" s="28">
        <f t="shared" si="25"/>
        <v>-1.6596783476302328</v>
      </c>
      <c r="AK72" s="1">
        <f t="shared" si="26"/>
        <v>138.4</v>
      </c>
      <c r="AL72" s="24">
        <f t="shared" si="48"/>
        <v>77.400000000000006</v>
      </c>
    </row>
    <row r="73" spans="7:38" x14ac:dyDescent="0.2">
      <c r="G73" s="26">
        <v>64</v>
      </c>
      <c r="H73" s="1">
        <f t="shared" si="49"/>
        <v>15.360000000000012</v>
      </c>
      <c r="I73" s="2"/>
      <c r="J73" s="24">
        <f t="shared" ref="J73:J109" si="50">0.5*($D$12/1000)*$H73*($D$10-$H73)</f>
        <v>2.6542079999999983</v>
      </c>
      <c r="K73" s="24">
        <f t="shared" ref="K73:K109" si="51">0.5*$D$21*$H73*($D$10-$H73)</f>
        <v>140.14218239999994</v>
      </c>
      <c r="L73" s="6">
        <f t="shared" ref="L73:L109" si="52">IF($H73&lt;=$D$25,($D$24*($D$10-$D$25)*$H73)/$D$10,((($D$24*($D$10-$D$25))/$D$10)*$H73)-($D$24*($H73-$D$25)))</f>
        <v>0</v>
      </c>
      <c r="M73" s="6">
        <f t="shared" ref="M73:M109" si="53">IF($H73&lt;=$D$28,($D$27*($D$10-$D$28)*$H73)/$D$10,((($D$27*($D$10-$D$28))/$D$10)*$H73)-($D$27*($H73-$D$28)))</f>
        <v>0</v>
      </c>
      <c r="N73" s="6">
        <f t="shared" ref="N73:N109" si="54">IF($H73&lt;=$D$31,($D$30*($D$10-$D$31)*$H73)/$D$10,((($D$30*($D$10-$D$31))/$D$10)*$H73)-($D$30*($H73-$D$31)))</f>
        <v>0</v>
      </c>
      <c r="O73" s="6">
        <f t="shared" ref="O73:O109" si="55">IF($H73&lt;=$D$34,($D$33*($D$10-$D$34)*$H73)/$D$10,((($D$33*($D$10-$D$34))/$D$10)*$H73)-($D$33*($H73-$D$34)))</f>
        <v>0</v>
      </c>
      <c r="P73" s="6">
        <f t="shared" ref="P73:P109" si="56">IF($H73&lt;=$D$37,($D$36*($D$10-$D$37)*$H73)/$D$10,((($D$36*($D$10-$D$37))/$D$10)*$H73)-($D$36*($H73-$D$37)))</f>
        <v>0</v>
      </c>
      <c r="Q73" s="6">
        <f t="shared" si="23"/>
        <v>142.79639039999995</v>
      </c>
      <c r="S73" s="24">
        <f t="shared" ref="S73:S109" si="57">($D$12/1000)*(0.5*$D$10-$H73)</f>
        <v>-0.13440000000000049</v>
      </c>
      <c r="T73" s="27">
        <f t="shared" ref="T73:T109" si="58">($D$21*(0.5*$D$10-$H73))</f>
        <v>-7.0963200000000253</v>
      </c>
      <c r="U73" s="24">
        <f t="shared" ref="U73:U109" si="59">IF($H73&lt;=$D$25,($D$24*($D$10-$D$25))/$D$10,-($D$24*$D$25)/$D$10)</f>
        <v>0</v>
      </c>
      <c r="V73" s="24">
        <f t="shared" ref="V73:V109" si="60">IF($H73&lt;=$D$28,($D$27*($D$10-$D$28))/$D$10,-($D$27*$D$28)/$D$10)</f>
        <v>0</v>
      </c>
      <c r="W73" s="24">
        <f t="shared" ref="W73:W109" si="61">IF($H73&lt;=$D$31,($D$30*($D$10-$D$31))/$D$10,-($D$30*$D$31)/$D$10)</f>
        <v>0</v>
      </c>
      <c r="X73" s="24">
        <f t="shared" ref="X73:X109" si="62">IF($H73&lt;=$D$34,($D$33*($D$10-$D$34))/$D$10,-($D$33*$D$34)/$D$10)</f>
        <v>0</v>
      </c>
      <c r="Y73" s="24">
        <f t="shared" ref="Y73:Y109" si="63">IF($H73&lt;=$D$37,($D$36*($D$10-$D$37))/$D$10,-($D$36*$D$37)/$D$10)</f>
        <v>0</v>
      </c>
      <c r="Z73" s="6">
        <f t="shared" si="24"/>
        <v>-7.2307200000000256</v>
      </c>
      <c r="AB73" s="28">
        <f t="shared" ref="AB73:AB109" si="64">-((1.728*$D$12*$H73)/(24*$D$14*$D$13))*(($D$10^3)-(2*$D$10*$H73^2)+($H73^3))</f>
        <v>-3.0424950367774976E-2</v>
      </c>
      <c r="AC73" s="28">
        <f t="shared" ref="AC73:AC109" si="65">-((1728*$D$21*$H73)/(24*$D$14*$D$13))*(($D$10^3)-(2*$D$10*$H73^2)+($H73^3))</f>
        <v>-1.6064373794185187</v>
      </c>
      <c r="AD73" s="28">
        <f t="shared" ref="AD73:AD109" si="66">-IF($H73&lt;=$D$25,(($D$24*($D$10-$D$25)*$H73*1728)/(6*$D$14*$D$13*$D$10))*(($D$10^2)-(($D$10-$D$25)^2)-($H73^2)),(($D$24*$D$25*($D$10-$H73)*1728)/(6*$D$14*$D$13*$D$10))*((2*$D$10*$H73)-($H73^2)-($D$25^2)))</f>
        <v>0</v>
      </c>
      <c r="AE73" s="28">
        <f t="shared" ref="AE73:AE109" si="67">-IF($H73&lt;=$D$28,(($D$27*($D$10-$D$28)*$H73*1728)/(6*$D$14*$D$13*$D$10))*(($D$10^2)-(($D$10-$D$28)^2)-($H73^2)),(($D$27*$D$28*($D$10-$H73)*1728)/(6*$D$14*$D$13*$D$10))*((2*$D$10*$H73)-($H73^2)-($D$28^2)))</f>
        <v>0</v>
      </c>
      <c r="AF73" s="28">
        <f t="shared" ref="AF73:AF109" si="68">-IF($H73&lt;=$D$31,(($D$30*($D$10-$D$31)*$H73*1728)/(6*$D$14*$D$13*$D$10))*(($D$10^2)-(($D$10-$D$31)^2)-($H73^2)),(($D$30*$D$31*($D$10-$H73)*1728)/(6*$D$14*$D$13*$D$10))*((2*$D$10*$H73)-($H73^2)-($D$31^2)))</f>
        <v>0</v>
      </c>
      <c r="AG73" s="28">
        <f t="shared" ref="AG73:AG109" si="69">-IF($H73&lt;=$D$34,(($D$33*($D$10-$D$34)*$H73*1728)/(6*$D$14*$D$13*$D$10))*(($D$10^2)-(($D$10-$D$34)^2)-($H73^2)),(($D$33*$D$34*($D$10-$H73)*1728)/(6*$D$14*$D$13*$D$10))*((2*$D$10*$H73)-($H73^2)-($D$34^2)))</f>
        <v>0</v>
      </c>
      <c r="AH73" s="28">
        <f t="shared" ref="AH73:AH109" si="70">-IF($H73&lt;=$D$37,(($D$36*($D$10-$D$37)*$H73*1728)/(6*$D$14*$D$13*$D$10))*(($D$10^2)-(($D$10-$D$37)^2)-($H73^2)),(($D$36*$D$37*($D$10-$H73)*1728)/(6*$D$14*$D$13*$D$10))*((2*$D$10*$H73)-($H73^2)-($D$37^2)))</f>
        <v>0</v>
      </c>
      <c r="AI73" s="28">
        <f t="shared" si="25"/>
        <v>-1.6368623297862936</v>
      </c>
      <c r="AK73" s="1">
        <f t="shared" si="26"/>
        <v>138.4</v>
      </c>
      <c r="AL73" s="24">
        <f t="shared" ref="AL73:AL109" si="71">D$16</f>
        <v>77.400000000000006</v>
      </c>
    </row>
    <row r="74" spans="7:38" x14ac:dyDescent="0.2">
      <c r="G74" s="26">
        <v>65</v>
      </c>
      <c r="H74" s="1">
        <f t="shared" ref="H74:H109" si="72">H73+D$10/100</f>
        <v>15.600000000000012</v>
      </c>
      <c r="I74" s="2"/>
      <c r="J74" s="24">
        <f t="shared" si="50"/>
        <v>2.6207999999999982</v>
      </c>
      <c r="K74" s="24">
        <f t="shared" si="51"/>
        <v>138.37823999999989</v>
      </c>
      <c r="L74" s="6">
        <f t="shared" si="52"/>
        <v>0</v>
      </c>
      <c r="M74" s="6">
        <f t="shared" si="53"/>
        <v>0</v>
      </c>
      <c r="N74" s="6">
        <f t="shared" si="54"/>
        <v>0</v>
      </c>
      <c r="O74" s="6">
        <f t="shared" si="55"/>
        <v>0</v>
      </c>
      <c r="P74" s="6">
        <f t="shared" si="56"/>
        <v>0</v>
      </c>
      <c r="Q74" s="6">
        <f t="shared" ref="Q74:Q109" si="73">SUM($J74,$K74,$L74,$M74,$N74,$O74,$P74)</f>
        <v>140.99903999999989</v>
      </c>
      <c r="S74" s="24">
        <f t="shared" si="57"/>
        <v>-0.14400000000000049</v>
      </c>
      <c r="T74" s="27">
        <f t="shared" si="58"/>
        <v>-7.6032000000000259</v>
      </c>
      <c r="U74" s="24">
        <f t="shared" si="59"/>
        <v>0</v>
      </c>
      <c r="V74" s="24">
        <f t="shared" si="60"/>
        <v>0</v>
      </c>
      <c r="W74" s="24">
        <f t="shared" si="61"/>
        <v>0</v>
      </c>
      <c r="X74" s="24">
        <f t="shared" si="62"/>
        <v>0</v>
      </c>
      <c r="Y74" s="24">
        <f t="shared" si="63"/>
        <v>0</v>
      </c>
      <c r="Z74" s="6">
        <f t="shared" ref="Z74:Z109" si="74">SUM($S74,$T74,$U74,$V74,$W74,$X74,$Y74)</f>
        <v>-7.7472000000000261</v>
      </c>
      <c r="AB74" s="28">
        <f t="shared" si="64"/>
        <v>-2.997118973469614E-2</v>
      </c>
      <c r="AC74" s="28">
        <f t="shared" si="65"/>
        <v>-1.5824788179919562</v>
      </c>
      <c r="AD74" s="28">
        <f t="shared" si="66"/>
        <v>0</v>
      </c>
      <c r="AE74" s="28">
        <f t="shared" si="67"/>
        <v>0</v>
      </c>
      <c r="AF74" s="28">
        <f t="shared" si="68"/>
        <v>0</v>
      </c>
      <c r="AG74" s="28">
        <f t="shared" si="69"/>
        <v>0</v>
      </c>
      <c r="AH74" s="28">
        <f t="shared" si="70"/>
        <v>0</v>
      </c>
      <c r="AI74" s="28">
        <f t="shared" ref="AI74:AI109" si="75">SUM($AB74,$AC74,$AD74,$AE74,$AF74,$AG74,$AH74)</f>
        <v>-1.6124500077266524</v>
      </c>
      <c r="AK74" s="1">
        <f t="shared" ref="AK74:AK109" si="76">D$17</f>
        <v>138.4</v>
      </c>
      <c r="AL74" s="24">
        <f t="shared" si="71"/>
        <v>77.400000000000006</v>
      </c>
    </row>
    <row r="75" spans="7:38" x14ac:dyDescent="0.2">
      <c r="G75" s="26">
        <v>66</v>
      </c>
      <c r="H75" s="1">
        <f t="shared" si="72"/>
        <v>15.840000000000012</v>
      </c>
      <c r="I75" s="2"/>
      <c r="J75" s="24">
        <f t="shared" si="50"/>
        <v>2.5850879999999981</v>
      </c>
      <c r="K75" s="24">
        <f t="shared" si="51"/>
        <v>136.4926463999999</v>
      </c>
      <c r="L75" s="6">
        <f t="shared" si="52"/>
        <v>0</v>
      </c>
      <c r="M75" s="6">
        <f t="shared" si="53"/>
        <v>0</v>
      </c>
      <c r="N75" s="6">
        <f t="shared" si="54"/>
        <v>0</v>
      </c>
      <c r="O75" s="6">
        <f t="shared" si="55"/>
        <v>0</v>
      </c>
      <c r="P75" s="6">
        <f t="shared" si="56"/>
        <v>0</v>
      </c>
      <c r="Q75" s="6">
        <f t="shared" si="73"/>
        <v>139.07773439999988</v>
      </c>
      <c r="S75" s="24">
        <f t="shared" si="57"/>
        <v>-0.15360000000000049</v>
      </c>
      <c r="T75" s="27">
        <f t="shared" si="58"/>
        <v>-8.1100800000000266</v>
      </c>
      <c r="U75" s="24">
        <f t="shared" si="59"/>
        <v>0</v>
      </c>
      <c r="V75" s="24">
        <f t="shared" si="60"/>
        <v>0</v>
      </c>
      <c r="W75" s="24">
        <f t="shared" si="61"/>
        <v>0</v>
      </c>
      <c r="X75" s="24">
        <f t="shared" si="62"/>
        <v>0</v>
      </c>
      <c r="Y75" s="24">
        <f t="shared" si="63"/>
        <v>0</v>
      </c>
      <c r="Z75" s="6">
        <f t="shared" si="74"/>
        <v>-8.2636800000000274</v>
      </c>
      <c r="AB75" s="28">
        <f t="shared" si="64"/>
        <v>-2.9488131510699376E-2</v>
      </c>
      <c r="AC75" s="28">
        <f t="shared" si="65"/>
        <v>-1.5569733437649271</v>
      </c>
      <c r="AD75" s="28">
        <f t="shared" si="66"/>
        <v>0</v>
      </c>
      <c r="AE75" s="28">
        <f t="shared" si="67"/>
        <v>0</v>
      </c>
      <c r="AF75" s="28">
        <f t="shared" si="68"/>
        <v>0</v>
      </c>
      <c r="AG75" s="28">
        <f t="shared" si="69"/>
        <v>0</v>
      </c>
      <c r="AH75" s="28">
        <f t="shared" si="70"/>
        <v>0</v>
      </c>
      <c r="AI75" s="28">
        <f t="shared" si="75"/>
        <v>-1.5864614752756265</v>
      </c>
      <c r="AK75" s="1">
        <f t="shared" si="76"/>
        <v>138.4</v>
      </c>
      <c r="AL75" s="24">
        <f t="shared" si="71"/>
        <v>77.400000000000006</v>
      </c>
    </row>
    <row r="76" spans="7:38" x14ac:dyDescent="0.2">
      <c r="G76" s="26">
        <v>67</v>
      </c>
      <c r="H76" s="1">
        <f t="shared" si="72"/>
        <v>16.080000000000013</v>
      </c>
      <c r="I76" s="2"/>
      <c r="J76" s="24">
        <f t="shared" si="50"/>
        <v>2.5470719999999982</v>
      </c>
      <c r="K76" s="24">
        <f t="shared" si="51"/>
        <v>134.4854015999999</v>
      </c>
      <c r="L76" s="6">
        <f t="shared" si="52"/>
        <v>0</v>
      </c>
      <c r="M76" s="6">
        <f t="shared" si="53"/>
        <v>0</v>
      </c>
      <c r="N76" s="6">
        <f t="shared" si="54"/>
        <v>0</v>
      </c>
      <c r="O76" s="6">
        <f t="shared" si="55"/>
        <v>0</v>
      </c>
      <c r="P76" s="6">
        <f t="shared" si="56"/>
        <v>0</v>
      </c>
      <c r="Q76" s="6">
        <f t="shared" si="73"/>
        <v>137.03247359999989</v>
      </c>
      <c r="S76" s="24">
        <f t="shared" si="57"/>
        <v>-0.16320000000000051</v>
      </c>
      <c r="T76" s="27">
        <f t="shared" si="58"/>
        <v>-8.6169600000000273</v>
      </c>
      <c r="U76" s="24">
        <f t="shared" si="59"/>
        <v>0</v>
      </c>
      <c r="V76" s="24">
        <f t="shared" si="60"/>
        <v>0</v>
      </c>
      <c r="W76" s="24">
        <f t="shared" si="61"/>
        <v>0</v>
      </c>
      <c r="X76" s="24">
        <f t="shared" si="62"/>
        <v>0</v>
      </c>
      <c r="Y76" s="24">
        <f t="shared" si="63"/>
        <v>0</v>
      </c>
      <c r="Z76" s="6">
        <f t="shared" si="74"/>
        <v>-8.7801600000000271</v>
      </c>
      <c r="AB76" s="28">
        <f t="shared" si="64"/>
        <v>-2.89761749449539E-2</v>
      </c>
      <c r="AC76" s="28">
        <f t="shared" si="65"/>
        <v>-1.5299420370935659</v>
      </c>
      <c r="AD76" s="28">
        <f t="shared" si="66"/>
        <v>0</v>
      </c>
      <c r="AE76" s="28">
        <f t="shared" si="67"/>
        <v>0</v>
      </c>
      <c r="AF76" s="28">
        <f t="shared" si="68"/>
        <v>0</v>
      </c>
      <c r="AG76" s="28">
        <f t="shared" si="69"/>
        <v>0</v>
      </c>
      <c r="AH76" s="28">
        <f t="shared" si="70"/>
        <v>0</v>
      </c>
      <c r="AI76" s="28">
        <f t="shared" si="75"/>
        <v>-1.5589182120385199</v>
      </c>
      <c r="AK76" s="1">
        <f t="shared" si="76"/>
        <v>138.4</v>
      </c>
      <c r="AL76" s="24">
        <f t="shared" si="71"/>
        <v>77.400000000000006</v>
      </c>
    </row>
    <row r="77" spans="7:38" x14ac:dyDescent="0.2">
      <c r="G77" s="26">
        <v>68</v>
      </c>
      <c r="H77" s="1">
        <f t="shared" si="72"/>
        <v>16.320000000000011</v>
      </c>
      <c r="I77" s="2"/>
      <c r="J77" s="24">
        <f t="shared" si="50"/>
        <v>2.5067519999999983</v>
      </c>
      <c r="K77" s="24">
        <f t="shared" si="51"/>
        <v>132.35650559999991</v>
      </c>
      <c r="L77" s="6">
        <f t="shared" si="52"/>
        <v>0</v>
      </c>
      <c r="M77" s="6">
        <f t="shared" si="53"/>
        <v>0</v>
      </c>
      <c r="N77" s="6">
        <f t="shared" si="54"/>
        <v>0</v>
      </c>
      <c r="O77" s="6">
        <f t="shared" si="55"/>
        <v>0</v>
      </c>
      <c r="P77" s="6">
        <f t="shared" si="56"/>
        <v>0</v>
      </c>
      <c r="Q77" s="6">
        <f t="shared" si="73"/>
        <v>134.86325759999991</v>
      </c>
      <c r="S77" s="24">
        <f t="shared" si="57"/>
        <v>-0.17280000000000045</v>
      </c>
      <c r="T77" s="27">
        <f t="shared" si="58"/>
        <v>-9.1238400000000244</v>
      </c>
      <c r="U77" s="24">
        <f t="shared" si="59"/>
        <v>0</v>
      </c>
      <c r="V77" s="24">
        <f t="shared" si="60"/>
        <v>0</v>
      </c>
      <c r="W77" s="24">
        <f t="shared" si="61"/>
        <v>0</v>
      </c>
      <c r="X77" s="24">
        <f t="shared" si="62"/>
        <v>0</v>
      </c>
      <c r="Y77" s="24">
        <f t="shared" si="63"/>
        <v>0</v>
      </c>
      <c r="Z77" s="6">
        <f t="shared" si="74"/>
        <v>-9.2966400000000249</v>
      </c>
      <c r="AB77" s="28">
        <f t="shared" si="64"/>
        <v>-2.8435745044639856E-2</v>
      </c>
      <c r="AC77" s="28">
        <f t="shared" si="65"/>
        <v>-1.5014073383569844</v>
      </c>
      <c r="AD77" s="28">
        <f t="shared" si="66"/>
        <v>0</v>
      </c>
      <c r="AE77" s="28">
        <f t="shared" si="67"/>
        <v>0</v>
      </c>
      <c r="AF77" s="28">
        <f t="shared" si="68"/>
        <v>0</v>
      </c>
      <c r="AG77" s="28">
        <f t="shared" si="69"/>
        <v>0</v>
      </c>
      <c r="AH77" s="28">
        <f t="shared" si="70"/>
        <v>0</v>
      </c>
      <c r="AI77" s="28">
        <f t="shared" si="75"/>
        <v>-1.5298430834016241</v>
      </c>
      <c r="AK77" s="1">
        <f t="shared" si="76"/>
        <v>138.4</v>
      </c>
      <c r="AL77" s="24">
        <f t="shared" si="71"/>
        <v>77.400000000000006</v>
      </c>
    </row>
    <row r="78" spans="7:38" x14ac:dyDescent="0.2">
      <c r="G78" s="26">
        <v>69</v>
      </c>
      <c r="H78" s="1">
        <f t="shared" si="72"/>
        <v>16.560000000000009</v>
      </c>
      <c r="I78" s="2"/>
      <c r="J78" s="24">
        <f t="shared" si="50"/>
        <v>2.4641279999999983</v>
      </c>
      <c r="K78" s="24">
        <f t="shared" si="51"/>
        <v>130.10595839999991</v>
      </c>
      <c r="L78" s="6">
        <f t="shared" si="52"/>
        <v>0</v>
      </c>
      <c r="M78" s="6">
        <f t="shared" si="53"/>
        <v>0</v>
      </c>
      <c r="N78" s="6">
        <f t="shared" si="54"/>
        <v>0</v>
      </c>
      <c r="O78" s="6">
        <f t="shared" si="55"/>
        <v>0</v>
      </c>
      <c r="P78" s="6">
        <f t="shared" si="56"/>
        <v>0</v>
      </c>
      <c r="Q78" s="6">
        <f t="shared" si="73"/>
        <v>132.57008639999989</v>
      </c>
      <c r="S78" s="24">
        <f t="shared" si="57"/>
        <v>-0.18240000000000037</v>
      </c>
      <c r="T78" s="27">
        <f t="shared" si="58"/>
        <v>-9.6307200000000197</v>
      </c>
      <c r="U78" s="24">
        <f t="shared" si="59"/>
        <v>0</v>
      </c>
      <c r="V78" s="24">
        <f t="shared" si="60"/>
        <v>0</v>
      </c>
      <c r="W78" s="24">
        <f t="shared" si="61"/>
        <v>0</v>
      </c>
      <c r="X78" s="24">
        <f t="shared" si="62"/>
        <v>0</v>
      </c>
      <c r="Y78" s="24">
        <f t="shared" si="63"/>
        <v>0</v>
      </c>
      <c r="Z78" s="6">
        <f t="shared" si="74"/>
        <v>-9.8131200000000209</v>
      </c>
      <c r="AB78" s="28">
        <f t="shared" si="64"/>
        <v>-2.7867292574948289E-2</v>
      </c>
      <c r="AC78" s="28">
        <f t="shared" si="65"/>
        <v>-1.4713930479572694</v>
      </c>
      <c r="AD78" s="28">
        <f t="shared" si="66"/>
        <v>0</v>
      </c>
      <c r="AE78" s="28">
        <f t="shared" si="67"/>
        <v>0</v>
      </c>
      <c r="AF78" s="28">
        <f t="shared" si="68"/>
        <v>0</v>
      </c>
      <c r="AG78" s="28">
        <f t="shared" si="69"/>
        <v>0</v>
      </c>
      <c r="AH78" s="28">
        <f t="shared" si="70"/>
        <v>0</v>
      </c>
      <c r="AI78" s="28">
        <f t="shared" si="75"/>
        <v>-1.4992603405322178</v>
      </c>
      <c r="AK78" s="1">
        <f t="shared" si="76"/>
        <v>138.4</v>
      </c>
      <c r="AL78" s="24">
        <f t="shared" si="71"/>
        <v>77.400000000000006</v>
      </c>
    </row>
    <row r="79" spans="7:38" x14ac:dyDescent="0.2">
      <c r="G79" s="26">
        <v>70</v>
      </c>
      <c r="H79" s="1">
        <f t="shared" si="72"/>
        <v>16.800000000000008</v>
      </c>
      <c r="I79" s="2"/>
      <c r="J79" s="24">
        <f t="shared" si="50"/>
        <v>2.4191999999999987</v>
      </c>
      <c r="K79" s="24">
        <f t="shared" si="51"/>
        <v>127.73375999999993</v>
      </c>
      <c r="L79" s="6">
        <f t="shared" si="52"/>
        <v>0</v>
      </c>
      <c r="M79" s="6">
        <f t="shared" si="53"/>
        <v>0</v>
      </c>
      <c r="N79" s="6">
        <f t="shared" si="54"/>
        <v>0</v>
      </c>
      <c r="O79" s="6">
        <f t="shared" si="55"/>
        <v>0</v>
      </c>
      <c r="P79" s="6">
        <f t="shared" si="56"/>
        <v>0</v>
      </c>
      <c r="Q79" s="6">
        <f t="shared" si="73"/>
        <v>130.15295999999992</v>
      </c>
      <c r="S79" s="24">
        <f t="shared" si="57"/>
        <v>-0.19200000000000031</v>
      </c>
      <c r="T79" s="27">
        <f t="shared" si="58"/>
        <v>-10.137600000000017</v>
      </c>
      <c r="U79" s="24">
        <f t="shared" si="59"/>
        <v>0</v>
      </c>
      <c r="V79" s="24">
        <f t="shared" si="60"/>
        <v>0</v>
      </c>
      <c r="W79" s="24">
        <f t="shared" si="61"/>
        <v>0</v>
      </c>
      <c r="X79" s="24">
        <f t="shared" si="62"/>
        <v>0</v>
      </c>
      <c r="Y79" s="24">
        <f t="shared" si="63"/>
        <v>0</v>
      </c>
      <c r="Z79" s="6">
        <f t="shared" si="74"/>
        <v>-10.329600000000017</v>
      </c>
      <c r="AB79" s="28">
        <f t="shared" si="64"/>
        <v>-2.7271294059081193E-2</v>
      </c>
      <c r="AC79" s="28">
        <f t="shared" si="65"/>
        <v>-1.439924326319487</v>
      </c>
      <c r="AD79" s="28">
        <f t="shared" si="66"/>
        <v>0</v>
      </c>
      <c r="AE79" s="28">
        <f t="shared" si="67"/>
        <v>0</v>
      </c>
      <c r="AF79" s="28">
        <f t="shared" si="68"/>
        <v>0</v>
      </c>
      <c r="AG79" s="28">
        <f t="shared" si="69"/>
        <v>0</v>
      </c>
      <c r="AH79" s="28">
        <f t="shared" si="70"/>
        <v>0</v>
      </c>
      <c r="AI79" s="28">
        <f t="shared" si="75"/>
        <v>-1.4671956203785681</v>
      </c>
      <c r="AK79" s="1">
        <f t="shared" si="76"/>
        <v>138.4</v>
      </c>
      <c r="AL79" s="24">
        <f t="shared" si="71"/>
        <v>77.400000000000006</v>
      </c>
    </row>
    <row r="80" spans="7:38" x14ac:dyDescent="0.2">
      <c r="G80" s="26">
        <v>71</v>
      </c>
      <c r="H80" s="1">
        <f t="shared" si="72"/>
        <v>17.040000000000006</v>
      </c>
      <c r="I80" s="2"/>
      <c r="J80" s="24">
        <f t="shared" si="50"/>
        <v>2.371967999999999</v>
      </c>
      <c r="K80" s="24">
        <f t="shared" si="51"/>
        <v>125.23991039999994</v>
      </c>
      <c r="L80" s="6">
        <f t="shared" si="52"/>
        <v>0</v>
      </c>
      <c r="M80" s="6">
        <f t="shared" si="53"/>
        <v>0</v>
      </c>
      <c r="N80" s="6">
        <f t="shared" si="54"/>
        <v>0</v>
      </c>
      <c r="O80" s="6">
        <f t="shared" si="55"/>
        <v>0</v>
      </c>
      <c r="P80" s="6">
        <f t="shared" si="56"/>
        <v>0</v>
      </c>
      <c r="Q80" s="6">
        <f t="shared" si="73"/>
        <v>127.61187839999994</v>
      </c>
      <c r="S80" s="24">
        <f t="shared" si="57"/>
        <v>-0.20160000000000025</v>
      </c>
      <c r="T80" s="27">
        <f t="shared" si="58"/>
        <v>-10.644480000000014</v>
      </c>
      <c r="U80" s="24">
        <f t="shared" si="59"/>
        <v>0</v>
      </c>
      <c r="V80" s="24">
        <f t="shared" si="60"/>
        <v>0</v>
      </c>
      <c r="W80" s="24">
        <f t="shared" si="61"/>
        <v>0</v>
      </c>
      <c r="X80" s="24">
        <f t="shared" si="62"/>
        <v>0</v>
      </c>
      <c r="Y80" s="24">
        <f t="shared" si="63"/>
        <v>0</v>
      </c>
      <c r="Z80" s="6">
        <f t="shared" si="74"/>
        <v>-10.846080000000015</v>
      </c>
      <c r="AB80" s="28">
        <f t="shared" si="64"/>
        <v>-2.6648251778251444E-2</v>
      </c>
      <c r="AC80" s="28">
        <f t="shared" si="65"/>
        <v>-1.4070276938916761</v>
      </c>
      <c r="AD80" s="28">
        <f t="shared" si="66"/>
        <v>0</v>
      </c>
      <c r="AE80" s="28">
        <f t="shared" si="67"/>
        <v>0</v>
      </c>
      <c r="AF80" s="28">
        <f t="shared" si="68"/>
        <v>0</v>
      </c>
      <c r="AG80" s="28">
        <f t="shared" si="69"/>
        <v>0</v>
      </c>
      <c r="AH80" s="28">
        <f t="shared" si="70"/>
        <v>0</v>
      </c>
      <c r="AI80" s="28">
        <f t="shared" si="75"/>
        <v>-1.4336759456699275</v>
      </c>
      <c r="AK80" s="1">
        <f t="shared" si="76"/>
        <v>138.4</v>
      </c>
      <c r="AL80" s="24">
        <f t="shared" si="71"/>
        <v>77.400000000000006</v>
      </c>
    </row>
    <row r="81" spans="7:38" x14ac:dyDescent="0.2">
      <c r="G81" s="26">
        <v>72</v>
      </c>
      <c r="H81" s="1">
        <f t="shared" si="72"/>
        <v>17.280000000000005</v>
      </c>
      <c r="I81" s="2"/>
      <c r="J81" s="24">
        <f t="shared" si="50"/>
        <v>2.3224319999999987</v>
      </c>
      <c r="K81" s="24">
        <f t="shared" si="51"/>
        <v>122.62440959999995</v>
      </c>
      <c r="L81" s="6">
        <f t="shared" si="52"/>
        <v>0</v>
      </c>
      <c r="M81" s="6">
        <f t="shared" si="53"/>
        <v>0</v>
      </c>
      <c r="N81" s="6">
        <f t="shared" si="54"/>
        <v>0</v>
      </c>
      <c r="O81" s="6">
        <f t="shared" si="55"/>
        <v>0</v>
      </c>
      <c r="P81" s="6">
        <f t="shared" si="56"/>
        <v>0</v>
      </c>
      <c r="Q81" s="6">
        <f t="shared" si="73"/>
        <v>124.94684159999994</v>
      </c>
      <c r="S81" s="24">
        <f t="shared" si="57"/>
        <v>-0.21120000000000019</v>
      </c>
      <c r="T81" s="27">
        <f t="shared" si="58"/>
        <v>-11.151360000000011</v>
      </c>
      <c r="U81" s="24">
        <f t="shared" si="59"/>
        <v>0</v>
      </c>
      <c r="V81" s="24">
        <f t="shared" si="60"/>
        <v>0</v>
      </c>
      <c r="W81" s="24">
        <f t="shared" si="61"/>
        <v>0</v>
      </c>
      <c r="X81" s="24">
        <f t="shared" si="62"/>
        <v>0</v>
      </c>
      <c r="Y81" s="24">
        <f t="shared" si="63"/>
        <v>0</v>
      </c>
      <c r="Z81" s="6">
        <f t="shared" si="74"/>
        <v>-11.362560000000011</v>
      </c>
      <c r="AB81" s="28">
        <f t="shared" si="64"/>
        <v>-2.5998693771682877E-2</v>
      </c>
      <c r="AC81" s="28">
        <f t="shared" si="65"/>
        <v>-1.3727310311448557</v>
      </c>
      <c r="AD81" s="28">
        <f t="shared" si="66"/>
        <v>0</v>
      </c>
      <c r="AE81" s="28">
        <f t="shared" si="67"/>
        <v>0</v>
      </c>
      <c r="AF81" s="28">
        <f t="shared" si="68"/>
        <v>0</v>
      </c>
      <c r="AG81" s="28">
        <f t="shared" si="69"/>
        <v>0</v>
      </c>
      <c r="AH81" s="28">
        <f t="shared" si="70"/>
        <v>0</v>
      </c>
      <c r="AI81" s="28">
        <f t="shared" si="75"/>
        <v>-1.3987297249165387</v>
      </c>
      <c r="AK81" s="1">
        <f t="shared" si="76"/>
        <v>138.4</v>
      </c>
      <c r="AL81" s="24">
        <f t="shared" si="71"/>
        <v>77.400000000000006</v>
      </c>
    </row>
    <row r="82" spans="7:38" x14ac:dyDescent="0.2">
      <c r="G82" s="26">
        <v>73</v>
      </c>
      <c r="H82" s="1">
        <f t="shared" si="72"/>
        <v>17.520000000000003</v>
      </c>
      <c r="I82" s="2"/>
      <c r="J82" s="24">
        <f t="shared" si="50"/>
        <v>2.2705919999999993</v>
      </c>
      <c r="K82" s="24">
        <f t="shared" si="51"/>
        <v>119.88725759999997</v>
      </c>
      <c r="L82" s="6">
        <f t="shared" si="52"/>
        <v>0</v>
      </c>
      <c r="M82" s="6">
        <f t="shared" si="53"/>
        <v>0</v>
      </c>
      <c r="N82" s="6">
        <f t="shared" si="54"/>
        <v>0</v>
      </c>
      <c r="O82" s="6">
        <f t="shared" si="55"/>
        <v>0</v>
      </c>
      <c r="P82" s="6">
        <f t="shared" si="56"/>
        <v>0</v>
      </c>
      <c r="Q82" s="6">
        <f t="shared" si="73"/>
        <v>122.15784959999996</v>
      </c>
      <c r="S82" s="24">
        <f t="shared" si="57"/>
        <v>-0.22080000000000014</v>
      </c>
      <c r="T82" s="27">
        <f t="shared" si="58"/>
        <v>-11.658240000000006</v>
      </c>
      <c r="U82" s="24">
        <f t="shared" si="59"/>
        <v>0</v>
      </c>
      <c r="V82" s="24">
        <f t="shared" si="60"/>
        <v>0</v>
      </c>
      <c r="W82" s="24">
        <f t="shared" si="61"/>
        <v>0</v>
      </c>
      <c r="X82" s="24">
        <f t="shared" si="62"/>
        <v>0</v>
      </c>
      <c r="Y82" s="24">
        <f t="shared" si="63"/>
        <v>0</v>
      </c>
      <c r="Z82" s="6">
        <f t="shared" si="74"/>
        <v>-11.879040000000007</v>
      </c>
      <c r="AB82" s="28">
        <f t="shared" si="64"/>
        <v>-2.532317383661022E-2</v>
      </c>
      <c r="AC82" s="28">
        <f t="shared" si="65"/>
        <v>-1.3370635785730196</v>
      </c>
      <c r="AD82" s="28">
        <f t="shared" si="66"/>
        <v>0</v>
      </c>
      <c r="AE82" s="28">
        <f t="shared" si="67"/>
        <v>0</v>
      </c>
      <c r="AF82" s="28">
        <f t="shared" si="68"/>
        <v>0</v>
      </c>
      <c r="AG82" s="28">
        <f t="shared" si="69"/>
        <v>0</v>
      </c>
      <c r="AH82" s="28">
        <f t="shared" si="70"/>
        <v>0</v>
      </c>
      <c r="AI82" s="28">
        <f t="shared" si="75"/>
        <v>-1.3623867524096298</v>
      </c>
      <c r="AK82" s="1">
        <f t="shared" si="76"/>
        <v>138.4</v>
      </c>
      <c r="AL82" s="24">
        <f t="shared" si="71"/>
        <v>77.400000000000006</v>
      </c>
    </row>
    <row r="83" spans="7:38" x14ac:dyDescent="0.2">
      <c r="G83" s="26">
        <v>74</v>
      </c>
      <c r="H83" s="1">
        <f t="shared" si="72"/>
        <v>17.760000000000002</v>
      </c>
      <c r="I83" s="2"/>
      <c r="J83" s="24">
        <f t="shared" si="50"/>
        <v>2.2164479999999998</v>
      </c>
      <c r="K83" s="24">
        <f t="shared" si="51"/>
        <v>117.02845439999997</v>
      </c>
      <c r="L83" s="6">
        <f t="shared" si="52"/>
        <v>0</v>
      </c>
      <c r="M83" s="6">
        <f t="shared" si="53"/>
        <v>0</v>
      </c>
      <c r="N83" s="6">
        <f t="shared" si="54"/>
        <v>0</v>
      </c>
      <c r="O83" s="6">
        <f t="shared" si="55"/>
        <v>0</v>
      </c>
      <c r="P83" s="6">
        <f t="shared" si="56"/>
        <v>0</v>
      </c>
      <c r="Q83" s="6">
        <f t="shared" si="73"/>
        <v>119.24490239999997</v>
      </c>
      <c r="S83" s="24">
        <f t="shared" si="57"/>
        <v>-0.23040000000000008</v>
      </c>
      <c r="T83" s="27">
        <f t="shared" si="58"/>
        <v>-12.165120000000003</v>
      </c>
      <c r="U83" s="24">
        <f t="shared" si="59"/>
        <v>0</v>
      </c>
      <c r="V83" s="24">
        <f t="shared" si="60"/>
        <v>0</v>
      </c>
      <c r="W83" s="24">
        <f t="shared" si="61"/>
        <v>0</v>
      </c>
      <c r="X83" s="24">
        <f t="shared" si="62"/>
        <v>0</v>
      </c>
      <c r="Y83" s="24">
        <f t="shared" si="63"/>
        <v>0</v>
      </c>
      <c r="Z83" s="6">
        <f t="shared" si="74"/>
        <v>-12.395520000000003</v>
      </c>
      <c r="AB83" s="28">
        <f t="shared" si="64"/>
        <v>-2.4622271528279088E-2</v>
      </c>
      <c r="AC83" s="28">
        <f t="shared" si="65"/>
        <v>-1.3000559366931357</v>
      </c>
      <c r="AD83" s="28">
        <f t="shared" si="66"/>
        <v>0</v>
      </c>
      <c r="AE83" s="28">
        <f t="shared" si="67"/>
        <v>0</v>
      </c>
      <c r="AF83" s="28">
        <f t="shared" si="68"/>
        <v>0</v>
      </c>
      <c r="AG83" s="28">
        <f t="shared" si="69"/>
        <v>0</v>
      </c>
      <c r="AH83" s="28">
        <f t="shared" si="70"/>
        <v>0</v>
      </c>
      <c r="AI83" s="28">
        <f t="shared" si="75"/>
        <v>-1.3246782082214148</v>
      </c>
      <c r="AK83" s="1">
        <f t="shared" si="76"/>
        <v>138.4</v>
      </c>
      <c r="AL83" s="24">
        <f t="shared" si="71"/>
        <v>77.400000000000006</v>
      </c>
    </row>
    <row r="84" spans="7:38" x14ac:dyDescent="0.2">
      <c r="G84" s="26">
        <v>75</v>
      </c>
      <c r="H84" s="1">
        <f t="shared" si="72"/>
        <v>18</v>
      </c>
      <c r="I84" s="2"/>
      <c r="J84" s="24">
        <f t="shared" si="50"/>
        <v>2.16</v>
      </c>
      <c r="K84" s="24">
        <f t="shared" si="51"/>
        <v>114.04800000000002</v>
      </c>
      <c r="L84" s="6">
        <f t="shared" si="52"/>
        <v>0</v>
      </c>
      <c r="M84" s="6">
        <f t="shared" si="53"/>
        <v>0</v>
      </c>
      <c r="N84" s="6">
        <f t="shared" si="54"/>
        <v>0</v>
      </c>
      <c r="O84" s="6">
        <f t="shared" si="55"/>
        <v>0</v>
      </c>
      <c r="P84" s="6">
        <f t="shared" si="56"/>
        <v>0</v>
      </c>
      <c r="Q84" s="6">
        <f t="shared" si="73"/>
        <v>116.20800000000001</v>
      </c>
      <c r="S84" s="24">
        <f t="shared" si="57"/>
        <v>-0.24</v>
      </c>
      <c r="T84" s="27">
        <f t="shared" si="58"/>
        <v>-12.672000000000001</v>
      </c>
      <c r="U84" s="24">
        <f t="shared" si="59"/>
        <v>0</v>
      </c>
      <c r="V84" s="24">
        <f t="shared" si="60"/>
        <v>0</v>
      </c>
      <c r="W84" s="24">
        <f t="shared" si="61"/>
        <v>0</v>
      </c>
      <c r="X84" s="24">
        <f t="shared" si="62"/>
        <v>0</v>
      </c>
      <c r="Y84" s="24">
        <f t="shared" si="63"/>
        <v>0</v>
      </c>
      <c r="Z84" s="6">
        <f t="shared" si="74"/>
        <v>-12.912000000000001</v>
      </c>
      <c r="AB84" s="28">
        <f t="shared" si="64"/>
        <v>-2.3896592159946085E-2</v>
      </c>
      <c r="AC84" s="28">
        <f t="shared" si="65"/>
        <v>-1.2617400660451532</v>
      </c>
      <c r="AD84" s="28">
        <f t="shared" si="66"/>
        <v>0</v>
      </c>
      <c r="AE84" s="28">
        <f t="shared" si="67"/>
        <v>0</v>
      </c>
      <c r="AF84" s="28">
        <f t="shared" si="68"/>
        <v>0</v>
      </c>
      <c r="AG84" s="28">
        <f t="shared" si="69"/>
        <v>0</v>
      </c>
      <c r="AH84" s="28">
        <f t="shared" si="70"/>
        <v>0</v>
      </c>
      <c r="AI84" s="28">
        <f t="shared" si="75"/>
        <v>-1.2856366582050993</v>
      </c>
      <c r="AK84" s="1">
        <f t="shared" si="76"/>
        <v>138.4</v>
      </c>
      <c r="AL84" s="24">
        <f t="shared" si="71"/>
        <v>77.400000000000006</v>
      </c>
    </row>
    <row r="85" spans="7:38" x14ac:dyDescent="0.2">
      <c r="G85" s="26">
        <v>76</v>
      </c>
      <c r="H85" s="1">
        <f t="shared" si="72"/>
        <v>18.239999999999998</v>
      </c>
      <c r="I85" s="2"/>
      <c r="J85" s="24">
        <f t="shared" si="50"/>
        <v>2.1012480000000004</v>
      </c>
      <c r="K85" s="24">
        <f t="shared" si="51"/>
        <v>110.94589440000003</v>
      </c>
      <c r="L85" s="6">
        <f t="shared" si="52"/>
        <v>0</v>
      </c>
      <c r="M85" s="6">
        <f t="shared" si="53"/>
        <v>0</v>
      </c>
      <c r="N85" s="6">
        <f t="shared" si="54"/>
        <v>0</v>
      </c>
      <c r="O85" s="6">
        <f t="shared" si="55"/>
        <v>0</v>
      </c>
      <c r="P85" s="6">
        <f t="shared" si="56"/>
        <v>0</v>
      </c>
      <c r="Q85" s="6">
        <f t="shared" si="73"/>
        <v>113.04714240000003</v>
      </c>
      <c r="S85" s="24">
        <f t="shared" si="57"/>
        <v>-0.24959999999999993</v>
      </c>
      <c r="T85" s="27">
        <f t="shared" si="58"/>
        <v>-13.178879999999998</v>
      </c>
      <c r="U85" s="24">
        <f t="shared" si="59"/>
        <v>0</v>
      </c>
      <c r="V85" s="24">
        <f t="shared" si="60"/>
        <v>0</v>
      </c>
      <c r="W85" s="24">
        <f t="shared" si="61"/>
        <v>0</v>
      </c>
      <c r="X85" s="24">
        <f t="shared" si="62"/>
        <v>0</v>
      </c>
      <c r="Y85" s="24">
        <f t="shared" si="63"/>
        <v>0</v>
      </c>
      <c r="Z85" s="6">
        <f t="shared" si="74"/>
        <v>-13.428479999999997</v>
      </c>
      <c r="AB85" s="28">
        <f t="shared" si="64"/>
        <v>-2.3146766802878676E-2</v>
      </c>
      <c r="AC85" s="28">
        <f t="shared" si="65"/>
        <v>-1.2221492871919939</v>
      </c>
      <c r="AD85" s="28">
        <f t="shared" si="66"/>
        <v>0</v>
      </c>
      <c r="AE85" s="28">
        <f t="shared" si="67"/>
        <v>0</v>
      </c>
      <c r="AF85" s="28">
        <f t="shared" si="68"/>
        <v>0</v>
      </c>
      <c r="AG85" s="28">
        <f t="shared" si="69"/>
        <v>0</v>
      </c>
      <c r="AH85" s="28">
        <f t="shared" si="70"/>
        <v>0</v>
      </c>
      <c r="AI85" s="28">
        <f t="shared" si="75"/>
        <v>-1.2452960539948725</v>
      </c>
      <c r="AK85" s="1">
        <f t="shared" si="76"/>
        <v>138.4</v>
      </c>
      <c r="AL85" s="24">
        <f t="shared" si="71"/>
        <v>77.400000000000006</v>
      </c>
    </row>
    <row r="86" spans="7:38" x14ac:dyDescent="0.2">
      <c r="G86" s="26">
        <v>77</v>
      </c>
      <c r="H86" s="1">
        <f t="shared" si="72"/>
        <v>18.479999999999997</v>
      </c>
      <c r="I86" s="2"/>
      <c r="J86" s="24">
        <f t="shared" si="50"/>
        <v>2.0401920000000007</v>
      </c>
      <c r="K86" s="24">
        <f t="shared" si="51"/>
        <v>107.72213760000005</v>
      </c>
      <c r="L86" s="6">
        <f t="shared" si="52"/>
        <v>0</v>
      </c>
      <c r="M86" s="6">
        <f t="shared" si="53"/>
        <v>0</v>
      </c>
      <c r="N86" s="6">
        <f t="shared" si="54"/>
        <v>0</v>
      </c>
      <c r="O86" s="6">
        <f t="shared" si="55"/>
        <v>0</v>
      </c>
      <c r="P86" s="6">
        <f t="shared" si="56"/>
        <v>0</v>
      </c>
      <c r="Q86" s="6">
        <f t="shared" si="73"/>
        <v>109.76232960000006</v>
      </c>
      <c r="S86" s="24">
        <f t="shared" si="57"/>
        <v>-0.25919999999999987</v>
      </c>
      <c r="T86" s="27">
        <f t="shared" si="58"/>
        <v>-13.685759999999995</v>
      </c>
      <c r="U86" s="24">
        <f t="shared" si="59"/>
        <v>0</v>
      </c>
      <c r="V86" s="24">
        <f t="shared" si="60"/>
        <v>0</v>
      </c>
      <c r="W86" s="24">
        <f t="shared" si="61"/>
        <v>0</v>
      </c>
      <c r="X86" s="24">
        <f t="shared" si="62"/>
        <v>0</v>
      </c>
      <c r="Y86" s="24">
        <f t="shared" si="63"/>
        <v>0</v>
      </c>
      <c r="Z86" s="6">
        <f t="shared" si="74"/>
        <v>-13.944959999999995</v>
      </c>
      <c r="AB86" s="28">
        <f t="shared" si="64"/>
        <v>-2.2373452286355261E-2</v>
      </c>
      <c r="AC86" s="28">
        <f t="shared" si="65"/>
        <v>-1.1813182807195579</v>
      </c>
      <c r="AD86" s="28">
        <f t="shared" si="66"/>
        <v>0</v>
      </c>
      <c r="AE86" s="28">
        <f t="shared" si="67"/>
        <v>0</v>
      </c>
      <c r="AF86" s="28">
        <f t="shared" si="68"/>
        <v>0</v>
      </c>
      <c r="AG86" s="28">
        <f t="shared" si="69"/>
        <v>0</v>
      </c>
      <c r="AH86" s="28">
        <f t="shared" si="70"/>
        <v>0</v>
      </c>
      <c r="AI86" s="28">
        <f t="shared" si="75"/>
        <v>-1.2036917330059131</v>
      </c>
      <c r="AK86" s="1">
        <f t="shared" si="76"/>
        <v>138.4</v>
      </c>
      <c r="AL86" s="24">
        <f t="shared" si="71"/>
        <v>77.400000000000006</v>
      </c>
    </row>
    <row r="87" spans="7:38" x14ac:dyDescent="0.2">
      <c r="G87" s="26">
        <v>78</v>
      </c>
      <c r="H87" s="1">
        <f t="shared" si="72"/>
        <v>18.719999999999995</v>
      </c>
      <c r="I87" s="2"/>
      <c r="J87" s="24">
        <f t="shared" si="50"/>
        <v>1.9768320000000013</v>
      </c>
      <c r="K87" s="24">
        <f t="shared" si="51"/>
        <v>104.37672960000008</v>
      </c>
      <c r="L87" s="6">
        <f t="shared" si="52"/>
        <v>0</v>
      </c>
      <c r="M87" s="6">
        <f t="shared" si="53"/>
        <v>0</v>
      </c>
      <c r="N87" s="6">
        <f t="shared" si="54"/>
        <v>0</v>
      </c>
      <c r="O87" s="6">
        <f t="shared" si="55"/>
        <v>0</v>
      </c>
      <c r="P87" s="6">
        <f t="shared" si="56"/>
        <v>0</v>
      </c>
      <c r="Q87" s="6">
        <f t="shared" si="73"/>
        <v>106.35356160000008</v>
      </c>
      <c r="S87" s="24">
        <f t="shared" si="57"/>
        <v>-0.26879999999999982</v>
      </c>
      <c r="T87" s="27">
        <f t="shared" si="58"/>
        <v>-14.19263999999999</v>
      </c>
      <c r="U87" s="24">
        <f t="shared" si="59"/>
        <v>0</v>
      </c>
      <c r="V87" s="24">
        <f t="shared" si="60"/>
        <v>0</v>
      </c>
      <c r="W87" s="24">
        <f t="shared" si="61"/>
        <v>0</v>
      </c>
      <c r="X87" s="24">
        <f t="shared" si="62"/>
        <v>0</v>
      </c>
      <c r="Y87" s="24">
        <f t="shared" si="63"/>
        <v>0</v>
      </c>
      <c r="Z87" s="6">
        <f t="shared" si="74"/>
        <v>-14.461439999999991</v>
      </c>
      <c r="AB87" s="28">
        <f t="shared" si="64"/>
        <v>-2.157733119766516E-2</v>
      </c>
      <c r="AC87" s="28">
        <f t="shared" si="65"/>
        <v>-1.1392830872367201</v>
      </c>
      <c r="AD87" s="28">
        <f t="shared" si="66"/>
        <v>0</v>
      </c>
      <c r="AE87" s="28">
        <f t="shared" si="67"/>
        <v>0</v>
      </c>
      <c r="AF87" s="28">
        <f t="shared" si="68"/>
        <v>0</v>
      </c>
      <c r="AG87" s="28">
        <f t="shared" si="69"/>
        <v>0</v>
      </c>
      <c r="AH87" s="28">
        <f t="shared" si="70"/>
        <v>0</v>
      </c>
      <c r="AI87" s="28">
        <f t="shared" si="75"/>
        <v>-1.1608604184343854</v>
      </c>
      <c r="AK87" s="1">
        <f t="shared" si="76"/>
        <v>138.4</v>
      </c>
      <c r="AL87" s="24">
        <f t="shared" si="71"/>
        <v>77.400000000000006</v>
      </c>
    </row>
    <row r="88" spans="7:38" x14ac:dyDescent="0.2">
      <c r="G88" s="26">
        <v>79</v>
      </c>
      <c r="H88" s="1">
        <f t="shared" si="72"/>
        <v>18.959999999999994</v>
      </c>
      <c r="I88" s="2"/>
      <c r="J88" s="24">
        <f t="shared" si="50"/>
        <v>1.9111680000000018</v>
      </c>
      <c r="K88" s="24">
        <f t="shared" si="51"/>
        <v>100.9096704000001</v>
      </c>
      <c r="L88" s="6">
        <f t="shared" si="52"/>
        <v>0</v>
      </c>
      <c r="M88" s="6">
        <f t="shared" si="53"/>
        <v>0</v>
      </c>
      <c r="N88" s="6">
        <f t="shared" si="54"/>
        <v>0</v>
      </c>
      <c r="O88" s="6">
        <f t="shared" si="55"/>
        <v>0</v>
      </c>
      <c r="P88" s="6">
        <f t="shared" si="56"/>
        <v>0</v>
      </c>
      <c r="Q88" s="6">
        <f t="shared" si="73"/>
        <v>102.8208384000001</v>
      </c>
      <c r="S88" s="24">
        <f t="shared" si="57"/>
        <v>-0.27839999999999976</v>
      </c>
      <c r="T88" s="27">
        <f t="shared" si="58"/>
        <v>-14.699519999999987</v>
      </c>
      <c r="U88" s="24">
        <f t="shared" si="59"/>
        <v>0</v>
      </c>
      <c r="V88" s="24">
        <f t="shared" si="60"/>
        <v>0</v>
      </c>
      <c r="W88" s="24">
        <f t="shared" si="61"/>
        <v>0</v>
      </c>
      <c r="X88" s="24">
        <f t="shared" si="62"/>
        <v>0</v>
      </c>
      <c r="Y88" s="24">
        <f t="shared" si="63"/>
        <v>0</v>
      </c>
      <c r="Z88" s="6">
        <f t="shared" si="74"/>
        <v>-14.977919999999987</v>
      </c>
      <c r="AB88" s="28">
        <f t="shared" si="64"/>
        <v>-2.0759111882108616E-2</v>
      </c>
      <c r="AC88" s="28">
        <f t="shared" si="65"/>
        <v>-1.0960811073753349</v>
      </c>
      <c r="AD88" s="28">
        <f t="shared" si="66"/>
        <v>0</v>
      </c>
      <c r="AE88" s="28">
        <f t="shared" si="67"/>
        <v>0</v>
      </c>
      <c r="AF88" s="28">
        <f t="shared" si="68"/>
        <v>0</v>
      </c>
      <c r="AG88" s="28">
        <f t="shared" si="69"/>
        <v>0</v>
      </c>
      <c r="AH88" s="28">
        <f t="shared" si="70"/>
        <v>0</v>
      </c>
      <c r="AI88" s="28">
        <f t="shared" si="75"/>
        <v>-1.1168402192574436</v>
      </c>
      <c r="AK88" s="1">
        <f t="shared" si="76"/>
        <v>138.4</v>
      </c>
      <c r="AL88" s="24">
        <f t="shared" si="71"/>
        <v>77.400000000000006</v>
      </c>
    </row>
    <row r="89" spans="7:38" x14ac:dyDescent="0.2">
      <c r="G89" s="26">
        <v>80</v>
      </c>
      <c r="H89" s="1">
        <f t="shared" si="72"/>
        <v>19.199999999999992</v>
      </c>
      <c r="I89" s="2"/>
      <c r="J89" s="24">
        <f t="shared" si="50"/>
        <v>1.8432000000000022</v>
      </c>
      <c r="K89" s="24">
        <f t="shared" si="51"/>
        <v>97.320960000000113</v>
      </c>
      <c r="L89" s="6">
        <f t="shared" si="52"/>
        <v>0</v>
      </c>
      <c r="M89" s="6">
        <f t="shared" si="53"/>
        <v>0</v>
      </c>
      <c r="N89" s="6">
        <f t="shared" si="54"/>
        <v>0</v>
      </c>
      <c r="O89" s="6">
        <f t="shared" si="55"/>
        <v>0</v>
      </c>
      <c r="P89" s="6">
        <f t="shared" si="56"/>
        <v>0</v>
      </c>
      <c r="Q89" s="6">
        <f t="shared" si="73"/>
        <v>99.164160000000109</v>
      </c>
      <c r="S89" s="24">
        <f t="shared" si="57"/>
        <v>-0.2879999999999997</v>
      </c>
      <c r="T89" s="27">
        <f t="shared" si="58"/>
        <v>-15.206399999999984</v>
      </c>
      <c r="U89" s="24">
        <f t="shared" si="59"/>
        <v>0</v>
      </c>
      <c r="V89" s="24">
        <f t="shared" si="60"/>
        <v>0</v>
      </c>
      <c r="W89" s="24">
        <f t="shared" si="61"/>
        <v>0</v>
      </c>
      <c r="X89" s="24">
        <f t="shared" si="62"/>
        <v>0</v>
      </c>
      <c r="Y89" s="24">
        <f t="shared" si="63"/>
        <v>0</v>
      </c>
      <c r="Z89" s="6">
        <f t="shared" si="74"/>
        <v>-15.494399999999985</v>
      </c>
      <c r="AB89" s="28">
        <f t="shared" si="64"/>
        <v>-1.991952844299677E-2</v>
      </c>
      <c r="AC89" s="28">
        <f t="shared" si="65"/>
        <v>-1.0517511017902292</v>
      </c>
      <c r="AD89" s="28">
        <f t="shared" si="66"/>
        <v>0</v>
      </c>
      <c r="AE89" s="28">
        <f t="shared" si="67"/>
        <v>0</v>
      </c>
      <c r="AF89" s="28">
        <f t="shared" si="68"/>
        <v>0</v>
      </c>
      <c r="AG89" s="28">
        <f t="shared" si="69"/>
        <v>0</v>
      </c>
      <c r="AH89" s="28">
        <f t="shared" si="70"/>
        <v>0</v>
      </c>
      <c r="AI89" s="28">
        <f t="shared" si="75"/>
        <v>-1.071670630233226</v>
      </c>
      <c r="AK89" s="1">
        <f t="shared" si="76"/>
        <v>138.4</v>
      </c>
      <c r="AL89" s="24">
        <f t="shared" si="71"/>
        <v>77.400000000000006</v>
      </c>
    </row>
    <row r="90" spans="7:38" x14ac:dyDescent="0.2">
      <c r="G90" s="26">
        <v>81</v>
      </c>
      <c r="H90" s="1">
        <f t="shared" si="72"/>
        <v>19.439999999999991</v>
      </c>
      <c r="I90" s="2"/>
      <c r="J90" s="24">
        <f t="shared" si="50"/>
        <v>1.7729280000000027</v>
      </c>
      <c r="K90" s="24">
        <f t="shared" si="51"/>
        <v>93.610598400000157</v>
      </c>
      <c r="L90" s="6">
        <f t="shared" si="52"/>
        <v>0</v>
      </c>
      <c r="M90" s="6">
        <f t="shared" si="53"/>
        <v>0</v>
      </c>
      <c r="N90" s="6">
        <f t="shared" si="54"/>
        <v>0</v>
      </c>
      <c r="O90" s="6">
        <f t="shared" si="55"/>
        <v>0</v>
      </c>
      <c r="P90" s="6">
        <f t="shared" si="56"/>
        <v>0</v>
      </c>
      <c r="Q90" s="6">
        <f t="shared" si="73"/>
        <v>95.383526400000164</v>
      </c>
      <c r="S90" s="24">
        <f t="shared" si="57"/>
        <v>-0.29759999999999964</v>
      </c>
      <c r="T90" s="27">
        <f t="shared" si="58"/>
        <v>-15.713279999999981</v>
      </c>
      <c r="U90" s="24">
        <f t="shared" si="59"/>
        <v>0</v>
      </c>
      <c r="V90" s="24">
        <f t="shared" si="60"/>
        <v>0</v>
      </c>
      <c r="W90" s="24">
        <f t="shared" si="61"/>
        <v>0</v>
      </c>
      <c r="X90" s="24">
        <f t="shared" si="62"/>
        <v>0</v>
      </c>
      <c r="Y90" s="24">
        <f t="shared" si="63"/>
        <v>0</v>
      </c>
      <c r="Z90" s="6">
        <f t="shared" si="74"/>
        <v>-16.010879999999982</v>
      </c>
      <c r="AB90" s="28">
        <f t="shared" si="64"/>
        <v>-1.9059340741651703E-2</v>
      </c>
      <c r="AC90" s="28">
        <f t="shared" si="65"/>
        <v>-1.0063331911592099</v>
      </c>
      <c r="AD90" s="28">
        <f t="shared" si="66"/>
        <v>0</v>
      </c>
      <c r="AE90" s="28">
        <f t="shared" si="67"/>
        <v>0</v>
      </c>
      <c r="AF90" s="28">
        <f t="shared" si="68"/>
        <v>0</v>
      </c>
      <c r="AG90" s="28">
        <f t="shared" si="69"/>
        <v>0</v>
      </c>
      <c r="AH90" s="28">
        <f t="shared" si="70"/>
        <v>0</v>
      </c>
      <c r="AI90" s="28">
        <f t="shared" si="75"/>
        <v>-1.0253925319008617</v>
      </c>
      <c r="AK90" s="1">
        <f t="shared" si="76"/>
        <v>138.4</v>
      </c>
      <c r="AL90" s="24">
        <f t="shared" si="71"/>
        <v>77.400000000000006</v>
      </c>
    </row>
    <row r="91" spans="7:38" x14ac:dyDescent="0.2">
      <c r="G91" s="26">
        <v>82</v>
      </c>
      <c r="H91" s="1">
        <f t="shared" si="72"/>
        <v>19.679999999999989</v>
      </c>
      <c r="I91" s="2"/>
      <c r="J91" s="24">
        <f t="shared" si="50"/>
        <v>1.7003520000000034</v>
      </c>
      <c r="K91" s="24">
        <f t="shared" si="51"/>
        <v>89.778585600000184</v>
      </c>
      <c r="L91" s="6">
        <f t="shared" si="52"/>
        <v>0</v>
      </c>
      <c r="M91" s="6">
        <f t="shared" si="53"/>
        <v>0</v>
      </c>
      <c r="N91" s="6">
        <f t="shared" si="54"/>
        <v>0</v>
      </c>
      <c r="O91" s="6">
        <f t="shared" si="55"/>
        <v>0</v>
      </c>
      <c r="P91" s="6">
        <f t="shared" si="56"/>
        <v>0</v>
      </c>
      <c r="Q91" s="6">
        <f t="shared" si="73"/>
        <v>91.478937600000194</v>
      </c>
      <c r="S91" s="24">
        <f t="shared" si="57"/>
        <v>-0.30719999999999958</v>
      </c>
      <c r="T91" s="27">
        <f t="shared" si="58"/>
        <v>-16.220159999999979</v>
      </c>
      <c r="U91" s="24">
        <f t="shared" si="59"/>
        <v>0</v>
      </c>
      <c r="V91" s="24">
        <f t="shared" si="60"/>
        <v>0</v>
      </c>
      <c r="W91" s="24">
        <f t="shared" si="61"/>
        <v>0</v>
      </c>
      <c r="X91" s="24">
        <f t="shared" si="62"/>
        <v>0</v>
      </c>
      <c r="Y91" s="24">
        <f t="shared" si="63"/>
        <v>0</v>
      </c>
      <c r="Z91" s="6">
        <f t="shared" si="74"/>
        <v>-16.527359999999977</v>
      </c>
      <c r="AB91" s="28">
        <f t="shared" si="64"/>
        <v>-1.8179334397406398E-2</v>
      </c>
      <c r="AC91" s="28">
        <f t="shared" si="65"/>
        <v>-0.95986885618305773</v>
      </c>
      <c r="AD91" s="28">
        <f t="shared" si="66"/>
        <v>0</v>
      </c>
      <c r="AE91" s="28">
        <f t="shared" si="67"/>
        <v>0</v>
      </c>
      <c r="AF91" s="28">
        <f t="shared" si="68"/>
        <v>0</v>
      </c>
      <c r="AG91" s="28">
        <f t="shared" si="69"/>
        <v>0</v>
      </c>
      <c r="AH91" s="28">
        <f t="shared" si="70"/>
        <v>0</v>
      </c>
      <c r="AI91" s="28">
        <f t="shared" si="75"/>
        <v>-0.97804819058046411</v>
      </c>
      <c r="AK91" s="1">
        <f t="shared" si="76"/>
        <v>138.4</v>
      </c>
      <c r="AL91" s="24">
        <f t="shared" si="71"/>
        <v>77.400000000000006</v>
      </c>
    </row>
    <row r="92" spans="7:38" x14ac:dyDescent="0.2">
      <c r="G92" s="26">
        <v>83</v>
      </c>
      <c r="H92" s="1">
        <f t="shared" si="72"/>
        <v>19.919999999999987</v>
      </c>
      <c r="I92" s="2"/>
      <c r="J92" s="24">
        <f t="shared" si="50"/>
        <v>1.625472000000004</v>
      </c>
      <c r="K92" s="24">
        <f t="shared" si="51"/>
        <v>85.824921600000209</v>
      </c>
      <c r="L92" s="6">
        <f t="shared" si="52"/>
        <v>0</v>
      </c>
      <c r="M92" s="6">
        <f t="shared" si="53"/>
        <v>0</v>
      </c>
      <c r="N92" s="6">
        <f t="shared" si="54"/>
        <v>0</v>
      </c>
      <c r="O92" s="6">
        <f t="shared" si="55"/>
        <v>0</v>
      </c>
      <c r="P92" s="6">
        <f t="shared" si="56"/>
        <v>0</v>
      </c>
      <c r="Q92" s="6">
        <f t="shared" si="73"/>
        <v>87.450393600000211</v>
      </c>
      <c r="S92" s="24">
        <f t="shared" si="57"/>
        <v>-0.31679999999999953</v>
      </c>
      <c r="T92" s="27">
        <f t="shared" si="58"/>
        <v>-16.727039999999974</v>
      </c>
      <c r="U92" s="24">
        <f t="shared" si="59"/>
        <v>0</v>
      </c>
      <c r="V92" s="24">
        <f t="shared" si="60"/>
        <v>0</v>
      </c>
      <c r="W92" s="24">
        <f t="shared" si="61"/>
        <v>0</v>
      </c>
      <c r="X92" s="24">
        <f t="shared" si="62"/>
        <v>0</v>
      </c>
      <c r="Y92" s="24">
        <f t="shared" si="63"/>
        <v>0</v>
      </c>
      <c r="Z92" s="6">
        <f t="shared" si="74"/>
        <v>-17.043839999999975</v>
      </c>
      <c r="AB92" s="28">
        <f t="shared" si="64"/>
        <v>-1.7280320787604771E-2</v>
      </c>
      <c r="AC92" s="28">
        <f t="shared" si="65"/>
        <v>-0.91240093758553176</v>
      </c>
      <c r="AD92" s="28">
        <f t="shared" si="66"/>
        <v>0</v>
      </c>
      <c r="AE92" s="28">
        <f t="shared" si="67"/>
        <v>0</v>
      </c>
      <c r="AF92" s="28">
        <f t="shared" si="68"/>
        <v>0</v>
      </c>
      <c r="AG92" s="28">
        <f t="shared" si="69"/>
        <v>0</v>
      </c>
      <c r="AH92" s="28">
        <f t="shared" si="70"/>
        <v>0</v>
      </c>
      <c r="AI92" s="28">
        <f t="shared" si="75"/>
        <v>-0.92968125837313653</v>
      </c>
      <c r="AK92" s="1">
        <f t="shared" si="76"/>
        <v>138.4</v>
      </c>
      <c r="AL92" s="24">
        <f t="shared" si="71"/>
        <v>77.400000000000006</v>
      </c>
    </row>
    <row r="93" spans="7:38" x14ac:dyDescent="0.2">
      <c r="G93" s="26">
        <v>84</v>
      </c>
      <c r="H93" s="1">
        <f t="shared" si="72"/>
        <v>20.159999999999986</v>
      </c>
      <c r="I93" s="2"/>
      <c r="J93" s="24">
        <f t="shared" si="50"/>
        <v>1.5482880000000045</v>
      </c>
      <c r="K93" s="24">
        <f t="shared" si="51"/>
        <v>81.749606400000246</v>
      </c>
      <c r="L93" s="6">
        <f t="shared" si="52"/>
        <v>0</v>
      </c>
      <c r="M93" s="6">
        <f t="shared" si="53"/>
        <v>0</v>
      </c>
      <c r="N93" s="6">
        <f t="shared" si="54"/>
        <v>0</v>
      </c>
      <c r="O93" s="6">
        <f t="shared" si="55"/>
        <v>0</v>
      </c>
      <c r="P93" s="6">
        <f t="shared" si="56"/>
        <v>0</v>
      </c>
      <c r="Q93" s="6">
        <f t="shared" si="73"/>
        <v>83.297894400000246</v>
      </c>
      <c r="S93" s="24">
        <f t="shared" si="57"/>
        <v>-0.32639999999999947</v>
      </c>
      <c r="T93" s="27">
        <f t="shared" si="58"/>
        <v>-17.233919999999973</v>
      </c>
      <c r="U93" s="24">
        <f t="shared" si="59"/>
        <v>0</v>
      </c>
      <c r="V93" s="24">
        <f t="shared" si="60"/>
        <v>0</v>
      </c>
      <c r="W93" s="24">
        <f t="shared" si="61"/>
        <v>0</v>
      </c>
      <c r="X93" s="24">
        <f t="shared" si="62"/>
        <v>0</v>
      </c>
      <c r="Y93" s="24">
        <f t="shared" si="63"/>
        <v>0</v>
      </c>
      <c r="Z93" s="6">
        <f t="shared" si="74"/>
        <v>-17.560319999999972</v>
      </c>
      <c r="AB93" s="28">
        <f t="shared" si="64"/>
        <v>-1.6363137047601627E-2</v>
      </c>
      <c r="AC93" s="28">
        <f t="shared" si="65"/>
        <v>-0.86397363611336586</v>
      </c>
      <c r="AD93" s="28">
        <f t="shared" si="66"/>
        <v>0</v>
      </c>
      <c r="AE93" s="28">
        <f t="shared" si="67"/>
        <v>0</v>
      </c>
      <c r="AF93" s="28">
        <f t="shared" si="68"/>
        <v>0</v>
      </c>
      <c r="AG93" s="28">
        <f t="shared" si="69"/>
        <v>0</v>
      </c>
      <c r="AH93" s="28">
        <f t="shared" si="70"/>
        <v>0</v>
      </c>
      <c r="AI93" s="28">
        <f t="shared" si="75"/>
        <v>-0.88033677316096748</v>
      </c>
      <c r="AK93" s="1">
        <f t="shared" si="76"/>
        <v>138.4</v>
      </c>
      <c r="AL93" s="24">
        <f t="shared" si="71"/>
        <v>77.400000000000006</v>
      </c>
    </row>
    <row r="94" spans="7:38" x14ac:dyDescent="0.2">
      <c r="G94" s="26">
        <v>85</v>
      </c>
      <c r="H94" s="1">
        <f t="shared" si="72"/>
        <v>20.399999999999984</v>
      </c>
      <c r="I94" s="2"/>
      <c r="J94" s="24">
        <f t="shared" si="50"/>
        <v>1.4688000000000052</v>
      </c>
      <c r="K94" s="24">
        <f t="shared" si="51"/>
        <v>77.552640000000281</v>
      </c>
      <c r="L94" s="6">
        <f t="shared" si="52"/>
        <v>0</v>
      </c>
      <c r="M94" s="6">
        <f t="shared" si="53"/>
        <v>0</v>
      </c>
      <c r="N94" s="6">
        <f t="shared" si="54"/>
        <v>0</v>
      </c>
      <c r="O94" s="6">
        <f t="shared" si="55"/>
        <v>0</v>
      </c>
      <c r="P94" s="6">
        <f t="shared" si="56"/>
        <v>0</v>
      </c>
      <c r="Q94" s="6">
        <f t="shared" si="73"/>
        <v>79.021440000000283</v>
      </c>
      <c r="S94" s="24">
        <f t="shared" si="57"/>
        <v>-0.33599999999999935</v>
      </c>
      <c r="T94" s="27">
        <f t="shared" si="58"/>
        <v>-17.740799999999968</v>
      </c>
      <c r="U94" s="24">
        <f t="shared" si="59"/>
        <v>0</v>
      </c>
      <c r="V94" s="24">
        <f t="shared" si="60"/>
        <v>0</v>
      </c>
      <c r="W94" s="24">
        <f t="shared" si="61"/>
        <v>0</v>
      </c>
      <c r="X94" s="24">
        <f t="shared" si="62"/>
        <v>0</v>
      </c>
      <c r="Y94" s="24">
        <f t="shared" si="63"/>
        <v>0</v>
      </c>
      <c r="Z94" s="6">
        <f t="shared" si="74"/>
        <v>-18.076799999999967</v>
      </c>
      <c r="AB94" s="28">
        <f t="shared" si="64"/>
        <v>-1.542864607076274E-2</v>
      </c>
      <c r="AC94" s="28">
        <f t="shared" si="65"/>
        <v>-0.81463251253627267</v>
      </c>
      <c r="AD94" s="28">
        <f t="shared" si="66"/>
        <v>0</v>
      </c>
      <c r="AE94" s="28">
        <f t="shared" si="67"/>
        <v>0</v>
      </c>
      <c r="AF94" s="28">
        <f t="shared" si="68"/>
        <v>0</v>
      </c>
      <c r="AG94" s="28">
        <f t="shared" si="69"/>
        <v>0</v>
      </c>
      <c r="AH94" s="28">
        <f t="shared" si="70"/>
        <v>0</v>
      </c>
      <c r="AI94" s="28">
        <f t="shared" si="75"/>
        <v>-0.83006115860703544</v>
      </c>
      <c r="AK94" s="1">
        <f t="shared" si="76"/>
        <v>138.4</v>
      </c>
      <c r="AL94" s="24">
        <f t="shared" si="71"/>
        <v>77.400000000000006</v>
      </c>
    </row>
    <row r="95" spans="7:38" x14ac:dyDescent="0.2">
      <c r="G95" s="26">
        <v>86</v>
      </c>
      <c r="H95" s="1">
        <f t="shared" si="72"/>
        <v>20.639999999999983</v>
      </c>
      <c r="I95" s="2"/>
      <c r="J95" s="24">
        <f t="shared" si="50"/>
        <v>1.387008000000006</v>
      </c>
      <c r="K95" s="24">
        <f t="shared" si="51"/>
        <v>73.234022400000327</v>
      </c>
      <c r="L95" s="6">
        <f t="shared" si="52"/>
        <v>0</v>
      </c>
      <c r="M95" s="6">
        <f t="shared" si="53"/>
        <v>0</v>
      </c>
      <c r="N95" s="6">
        <f t="shared" si="54"/>
        <v>0</v>
      </c>
      <c r="O95" s="6">
        <f t="shared" si="55"/>
        <v>0</v>
      </c>
      <c r="P95" s="6">
        <f t="shared" si="56"/>
        <v>0</v>
      </c>
      <c r="Q95" s="6">
        <f t="shared" si="73"/>
        <v>74.621030400000336</v>
      </c>
      <c r="S95" s="24">
        <f t="shared" si="57"/>
        <v>-0.3455999999999993</v>
      </c>
      <c r="T95" s="27">
        <f t="shared" si="58"/>
        <v>-18.247679999999963</v>
      </c>
      <c r="U95" s="24">
        <f t="shared" si="59"/>
        <v>0</v>
      </c>
      <c r="V95" s="24">
        <f t="shared" si="60"/>
        <v>0</v>
      </c>
      <c r="W95" s="24">
        <f t="shared" si="61"/>
        <v>0</v>
      </c>
      <c r="X95" s="24">
        <f t="shared" si="62"/>
        <v>0</v>
      </c>
      <c r="Y95" s="24">
        <f t="shared" si="63"/>
        <v>0</v>
      </c>
      <c r="Z95" s="6">
        <f t="shared" si="74"/>
        <v>-18.593279999999965</v>
      </c>
      <c r="AB95" s="28">
        <f t="shared" si="64"/>
        <v>-1.447773650846473E-2</v>
      </c>
      <c r="AC95" s="28">
        <f t="shared" si="65"/>
        <v>-0.7644244876469376</v>
      </c>
      <c r="AD95" s="28">
        <f t="shared" si="66"/>
        <v>0</v>
      </c>
      <c r="AE95" s="28">
        <f t="shared" si="67"/>
        <v>0</v>
      </c>
      <c r="AF95" s="28">
        <f t="shared" si="68"/>
        <v>0</v>
      </c>
      <c r="AG95" s="28">
        <f t="shared" si="69"/>
        <v>0</v>
      </c>
      <c r="AH95" s="28">
        <f t="shared" si="70"/>
        <v>0</v>
      </c>
      <c r="AI95" s="28">
        <f t="shared" si="75"/>
        <v>-0.77890222415540233</v>
      </c>
      <c r="AK95" s="1">
        <f t="shared" si="76"/>
        <v>138.4</v>
      </c>
      <c r="AL95" s="24">
        <f t="shared" si="71"/>
        <v>77.400000000000006</v>
      </c>
    </row>
    <row r="96" spans="7:38" x14ac:dyDescent="0.2">
      <c r="G96" s="26">
        <v>87</v>
      </c>
      <c r="H96" s="1">
        <f t="shared" si="72"/>
        <v>20.879999999999981</v>
      </c>
      <c r="I96" s="2"/>
      <c r="J96" s="24">
        <f t="shared" si="50"/>
        <v>1.3029120000000067</v>
      </c>
      <c r="K96" s="24">
        <f t="shared" si="51"/>
        <v>68.793753600000358</v>
      </c>
      <c r="L96" s="6">
        <f t="shared" si="52"/>
        <v>0</v>
      </c>
      <c r="M96" s="6">
        <f t="shared" si="53"/>
        <v>0</v>
      </c>
      <c r="N96" s="6">
        <f t="shared" si="54"/>
        <v>0</v>
      </c>
      <c r="O96" s="6">
        <f t="shared" si="55"/>
        <v>0</v>
      </c>
      <c r="P96" s="6">
        <f t="shared" si="56"/>
        <v>0</v>
      </c>
      <c r="Q96" s="6">
        <f t="shared" si="73"/>
        <v>70.096665600000364</v>
      </c>
      <c r="S96" s="24">
        <f t="shared" si="57"/>
        <v>-0.35519999999999924</v>
      </c>
      <c r="T96" s="27">
        <f t="shared" si="58"/>
        <v>-18.754559999999962</v>
      </c>
      <c r="U96" s="24">
        <f t="shared" si="59"/>
        <v>0</v>
      </c>
      <c r="V96" s="24">
        <f t="shared" si="60"/>
        <v>0</v>
      </c>
      <c r="W96" s="24">
        <f t="shared" si="61"/>
        <v>0</v>
      </c>
      <c r="X96" s="24">
        <f t="shared" si="62"/>
        <v>0</v>
      </c>
      <c r="Y96" s="24">
        <f t="shared" si="63"/>
        <v>0</v>
      </c>
      <c r="Z96" s="6">
        <f t="shared" si="74"/>
        <v>-19.109759999999962</v>
      </c>
      <c r="AB96" s="28">
        <f t="shared" si="64"/>
        <v>-1.3511322770095183E-2</v>
      </c>
      <c r="AC96" s="28">
        <f t="shared" si="65"/>
        <v>-0.71339784226102554</v>
      </c>
      <c r="AD96" s="28">
        <f t="shared" si="66"/>
        <v>0</v>
      </c>
      <c r="AE96" s="28">
        <f t="shared" si="67"/>
        <v>0</v>
      </c>
      <c r="AF96" s="28">
        <f t="shared" si="68"/>
        <v>0</v>
      </c>
      <c r="AG96" s="28">
        <f t="shared" si="69"/>
        <v>0</v>
      </c>
      <c r="AH96" s="28">
        <f t="shared" si="70"/>
        <v>0</v>
      </c>
      <c r="AI96" s="28">
        <f t="shared" si="75"/>
        <v>-0.72690916503112069</v>
      </c>
      <c r="AK96" s="1">
        <f t="shared" si="76"/>
        <v>138.4</v>
      </c>
      <c r="AL96" s="24">
        <f t="shared" si="71"/>
        <v>77.400000000000006</v>
      </c>
    </row>
    <row r="97" spans="7:38" x14ac:dyDescent="0.2">
      <c r="G97" s="26">
        <v>88</v>
      </c>
      <c r="H97" s="1">
        <f t="shared" si="72"/>
        <v>21.11999999999998</v>
      </c>
      <c r="I97" s="2"/>
      <c r="J97" s="24">
        <f t="shared" si="50"/>
        <v>1.2165120000000074</v>
      </c>
      <c r="K97" s="24">
        <f t="shared" si="51"/>
        <v>64.2318336000004</v>
      </c>
      <c r="L97" s="6">
        <f t="shared" si="52"/>
        <v>0</v>
      </c>
      <c r="M97" s="6">
        <f t="shared" si="53"/>
        <v>0</v>
      </c>
      <c r="N97" s="6">
        <f t="shared" si="54"/>
        <v>0</v>
      </c>
      <c r="O97" s="6">
        <f t="shared" si="55"/>
        <v>0</v>
      </c>
      <c r="P97" s="6">
        <f t="shared" si="56"/>
        <v>0</v>
      </c>
      <c r="Q97" s="6">
        <f t="shared" si="73"/>
        <v>65.448345600000408</v>
      </c>
      <c r="S97" s="24">
        <f t="shared" si="57"/>
        <v>-0.36479999999999918</v>
      </c>
      <c r="T97" s="27">
        <f t="shared" si="58"/>
        <v>-19.261439999999958</v>
      </c>
      <c r="U97" s="24">
        <f t="shared" si="59"/>
        <v>0</v>
      </c>
      <c r="V97" s="24">
        <f t="shared" si="60"/>
        <v>0</v>
      </c>
      <c r="W97" s="24">
        <f t="shared" si="61"/>
        <v>0</v>
      </c>
      <c r="X97" s="24">
        <f t="shared" si="62"/>
        <v>0</v>
      </c>
      <c r="Y97" s="24">
        <f t="shared" si="63"/>
        <v>0</v>
      </c>
      <c r="Z97" s="6">
        <f t="shared" si="74"/>
        <v>-19.626239999999957</v>
      </c>
      <c r="AB97" s="28">
        <f t="shared" si="64"/>
        <v>-1.2530345023052617E-2</v>
      </c>
      <c r="AC97" s="28">
        <f t="shared" si="65"/>
        <v>-0.66160221721717827</v>
      </c>
      <c r="AD97" s="28">
        <f t="shared" si="66"/>
        <v>0</v>
      </c>
      <c r="AE97" s="28">
        <f t="shared" si="67"/>
        <v>0</v>
      </c>
      <c r="AF97" s="28">
        <f t="shared" si="68"/>
        <v>0</v>
      </c>
      <c r="AG97" s="28">
        <f t="shared" si="69"/>
        <v>0</v>
      </c>
      <c r="AH97" s="28">
        <f t="shared" si="70"/>
        <v>0</v>
      </c>
      <c r="AI97" s="28">
        <f t="shared" si="75"/>
        <v>-0.67413256224023088</v>
      </c>
      <c r="AK97" s="1">
        <f t="shared" si="76"/>
        <v>138.4</v>
      </c>
      <c r="AL97" s="24">
        <f t="shared" si="71"/>
        <v>77.400000000000006</v>
      </c>
    </row>
    <row r="98" spans="7:38" x14ac:dyDescent="0.2">
      <c r="G98" s="26">
        <v>89</v>
      </c>
      <c r="H98" s="1">
        <f t="shared" si="72"/>
        <v>21.359999999999978</v>
      </c>
      <c r="I98" s="2"/>
      <c r="J98" s="24">
        <f t="shared" si="50"/>
        <v>1.1278080000000081</v>
      </c>
      <c r="K98" s="24">
        <f t="shared" si="51"/>
        <v>59.548262400000432</v>
      </c>
      <c r="L98" s="6">
        <f t="shared" si="52"/>
        <v>0</v>
      </c>
      <c r="M98" s="6">
        <f t="shared" si="53"/>
        <v>0</v>
      </c>
      <c r="N98" s="6">
        <f t="shared" si="54"/>
        <v>0</v>
      </c>
      <c r="O98" s="6">
        <f t="shared" si="55"/>
        <v>0</v>
      </c>
      <c r="P98" s="6">
        <f t="shared" si="56"/>
        <v>0</v>
      </c>
      <c r="Q98" s="6">
        <f t="shared" si="73"/>
        <v>60.676070400000441</v>
      </c>
      <c r="S98" s="24">
        <f t="shared" si="57"/>
        <v>-0.37439999999999912</v>
      </c>
      <c r="T98" s="27">
        <f t="shared" si="58"/>
        <v>-19.768319999999953</v>
      </c>
      <c r="U98" s="24">
        <f t="shared" si="59"/>
        <v>0</v>
      </c>
      <c r="V98" s="24">
        <f t="shared" si="60"/>
        <v>0</v>
      </c>
      <c r="W98" s="24">
        <f t="shared" si="61"/>
        <v>0</v>
      </c>
      <c r="X98" s="24">
        <f t="shared" si="62"/>
        <v>0</v>
      </c>
      <c r="Y98" s="24">
        <f t="shared" si="63"/>
        <v>0</v>
      </c>
      <c r="Z98" s="6">
        <f t="shared" si="74"/>
        <v>-20.142719999999951</v>
      </c>
      <c r="AB98" s="28">
        <f t="shared" si="64"/>
        <v>-1.1535769192746461E-2</v>
      </c>
      <c r="AC98" s="28">
        <f t="shared" si="65"/>
        <v>-0.60908861337701303</v>
      </c>
      <c r="AD98" s="28">
        <f t="shared" si="66"/>
        <v>0</v>
      </c>
      <c r="AE98" s="28">
        <f t="shared" si="67"/>
        <v>0</v>
      </c>
      <c r="AF98" s="28">
        <f t="shared" si="68"/>
        <v>0</v>
      </c>
      <c r="AG98" s="28">
        <f t="shared" si="69"/>
        <v>0</v>
      </c>
      <c r="AH98" s="28">
        <f t="shared" si="70"/>
        <v>0</v>
      </c>
      <c r="AI98" s="28">
        <f t="shared" si="75"/>
        <v>-0.62062438256975949</v>
      </c>
      <c r="AK98" s="1">
        <f t="shared" si="76"/>
        <v>138.4</v>
      </c>
      <c r="AL98" s="24">
        <f t="shared" si="71"/>
        <v>77.400000000000006</v>
      </c>
    </row>
    <row r="99" spans="7:38" x14ac:dyDescent="0.2">
      <c r="G99" s="26">
        <v>90</v>
      </c>
      <c r="H99" s="1">
        <f t="shared" si="72"/>
        <v>21.599999999999977</v>
      </c>
      <c r="I99" s="2"/>
      <c r="J99" s="24">
        <f t="shared" si="50"/>
        <v>1.036800000000009</v>
      </c>
      <c r="K99" s="24">
        <f t="shared" si="51"/>
        <v>54.743040000000477</v>
      </c>
      <c r="L99" s="6">
        <f t="shared" si="52"/>
        <v>0</v>
      </c>
      <c r="M99" s="6">
        <f t="shared" si="53"/>
        <v>0</v>
      </c>
      <c r="N99" s="6">
        <f t="shared" si="54"/>
        <v>0</v>
      </c>
      <c r="O99" s="6">
        <f t="shared" si="55"/>
        <v>0</v>
      </c>
      <c r="P99" s="6">
        <f t="shared" si="56"/>
        <v>0</v>
      </c>
      <c r="Q99" s="6">
        <f t="shared" si="73"/>
        <v>55.779840000000483</v>
      </c>
      <c r="S99" s="24">
        <f t="shared" si="57"/>
        <v>-0.38399999999999906</v>
      </c>
      <c r="T99" s="27">
        <f t="shared" si="58"/>
        <v>-20.275199999999952</v>
      </c>
      <c r="U99" s="24">
        <f t="shared" si="59"/>
        <v>0</v>
      </c>
      <c r="V99" s="24">
        <f t="shared" si="60"/>
        <v>0</v>
      </c>
      <c r="W99" s="24">
        <f t="shared" si="61"/>
        <v>0</v>
      </c>
      <c r="X99" s="24">
        <f t="shared" si="62"/>
        <v>0</v>
      </c>
      <c r="Y99" s="24">
        <f t="shared" si="63"/>
        <v>0</v>
      </c>
      <c r="Z99" s="6">
        <f t="shared" si="74"/>
        <v>-20.659199999999952</v>
      </c>
      <c r="AB99" s="28">
        <f t="shared" si="64"/>
        <v>-1.0528586962596984E-2</v>
      </c>
      <c r="AC99" s="28">
        <f t="shared" si="65"/>
        <v>-0.55590939162512076</v>
      </c>
      <c r="AD99" s="28">
        <f t="shared" si="66"/>
        <v>0</v>
      </c>
      <c r="AE99" s="28">
        <f t="shared" si="67"/>
        <v>0</v>
      </c>
      <c r="AF99" s="28">
        <f t="shared" si="68"/>
        <v>0</v>
      </c>
      <c r="AG99" s="28">
        <f t="shared" si="69"/>
        <v>0</v>
      </c>
      <c r="AH99" s="28">
        <f t="shared" si="70"/>
        <v>0</v>
      </c>
      <c r="AI99" s="28">
        <f t="shared" si="75"/>
        <v>-0.56643797858771772</v>
      </c>
      <c r="AK99" s="1">
        <f t="shared" si="76"/>
        <v>138.4</v>
      </c>
      <c r="AL99" s="24">
        <f t="shared" si="71"/>
        <v>77.400000000000006</v>
      </c>
    </row>
    <row r="100" spans="7:38" x14ac:dyDescent="0.2">
      <c r="G100" s="26">
        <v>91</v>
      </c>
      <c r="H100" s="1">
        <f t="shared" si="72"/>
        <v>21.839999999999975</v>
      </c>
      <c r="I100" s="2"/>
      <c r="J100" s="24">
        <f t="shared" si="50"/>
        <v>0.94348800000000987</v>
      </c>
      <c r="K100" s="24">
        <f t="shared" si="51"/>
        <v>49.816166400000526</v>
      </c>
      <c r="L100" s="6">
        <f t="shared" si="52"/>
        <v>0</v>
      </c>
      <c r="M100" s="6">
        <f t="shared" si="53"/>
        <v>0</v>
      </c>
      <c r="N100" s="6">
        <f t="shared" si="54"/>
        <v>0</v>
      </c>
      <c r="O100" s="6">
        <f t="shared" si="55"/>
        <v>0</v>
      </c>
      <c r="P100" s="6">
        <f t="shared" si="56"/>
        <v>0</v>
      </c>
      <c r="Q100" s="6">
        <f t="shared" si="73"/>
        <v>50.759654400000535</v>
      </c>
      <c r="S100" s="24">
        <f t="shared" si="57"/>
        <v>-0.39359999999999901</v>
      </c>
      <c r="T100" s="27">
        <f t="shared" si="58"/>
        <v>-20.782079999999947</v>
      </c>
      <c r="U100" s="24">
        <f t="shared" si="59"/>
        <v>0</v>
      </c>
      <c r="V100" s="24">
        <f t="shared" si="60"/>
        <v>0</v>
      </c>
      <c r="W100" s="24">
        <f t="shared" si="61"/>
        <v>0</v>
      </c>
      <c r="X100" s="24">
        <f t="shared" si="62"/>
        <v>0</v>
      </c>
      <c r="Y100" s="24">
        <f t="shared" si="63"/>
        <v>0</v>
      </c>
      <c r="Z100" s="6">
        <f t="shared" si="74"/>
        <v>-21.175679999999947</v>
      </c>
      <c r="AB100" s="28">
        <f t="shared" si="64"/>
        <v>-9.5098157740354673E-3</v>
      </c>
      <c r="AC100" s="28">
        <f t="shared" si="65"/>
        <v>-0.50211827286907273</v>
      </c>
      <c r="AD100" s="28">
        <f t="shared" si="66"/>
        <v>0</v>
      </c>
      <c r="AE100" s="28">
        <f t="shared" si="67"/>
        <v>0</v>
      </c>
      <c r="AF100" s="28">
        <f t="shared" si="68"/>
        <v>0</v>
      </c>
      <c r="AG100" s="28">
        <f t="shared" si="69"/>
        <v>0</v>
      </c>
      <c r="AH100" s="28">
        <f t="shared" si="70"/>
        <v>0</v>
      </c>
      <c r="AI100" s="28">
        <f t="shared" si="75"/>
        <v>-0.51162808864310816</v>
      </c>
      <c r="AK100" s="1">
        <f t="shared" si="76"/>
        <v>138.4</v>
      </c>
      <c r="AL100" s="24">
        <f t="shared" si="71"/>
        <v>77.400000000000006</v>
      </c>
    </row>
    <row r="101" spans="7:38" x14ac:dyDescent="0.2">
      <c r="G101" s="26">
        <v>92</v>
      </c>
      <c r="H101" s="1">
        <f t="shared" si="72"/>
        <v>22.079999999999973</v>
      </c>
      <c r="I101" s="2"/>
      <c r="J101" s="24">
        <f t="shared" si="50"/>
        <v>0.84787200000001073</v>
      </c>
      <c r="K101" s="24">
        <f t="shared" si="51"/>
        <v>44.767641600000566</v>
      </c>
      <c r="L101" s="6">
        <f t="shared" si="52"/>
        <v>0</v>
      </c>
      <c r="M101" s="6">
        <f t="shared" si="53"/>
        <v>0</v>
      </c>
      <c r="N101" s="6">
        <f t="shared" si="54"/>
        <v>0</v>
      </c>
      <c r="O101" s="6">
        <f t="shared" si="55"/>
        <v>0</v>
      </c>
      <c r="P101" s="6">
        <f t="shared" si="56"/>
        <v>0</v>
      </c>
      <c r="Q101" s="6">
        <f t="shared" si="73"/>
        <v>45.615513600000575</v>
      </c>
      <c r="S101" s="24">
        <f t="shared" si="57"/>
        <v>-0.40319999999999895</v>
      </c>
      <c r="T101" s="27">
        <f t="shared" si="58"/>
        <v>-21.288959999999946</v>
      </c>
      <c r="U101" s="24">
        <f t="shared" si="59"/>
        <v>0</v>
      </c>
      <c r="V101" s="24">
        <f t="shared" si="60"/>
        <v>0</v>
      </c>
      <c r="W101" s="24">
        <f t="shared" si="61"/>
        <v>0</v>
      </c>
      <c r="X101" s="24">
        <f t="shared" si="62"/>
        <v>0</v>
      </c>
      <c r="Y101" s="24">
        <f t="shared" si="63"/>
        <v>0</v>
      </c>
      <c r="Z101" s="6">
        <f t="shared" si="74"/>
        <v>-21.692159999999944</v>
      </c>
      <c r="AB101" s="28">
        <f t="shared" si="64"/>
        <v>-8.4804988265040834E-3</v>
      </c>
      <c r="AC101" s="28">
        <f t="shared" si="65"/>
        <v>-0.44777033803941552</v>
      </c>
      <c r="AD101" s="28">
        <f t="shared" si="66"/>
        <v>0</v>
      </c>
      <c r="AE101" s="28">
        <f t="shared" si="67"/>
        <v>0</v>
      </c>
      <c r="AF101" s="28">
        <f t="shared" si="68"/>
        <v>0</v>
      </c>
      <c r="AG101" s="28">
        <f t="shared" si="69"/>
        <v>0</v>
      </c>
      <c r="AH101" s="28">
        <f t="shared" si="70"/>
        <v>0</v>
      </c>
      <c r="AI101" s="28">
        <f t="shared" si="75"/>
        <v>-0.45625083686591961</v>
      </c>
      <c r="AK101" s="1">
        <f t="shared" si="76"/>
        <v>138.4</v>
      </c>
      <c r="AL101" s="24">
        <f t="shared" si="71"/>
        <v>77.400000000000006</v>
      </c>
    </row>
    <row r="102" spans="7:38" x14ac:dyDescent="0.2">
      <c r="G102" s="26">
        <v>93</v>
      </c>
      <c r="H102" s="1">
        <f t="shared" si="72"/>
        <v>22.319999999999972</v>
      </c>
      <c r="I102" s="2"/>
      <c r="J102" s="24">
        <f t="shared" si="50"/>
        <v>0.74995200000001161</v>
      </c>
      <c r="K102" s="24">
        <f t="shared" si="51"/>
        <v>39.597465600000618</v>
      </c>
      <c r="L102" s="6">
        <f t="shared" si="52"/>
        <v>0</v>
      </c>
      <c r="M102" s="6">
        <f t="shared" si="53"/>
        <v>0</v>
      </c>
      <c r="N102" s="6">
        <f t="shared" si="54"/>
        <v>0</v>
      </c>
      <c r="O102" s="6">
        <f t="shared" si="55"/>
        <v>0</v>
      </c>
      <c r="P102" s="6">
        <f t="shared" si="56"/>
        <v>0</v>
      </c>
      <c r="Q102" s="6">
        <f t="shared" si="73"/>
        <v>40.347417600000632</v>
      </c>
      <c r="S102" s="24">
        <f t="shared" si="57"/>
        <v>-0.41279999999999889</v>
      </c>
      <c r="T102" s="27">
        <f t="shared" si="58"/>
        <v>-21.795839999999941</v>
      </c>
      <c r="U102" s="24">
        <f t="shared" si="59"/>
        <v>0</v>
      </c>
      <c r="V102" s="24">
        <f t="shared" si="60"/>
        <v>0</v>
      </c>
      <c r="W102" s="24">
        <f t="shared" si="61"/>
        <v>0</v>
      </c>
      <c r="X102" s="24">
        <f t="shared" si="62"/>
        <v>0</v>
      </c>
      <c r="Y102" s="24">
        <f t="shared" si="63"/>
        <v>0</v>
      </c>
      <c r="Z102" s="6">
        <f t="shared" si="74"/>
        <v>-22.208639999999939</v>
      </c>
      <c r="AB102" s="28">
        <f t="shared" si="64"/>
        <v>-7.4417050774559113E-3</v>
      </c>
      <c r="AC102" s="28">
        <f t="shared" si="65"/>
        <v>-0.39292202808967208</v>
      </c>
      <c r="AD102" s="28">
        <f t="shared" si="66"/>
        <v>0</v>
      </c>
      <c r="AE102" s="28">
        <f t="shared" si="67"/>
        <v>0</v>
      </c>
      <c r="AF102" s="28">
        <f t="shared" si="68"/>
        <v>0</v>
      </c>
      <c r="AG102" s="28">
        <f t="shared" si="69"/>
        <v>0</v>
      </c>
      <c r="AH102" s="28">
        <f t="shared" si="70"/>
        <v>0</v>
      </c>
      <c r="AI102" s="28">
        <f t="shared" si="75"/>
        <v>-0.40036373316712798</v>
      </c>
      <c r="AK102" s="1">
        <f t="shared" si="76"/>
        <v>138.4</v>
      </c>
      <c r="AL102" s="24">
        <f t="shared" si="71"/>
        <v>77.400000000000006</v>
      </c>
    </row>
    <row r="103" spans="7:38" x14ac:dyDescent="0.2">
      <c r="G103" s="26">
        <v>94</v>
      </c>
      <c r="H103" s="1">
        <f t="shared" si="72"/>
        <v>22.55999999999997</v>
      </c>
      <c r="I103" s="2"/>
      <c r="J103" s="24">
        <f t="shared" si="50"/>
        <v>0.64972800000001263</v>
      </c>
      <c r="K103" s="24">
        <f t="shared" si="51"/>
        <v>34.30563840000066</v>
      </c>
      <c r="L103" s="6">
        <f t="shared" si="52"/>
        <v>0</v>
      </c>
      <c r="M103" s="6">
        <f t="shared" si="53"/>
        <v>0</v>
      </c>
      <c r="N103" s="6">
        <f t="shared" si="54"/>
        <v>0</v>
      </c>
      <c r="O103" s="6">
        <f t="shared" si="55"/>
        <v>0</v>
      </c>
      <c r="P103" s="6">
        <f t="shared" si="56"/>
        <v>0</v>
      </c>
      <c r="Q103" s="6">
        <f t="shared" si="73"/>
        <v>34.955366400000671</v>
      </c>
      <c r="S103" s="24">
        <f t="shared" si="57"/>
        <v>-0.42239999999999883</v>
      </c>
      <c r="T103" s="27">
        <f t="shared" si="58"/>
        <v>-22.302719999999937</v>
      </c>
      <c r="U103" s="24">
        <f t="shared" si="59"/>
        <v>0</v>
      </c>
      <c r="V103" s="24">
        <f t="shared" si="60"/>
        <v>0</v>
      </c>
      <c r="W103" s="24">
        <f t="shared" si="61"/>
        <v>0</v>
      </c>
      <c r="X103" s="24">
        <f t="shared" si="62"/>
        <v>0</v>
      </c>
      <c r="Y103" s="24">
        <f t="shared" si="63"/>
        <v>0</v>
      </c>
      <c r="Z103" s="6">
        <f t="shared" si="74"/>
        <v>-22.725119999999936</v>
      </c>
      <c r="AB103" s="28">
        <f t="shared" si="64"/>
        <v>-6.3945292423549282E-3</v>
      </c>
      <c r="AC103" s="28">
        <f t="shared" si="65"/>
        <v>-0.33763114399634014</v>
      </c>
      <c r="AD103" s="28">
        <f t="shared" si="66"/>
        <v>0</v>
      </c>
      <c r="AE103" s="28">
        <f t="shared" si="67"/>
        <v>0</v>
      </c>
      <c r="AF103" s="28">
        <f t="shared" si="68"/>
        <v>0</v>
      </c>
      <c r="AG103" s="28">
        <f t="shared" si="69"/>
        <v>0</v>
      </c>
      <c r="AH103" s="28">
        <f t="shared" si="70"/>
        <v>0</v>
      </c>
      <c r="AI103" s="28">
        <f t="shared" si="75"/>
        <v>-0.3440256732386951</v>
      </c>
      <c r="AK103" s="1">
        <f t="shared" si="76"/>
        <v>138.4</v>
      </c>
      <c r="AL103" s="24">
        <f t="shared" si="71"/>
        <v>77.400000000000006</v>
      </c>
    </row>
    <row r="104" spans="7:38" x14ac:dyDescent="0.2">
      <c r="G104" s="26">
        <v>95</v>
      </c>
      <c r="H104" s="1">
        <f t="shared" si="72"/>
        <v>22.799999999999969</v>
      </c>
      <c r="I104" s="2"/>
      <c r="J104" s="24">
        <f t="shared" si="50"/>
        <v>0.54720000000001356</v>
      </c>
      <c r="K104" s="24">
        <f t="shared" si="51"/>
        <v>28.892160000000711</v>
      </c>
      <c r="L104" s="6">
        <f t="shared" si="52"/>
        <v>0</v>
      </c>
      <c r="M104" s="6">
        <f t="shared" si="53"/>
        <v>0</v>
      </c>
      <c r="N104" s="6">
        <f t="shared" si="54"/>
        <v>0</v>
      </c>
      <c r="O104" s="6">
        <f t="shared" si="55"/>
        <v>0</v>
      </c>
      <c r="P104" s="6">
        <f t="shared" si="56"/>
        <v>0</v>
      </c>
      <c r="Q104" s="6">
        <f t="shared" si="73"/>
        <v>29.439360000000725</v>
      </c>
      <c r="S104" s="24">
        <f t="shared" si="57"/>
        <v>-0.43199999999999877</v>
      </c>
      <c r="T104" s="27">
        <f t="shared" si="58"/>
        <v>-22.809599999999936</v>
      </c>
      <c r="U104" s="24">
        <f t="shared" si="59"/>
        <v>0</v>
      </c>
      <c r="V104" s="24">
        <f t="shared" si="60"/>
        <v>0</v>
      </c>
      <c r="W104" s="24">
        <f t="shared" si="61"/>
        <v>0</v>
      </c>
      <c r="X104" s="24">
        <f t="shared" si="62"/>
        <v>0</v>
      </c>
      <c r="Y104" s="24">
        <f t="shared" si="63"/>
        <v>0</v>
      </c>
      <c r="Z104" s="6">
        <f t="shared" si="74"/>
        <v>-23.241599999999934</v>
      </c>
      <c r="AB104" s="28">
        <f t="shared" si="64"/>
        <v>-5.3400917946761E-3</v>
      </c>
      <c r="AC104" s="28">
        <f t="shared" si="65"/>
        <v>-0.28195684675889809</v>
      </c>
      <c r="AD104" s="28">
        <f t="shared" si="66"/>
        <v>0</v>
      </c>
      <c r="AE104" s="28">
        <f t="shared" si="67"/>
        <v>0</v>
      </c>
      <c r="AF104" s="28">
        <f t="shared" si="68"/>
        <v>0</v>
      </c>
      <c r="AG104" s="28">
        <f t="shared" si="69"/>
        <v>0</v>
      </c>
      <c r="AH104" s="28">
        <f t="shared" si="70"/>
        <v>0</v>
      </c>
      <c r="AI104" s="28">
        <f t="shared" si="75"/>
        <v>-0.28729693855357419</v>
      </c>
      <c r="AK104" s="1">
        <f t="shared" si="76"/>
        <v>138.4</v>
      </c>
      <c r="AL104" s="24">
        <f t="shared" si="71"/>
        <v>77.400000000000006</v>
      </c>
    </row>
    <row r="105" spans="7:38" x14ac:dyDescent="0.2">
      <c r="G105" s="26">
        <v>96</v>
      </c>
      <c r="H105" s="1">
        <f t="shared" si="72"/>
        <v>23.039999999999967</v>
      </c>
      <c r="I105" s="2"/>
      <c r="J105" s="24">
        <f t="shared" si="50"/>
        <v>0.44236800000001453</v>
      </c>
      <c r="K105" s="24">
        <f t="shared" si="51"/>
        <v>23.357030400000767</v>
      </c>
      <c r="L105" s="6">
        <f t="shared" si="52"/>
        <v>0</v>
      </c>
      <c r="M105" s="6">
        <f t="shared" si="53"/>
        <v>0</v>
      </c>
      <c r="N105" s="6">
        <f t="shared" si="54"/>
        <v>0</v>
      </c>
      <c r="O105" s="6">
        <f t="shared" si="55"/>
        <v>0</v>
      </c>
      <c r="P105" s="6">
        <f t="shared" si="56"/>
        <v>0</v>
      </c>
      <c r="Q105" s="6">
        <f t="shared" si="73"/>
        <v>23.799398400000783</v>
      </c>
      <c r="S105" s="24">
        <f t="shared" si="57"/>
        <v>-0.44159999999999872</v>
      </c>
      <c r="T105" s="27">
        <f t="shared" si="58"/>
        <v>-23.316479999999931</v>
      </c>
      <c r="U105" s="24">
        <f t="shared" si="59"/>
        <v>0</v>
      </c>
      <c r="V105" s="24">
        <f t="shared" si="60"/>
        <v>0</v>
      </c>
      <c r="W105" s="24">
        <f t="shared" si="61"/>
        <v>0</v>
      </c>
      <c r="X105" s="24">
        <f t="shared" si="62"/>
        <v>0</v>
      </c>
      <c r="Y105" s="24">
        <f t="shared" si="63"/>
        <v>0</v>
      </c>
      <c r="Z105" s="6">
        <f t="shared" si="74"/>
        <v>-23.758079999999929</v>
      </c>
      <c r="AB105" s="28">
        <f t="shared" si="64"/>
        <v>-4.2795389659051981E-3</v>
      </c>
      <c r="AC105" s="28">
        <f t="shared" si="65"/>
        <v>-0.22595965739979443</v>
      </c>
      <c r="AD105" s="28">
        <f t="shared" si="66"/>
        <v>0</v>
      </c>
      <c r="AE105" s="28">
        <f t="shared" si="67"/>
        <v>0</v>
      </c>
      <c r="AF105" s="28">
        <f t="shared" si="68"/>
        <v>0</v>
      </c>
      <c r="AG105" s="28">
        <f t="shared" si="69"/>
        <v>0</v>
      </c>
      <c r="AH105" s="28">
        <f t="shared" si="70"/>
        <v>0</v>
      </c>
      <c r="AI105" s="28">
        <f t="shared" si="75"/>
        <v>-0.23023919636569962</v>
      </c>
      <c r="AK105" s="1">
        <f t="shared" si="76"/>
        <v>138.4</v>
      </c>
      <c r="AL105" s="24">
        <f t="shared" si="71"/>
        <v>77.400000000000006</v>
      </c>
    </row>
    <row r="106" spans="7:38" x14ac:dyDescent="0.2">
      <c r="G106" s="26">
        <v>97</v>
      </c>
      <c r="H106" s="1">
        <f t="shared" si="72"/>
        <v>23.279999999999966</v>
      </c>
      <c r="I106" s="2"/>
      <c r="J106" s="24">
        <f t="shared" si="50"/>
        <v>0.33523200000001552</v>
      </c>
      <c r="K106" s="24">
        <f t="shared" si="51"/>
        <v>17.70024960000082</v>
      </c>
      <c r="L106" s="6">
        <f t="shared" si="52"/>
        <v>0</v>
      </c>
      <c r="M106" s="6">
        <f t="shared" si="53"/>
        <v>0</v>
      </c>
      <c r="N106" s="6">
        <f t="shared" si="54"/>
        <v>0</v>
      </c>
      <c r="O106" s="6">
        <f t="shared" si="55"/>
        <v>0</v>
      </c>
      <c r="P106" s="6">
        <f t="shared" si="56"/>
        <v>0</v>
      </c>
      <c r="Q106" s="6">
        <f t="shared" si="73"/>
        <v>18.035481600000836</v>
      </c>
      <c r="S106" s="24">
        <f t="shared" si="57"/>
        <v>-0.45119999999999866</v>
      </c>
      <c r="T106" s="27">
        <f t="shared" si="58"/>
        <v>-23.82335999999993</v>
      </c>
      <c r="U106" s="24">
        <f t="shared" si="59"/>
        <v>0</v>
      </c>
      <c r="V106" s="24">
        <f t="shared" si="60"/>
        <v>0</v>
      </c>
      <c r="W106" s="24">
        <f t="shared" si="61"/>
        <v>0</v>
      </c>
      <c r="X106" s="24">
        <f t="shared" si="62"/>
        <v>0</v>
      </c>
      <c r="Y106" s="24">
        <f t="shared" si="63"/>
        <v>0</v>
      </c>
      <c r="Z106" s="6">
        <f t="shared" si="74"/>
        <v>-24.27455999999993</v>
      </c>
      <c r="AB106" s="28">
        <f t="shared" si="64"/>
        <v>-3.2140427455390535E-3</v>
      </c>
      <c r="AC106" s="28">
        <f t="shared" si="65"/>
        <v>-0.16970145696446201</v>
      </c>
      <c r="AD106" s="28">
        <f t="shared" si="66"/>
        <v>0</v>
      </c>
      <c r="AE106" s="28">
        <f t="shared" si="67"/>
        <v>0</v>
      </c>
      <c r="AF106" s="28">
        <f t="shared" si="68"/>
        <v>0</v>
      </c>
      <c r="AG106" s="28">
        <f t="shared" si="69"/>
        <v>0</v>
      </c>
      <c r="AH106" s="28">
        <f t="shared" si="70"/>
        <v>0</v>
      </c>
      <c r="AI106" s="28">
        <f t="shared" si="75"/>
        <v>-0.17291549971000106</v>
      </c>
      <c r="AK106" s="1">
        <f t="shared" si="76"/>
        <v>138.4</v>
      </c>
      <c r="AL106" s="24">
        <f t="shared" si="71"/>
        <v>77.400000000000006</v>
      </c>
    </row>
    <row r="107" spans="7:38" x14ac:dyDescent="0.2">
      <c r="G107" s="26">
        <v>98</v>
      </c>
      <c r="H107" s="1">
        <f t="shared" si="72"/>
        <v>23.519999999999964</v>
      </c>
      <c r="I107" s="2"/>
      <c r="J107" s="24">
        <f t="shared" si="50"/>
        <v>0.22579200000001656</v>
      </c>
      <c r="K107" s="24">
        <f t="shared" si="51"/>
        <v>11.921817600000875</v>
      </c>
      <c r="L107" s="6">
        <f t="shared" si="52"/>
        <v>0</v>
      </c>
      <c r="M107" s="6">
        <f t="shared" si="53"/>
        <v>0</v>
      </c>
      <c r="N107" s="6">
        <f t="shared" si="54"/>
        <v>0</v>
      </c>
      <c r="O107" s="6">
        <f t="shared" si="55"/>
        <v>0</v>
      </c>
      <c r="P107" s="6">
        <f t="shared" si="56"/>
        <v>0</v>
      </c>
      <c r="Q107" s="6">
        <f t="shared" si="73"/>
        <v>12.147609600000891</v>
      </c>
      <c r="S107" s="24">
        <f t="shared" si="57"/>
        <v>-0.46079999999999854</v>
      </c>
      <c r="T107" s="27">
        <f t="shared" si="58"/>
        <v>-24.330239999999925</v>
      </c>
      <c r="U107" s="24">
        <f t="shared" si="59"/>
        <v>0</v>
      </c>
      <c r="V107" s="24">
        <f t="shared" si="60"/>
        <v>0</v>
      </c>
      <c r="W107" s="24">
        <f t="shared" si="61"/>
        <v>0</v>
      </c>
      <c r="X107" s="24">
        <f t="shared" si="62"/>
        <v>0</v>
      </c>
      <c r="Y107" s="24">
        <f t="shared" si="63"/>
        <v>0</v>
      </c>
      <c r="Z107" s="6">
        <f t="shared" si="74"/>
        <v>-24.791039999999924</v>
      </c>
      <c r="AB107" s="28">
        <f t="shared" si="64"/>
        <v>-2.1448008810852686E-3</v>
      </c>
      <c r="AC107" s="28">
        <f t="shared" si="65"/>
        <v>-0.1132454865213022</v>
      </c>
      <c r="AD107" s="28">
        <f t="shared" si="66"/>
        <v>0</v>
      </c>
      <c r="AE107" s="28">
        <f t="shared" si="67"/>
        <v>0</v>
      </c>
      <c r="AF107" s="28">
        <f t="shared" si="68"/>
        <v>0</v>
      </c>
      <c r="AG107" s="28">
        <f t="shared" si="69"/>
        <v>0</v>
      </c>
      <c r="AH107" s="28">
        <f t="shared" si="70"/>
        <v>0</v>
      </c>
      <c r="AI107" s="28">
        <f t="shared" si="75"/>
        <v>-0.11539028740238746</v>
      </c>
      <c r="AK107" s="1">
        <f t="shared" si="76"/>
        <v>138.4</v>
      </c>
      <c r="AL107" s="24">
        <f t="shared" si="71"/>
        <v>77.400000000000006</v>
      </c>
    </row>
    <row r="108" spans="7:38" x14ac:dyDescent="0.2">
      <c r="G108" s="26">
        <v>99</v>
      </c>
      <c r="H108" s="1">
        <f t="shared" si="72"/>
        <v>23.759999999999962</v>
      </c>
      <c r="I108" s="2"/>
      <c r="J108" s="24">
        <f t="shared" si="50"/>
        <v>0.11404800000001765</v>
      </c>
      <c r="K108" s="24">
        <f t="shared" si="51"/>
        <v>6.0217344000009323</v>
      </c>
      <c r="L108" s="6">
        <f t="shared" si="52"/>
        <v>0</v>
      </c>
      <c r="M108" s="6">
        <f t="shared" si="53"/>
        <v>0</v>
      </c>
      <c r="N108" s="6">
        <f t="shared" si="54"/>
        <v>0</v>
      </c>
      <c r="O108" s="6">
        <f t="shared" si="55"/>
        <v>0</v>
      </c>
      <c r="P108" s="6">
        <f t="shared" si="56"/>
        <v>0</v>
      </c>
      <c r="Q108" s="6">
        <f t="shared" si="73"/>
        <v>6.1357824000009495</v>
      </c>
      <c r="S108" s="24">
        <f t="shared" si="57"/>
        <v>-0.47039999999999849</v>
      </c>
      <c r="T108" s="27">
        <f t="shared" si="58"/>
        <v>-24.837119999999921</v>
      </c>
      <c r="U108" s="24">
        <f t="shared" si="59"/>
        <v>0</v>
      </c>
      <c r="V108" s="24">
        <f t="shared" si="60"/>
        <v>0</v>
      </c>
      <c r="W108" s="24">
        <f t="shared" si="61"/>
        <v>0</v>
      </c>
      <c r="X108" s="24">
        <f t="shared" si="62"/>
        <v>0</v>
      </c>
      <c r="Y108" s="24">
        <f t="shared" si="63"/>
        <v>0</v>
      </c>
      <c r="Z108" s="6">
        <f t="shared" si="74"/>
        <v>-25.307519999999919</v>
      </c>
      <c r="AB108" s="28">
        <f t="shared" si="64"/>
        <v>-1.0730368780625004E-3</v>
      </c>
      <c r="AC108" s="28">
        <f t="shared" si="65"/>
        <v>-5.665634716170001E-2</v>
      </c>
      <c r="AD108" s="28">
        <f t="shared" si="66"/>
        <v>0</v>
      </c>
      <c r="AE108" s="28">
        <f t="shared" si="67"/>
        <v>0</v>
      </c>
      <c r="AF108" s="28">
        <f t="shared" si="68"/>
        <v>0</v>
      </c>
      <c r="AG108" s="28">
        <f t="shared" si="69"/>
        <v>0</v>
      </c>
      <c r="AH108" s="28">
        <f t="shared" si="70"/>
        <v>0</v>
      </c>
      <c r="AI108" s="28">
        <f t="shared" si="75"/>
        <v>-5.7729384039762507E-2</v>
      </c>
      <c r="AK108" s="1">
        <f t="shared" si="76"/>
        <v>138.4</v>
      </c>
      <c r="AL108" s="24">
        <f t="shared" si="71"/>
        <v>77.400000000000006</v>
      </c>
    </row>
    <row r="109" spans="7:38" x14ac:dyDescent="0.2">
      <c r="G109" s="26">
        <v>100</v>
      </c>
      <c r="H109" s="1">
        <f t="shared" si="72"/>
        <v>23.999999999999961</v>
      </c>
      <c r="I109" s="2"/>
      <c r="J109" s="24">
        <f t="shared" si="50"/>
        <v>1.8758328224066614E-14</v>
      </c>
      <c r="K109" s="24">
        <f t="shared" si="51"/>
        <v>9.9043973023071721E-13</v>
      </c>
      <c r="L109" s="6">
        <f t="shared" si="52"/>
        <v>0</v>
      </c>
      <c r="M109" s="6">
        <f t="shared" si="53"/>
        <v>0</v>
      </c>
      <c r="N109" s="6">
        <f t="shared" si="54"/>
        <v>0</v>
      </c>
      <c r="O109" s="6">
        <f t="shared" si="55"/>
        <v>0</v>
      </c>
      <c r="P109" s="6">
        <f t="shared" si="56"/>
        <v>0</v>
      </c>
      <c r="Q109" s="6">
        <f t="shared" si="73"/>
        <v>1.0091980584547838E-12</v>
      </c>
      <c r="S109" s="24">
        <f t="shared" si="57"/>
        <v>-0.47999999999999843</v>
      </c>
      <c r="T109" s="27">
        <f t="shared" si="58"/>
        <v>-25.343999999999919</v>
      </c>
      <c r="U109" s="24">
        <f t="shared" si="59"/>
        <v>0</v>
      </c>
      <c r="V109" s="24">
        <f t="shared" si="60"/>
        <v>0</v>
      </c>
      <c r="W109" s="24">
        <f t="shared" si="61"/>
        <v>0</v>
      </c>
      <c r="X109" s="24">
        <f t="shared" si="62"/>
        <v>0</v>
      </c>
      <c r="Y109" s="24">
        <f t="shared" si="63"/>
        <v>0</v>
      </c>
      <c r="Z109" s="6">
        <f t="shared" si="74"/>
        <v>-25.823999999999916</v>
      </c>
      <c r="AB109" s="28">
        <f t="shared" si="64"/>
        <v>-1.6946451430720798E-16</v>
      </c>
      <c r="AC109" s="28">
        <f t="shared" si="65"/>
        <v>-8.9477263554205818E-15</v>
      </c>
      <c r="AD109" s="28">
        <f t="shared" si="66"/>
        <v>0</v>
      </c>
      <c r="AE109" s="28">
        <f t="shared" si="67"/>
        <v>0</v>
      </c>
      <c r="AF109" s="28">
        <f t="shared" si="68"/>
        <v>0</v>
      </c>
      <c r="AG109" s="28">
        <f t="shared" si="69"/>
        <v>0</v>
      </c>
      <c r="AH109" s="28">
        <f t="shared" si="70"/>
        <v>0</v>
      </c>
      <c r="AI109" s="28">
        <f t="shared" si="75"/>
        <v>-9.1171908697277901E-15</v>
      </c>
      <c r="AK109" s="1">
        <f t="shared" si="76"/>
        <v>138.4</v>
      </c>
      <c r="AL109" s="24">
        <f t="shared" si="71"/>
        <v>77.400000000000006</v>
      </c>
    </row>
  </sheetData>
  <sheetProtection sheet="1" objects="1" scenarios="1" selectLockedCells="1"/>
  <mergeCells count="3">
    <mergeCell ref="J6:Q6"/>
    <mergeCell ref="S6:Z6"/>
    <mergeCell ref="AB6:AI6"/>
  </mergeCells>
  <phoneticPr fontId="4"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00000"/>
  </sheetPr>
  <dimension ref="A1:I1062"/>
  <sheetViews>
    <sheetView showGridLines="0" tabSelected="1" zoomScaleNormal="100" workbookViewId="0">
      <pane xSplit="3" ySplit="9" topLeftCell="D10" activePane="bottomRight" state="frozen"/>
      <selection pane="topRight" activeCell="D1" sqref="D1"/>
      <selection pane="bottomLeft" activeCell="A10" sqref="A10"/>
      <selection pane="bottomRight" activeCell="A2" sqref="A2"/>
    </sheetView>
  </sheetViews>
  <sheetFormatPr defaultColWidth="9.140625" defaultRowHeight="12.75" x14ac:dyDescent="0.2"/>
  <cols>
    <col min="1" max="1" width="43.42578125" style="5" customWidth="1"/>
    <col min="2" max="2" width="10.28515625" style="2" customWidth="1"/>
    <col min="3" max="3" width="6.7109375" style="3" customWidth="1"/>
    <col min="4" max="8" width="11.7109375" style="2" customWidth="1"/>
    <col min="9" max="16384" width="9.140625" style="4"/>
  </cols>
  <sheetData>
    <row r="1" spans="1:9" ht="15.75" x14ac:dyDescent="0.25">
      <c r="A1" s="76" t="s">
        <v>1796</v>
      </c>
      <c r="C1" s="77" t="s">
        <v>979</v>
      </c>
      <c r="D1" s="46" t="s">
        <v>2738</v>
      </c>
      <c r="E1" s="46"/>
      <c r="F1" s="46"/>
      <c r="G1" s="46"/>
      <c r="H1" s="46"/>
      <c r="I1" s="216" t="s">
        <v>2587</v>
      </c>
    </row>
    <row r="2" spans="1:9" x14ac:dyDescent="0.2">
      <c r="A2" s="7" t="s">
        <v>1844</v>
      </c>
      <c r="C2" s="77" t="s">
        <v>999</v>
      </c>
      <c r="D2" s="8" t="s">
        <v>2737</v>
      </c>
      <c r="E2" s="8" t="s">
        <v>2737</v>
      </c>
      <c r="F2" s="8"/>
      <c r="G2" s="8"/>
      <c r="H2" s="8"/>
    </row>
    <row r="3" spans="1:9" x14ac:dyDescent="0.2">
      <c r="A3" s="7" t="s">
        <v>1684</v>
      </c>
      <c r="C3" s="77" t="s">
        <v>1681</v>
      </c>
      <c r="D3" s="58">
        <v>1</v>
      </c>
      <c r="E3" s="58">
        <v>2</v>
      </c>
      <c r="F3" s="58">
        <v>3</v>
      </c>
      <c r="G3" s="58">
        <v>4</v>
      </c>
      <c r="H3" s="58">
        <v>5</v>
      </c>
    </row>
    <row r="4" spans="1:9" x14ac:dyDescent="0.2">
      <c r="A4" s="7" t="s">
        <v>1845</v>
      </c>
      <c r="C4" s="77" t="s">
        <v>1682</v>
      </c>
      <c r="D4" s="47"/>
      <c r="E4" s="47"/>
      <c r="F4" s="47"/>
      <c r="G4" s="47"/>
      <c r="H4" s="47"/>
    </row>
    <row r="5" spans="1:9" x14ac:dyDescent="0.2">
      <c r="A5" s="7" t="s">
        <v>1846</v>
      </c>
      <c r="C5" s="78" t="s">
        <v>402</v>
      </c>
      <c r="D5" s="43" t="s">
        <v>242</v>
      </c>
      <c r="E5" s="43" t="s">
        <v>242</v>
      </c>
      <c r="F5" s="43" t="s">
        <v>277</v>
      </c>
      <c r="G5" s="43" t="s">
        <v>277</v>
      </c>
      <c r="H5" s="43" t="s">
        <v>277</v>
      </c>
    </row>
    <row r="6" spans="1:9" ht="12.75" hidden="1" customHeight="1" x14ac:dyDescent="0.2">
      <c r="A6" s="30"/>
      <c r="B6" s="4"/>
      <c r="C6" s="77" t="s">
        <v>619</v>
      </c>
      <c r="D6" s="1" t="str">
        <f>VLOOKUP(D$5,'Database v16.0 &amp; v16.0H'!$B$4:$Z$854,2,FALSE)</f>
        <v>15th</v>
      </c>
      <c r="E6" s="1" t="str">
        <f>VLOOKUP(E$5,'Database v16.0 &amp; v16.0H'!$B$4:$Z$854,2,FALSE)</f>
        <v>15th</v>
      </c>
      <c r="F6" s="1" t="str">
        <f>VLOOKUP(F$5,'Database v16.0 &amp; v16.0H'!$B$4:$Z$854,2,FALSE)</f>
        <v>15th</v>
      </c>
      <c r="G6" s="1" t="str">
        <f>VLOOKUP(G$5,'Database v16.0 &amp; v16.0H'!$B$4:$Z$854,2,FALSE)</f>
        <v>15th</v>
      </c>
      <c r="H6" s="1" t="str">
        <f>VLOOKUP(H$5,'Database v16.0 &amp; v16.0H'!$B$4:$Z$854,2,FALSE)</f>
        <v>15th</v>
      </c>
    </row>
    <row r="7" spans="1:9" ht="12.75" customHeight="1" x14ac:dyDescent="0.2">
      <c r="A7" s="4"/>
      <c r="B7" s="4"/>
      <c r="C7" s="79" t="s">
        <v>1080</v>
      </c>
      <c r="D7" s="50" t="s">
        <v>1683</v>
      </c>
      <c r="E7" s="50" t="s">
        <v>2739</v>
      </c>
      <c r="F7" s="50" t="s">
        <v>1683</v>
      </c>
      <c r="G7" s="50" t="s">
        <v>1683</v>
      </c>
      <c r="H7" s="50" t="s">
        <v>1683</v>
      </c>
    </row>
    <row r="8" spans="1:9" x14ac:dyDescent="0.2">
      <c r="C8" s="79" t="s">
        <v>1997</v>
      </c>
      <c r="D8" s="69" t="s">
        <v>1972</v>
      </c>
      <c r="E8" s="69" t="s">
        <v>1972</v>
      </c>
      <c r="F8" s="69" t="s">
        <v>1972</v>
      </c>
      <c r="G8" s="69" t="s">
        <v>1972</v>
      </c>
      <c r="H8" s="69" t="s">
        <v>1972</v>
      </c>
    </row>
    <row r="9" spans="1:9" x14ac:dyDescent="0.2">
      <c r="A9" s="66" t="s">
        <v>2098</v>
      </c>
      <c r="B9" s="81" t="s">
        <v>434</v>
      </c>
      <c r="C9" s="82" t="s">
        <v>435</v>
      </c>
      <c r="D9" s="14"/>
      <c r="E9" s="14"/>
      <c r="F9" s="14"/>
      <c r="G9" s="14"/>
      <c r="H9" s="14"/>
    </row>
    <row r="10" spans="1:9" ht="15" x14ac:dyDescent="0.25">
      <c r="A10" s="83" t="s">
        <v>2109</v>
      </c>
      <c r="D10" s="4"/>
      <c r="E10" s="4"/>
      <c r="F10" s="4"/>
      <c r="G10" s="4"/>
      <c r="H10" s="4"/>
    </row>
    <row r="11" spans="1:9" ht="14.25" x14ac:dyDescent="0.25">
      <c r="A11" s="5" t="s">
        <v>404</v>
      </c>
      <c r="B11" s="2" t="s">
        <v>894</v>
      </c>
      <c r="C11" s="3" t="s">
        <v>405</v>
      </c>
      <c r="D11" s="8">
        <v>50</v>
      </c>
      <c r="E11" s="8">
        <v>50</v>
      </c>
      <c r="F11" s="8"/>
      <c r="G11" s="8"/>
      <c r="H11" s="8"/>
    </row>
    <row r="12" spans="1:9" ht="14.25" x14ac:dyDescent="0.25">
      <c r="A12" s="5" t="s">
        <v>844</v>
      </c>
      <c r="B12" s="2" t="s">
        <v>895</v>
      </c>
      <c r="C12" s="3" t="s">
        <v>405</v>
      </c>
      <c r="D12" s="8">
        <v>65</v>
      </c>
      <c r="E12" s="8">
        <v>65</v>
      </c>
      <c r="F12" s="8"/>
      <c r="G12" s="8"/>
      <c r="H12" s="8"/>
    </row>
    <row r="13" spans="1:9" x14ac:dyDescent="0.2">
      <c r="A13" s="5" t="s">
        <v>2614</v>
      </c>
      <c r="B13" s="2" t="s">
        <v>362</v>
      </c>
      <c r="C13" s="3" t="s">
        <v>403</v>
      </c>
      <c r="D13" s="8">
        <v>24</v>
      </c>
      <c r="E13" s="8">
        <v>24</v>
      </c>
      <c r="F13" s="8"/>
      <c r="G13" s="8"/>
      <c r="H13" s="8"/>
    </row>
    <row r="14" spans="1:9" ht="14.25" x14ac:dyDescent="0.25">
      <c r="A14" s="5" t="s">
        <v>852</v>
      </c>
      <c r="B14" s="2" t="s">
        <v>874</v>
      </c>
      <c r="C14" s="3" t="s">
        <v>403</v>
      </c>
      <c r="D14" s="8">
        <v>8</v>
      </c>
      <c r="E14" s="8">
        <v>8</v>
      </c>
      <c r="F14" s="8"/>
      <c r="G14" s="8"/>
      <c r="H14" s="8"/>
    </row>
    <row r="15" spans="1:9" ht="14.25" x14ac:dyDescent="0.25">
      <c r="A15" s="5" t="s">
        <v>428</v>
      </c>
      <c r="B15" s="2" t="s">
        <v>896</v>
      </c>
      <c r="C15" s="3" t="s">
        <v>403</v>
      </c>
      <c r="D15" s="8">
        <v>12</v>
      </c>
      <c r="E15" s="8">
        <v>12</v>
      </c>
      <c r="F15" s="8"/>
      <c r="G15" s="8"/>
      <c r="H15" s="8"/>
    </row>
    <row r="16" spans="1:9" ht="14.25" x14ac:dyDescent="0.25">
      <c r="A16" s="5" t="s">
        <v>432</v>
      </c>
      <c r="B16" s="2" t="s">
        <v>897</v>
      </c>
      <c r="C16" s="3" t="s">
        <v>403</v>
      </c>
      <c r="D16" s="8">
        <v>24</v>
      </c>
      <c r="E16" s="8">
        <v>24</v>
      </c>
      <c r="F16" s="8"/>
      <c r="G16" s="8"/>
      <c r="H16" s="8"/>
    </row>
    <row r="17" spans="1:8" ht="14.25" x14ac:dyDescent="0.25">
      <c r="A17" s="5" t="s">
        <v>433</v>
      </c>
      <c r="B17" s="2" t="s">
        <v>898</v>
      </c>
      <c r="C17" s="3" t="s">
        <v>403</v>
      </c>
      <c r="D17" s="8">
        <v>12</v>
      </c>
      <c r="E17" s="8">
        <v>12</v>
      </c>
      <c r="F17" s="8"/>
      <c r="G17" s="8"/>
      <c r="H17" s="8"/>
    </row>
    <row r="18" spans="1:8" ht="14.25" x14ac:dyDescent="0.25">
      <c r="A18" s="5" t="s">
        <v>1620</v>
      </c>
      <c r="B18" s="2" t="s">
        <v>1619</v>
      </c>
      <c r="C18" s="3" t="s">
        <v>403</v>
      </c>
      <c r="D18" s="8">
        <v>12</v>
      </c>
      <c r="E18" s="8">
        <v>12</v>
      </c>
      <c r="F18" s="8"/>
      <c r="G18" s="8"/>
      <c r="H18" s="8"/>
    </row>
    <row r="19" spans="1:8" x14ac:dyDescent="0.2">
      <c r="A19" s="5" t="s">
        <v>1841</v>
      </c>
      <c r="B19" s="2" t="s">
        <v>425</v>
      </c>
      <c r="D19" s="8">
        <v>1</v>
      </c>
      <c r="E19" s="8">
        <v>1</v>
      </c>
      <c r="F19" s="8">
        <v>1</v>
      </c>
      <c r="G19" s="8">
        <v>1</v>
      </c>
      <c r="H19" s="8">
        <v>1</v>
      </c>
    </row>
    <row r="20" spans="1:8" ht="14.25" x14ac:dyDescent="0.25">
      <c r="A20" s="5" t="s">
        <v>1125</v>
      </c>
      <c r="B20" s="2" t="s">
        <v>1078</v>
      </c>
      <c r="D20" s="8">
        <v>1</v>
      </c>
      <c r="E20" s="8">
        <v>1</v>
      </c>
      <c r="F20" s="8">
        <v>1</v>
      </c>
      <c r="G20" s="8">
        <v>1</v>
      </c>
      <c r="H20" s="8">
        <v>1</v>
      </c>
    </row>
    <row r="21" spans="1:8" ht="15" x14ac:dyDescent="0.25">
      <c r="A21" s="5" t="s">
        <v>866</v>
      </c>
      <c r="B21" s="2" t="s">
        <v>872</v>
      </c>
      <c r="C21" s="3" t="s">
        <v>873</v>
      </c>
      <c r="D21" s="80">
        <f>D185</f>
        <v>307</v>
      </c>
      <c r="E21" s="80">
        <f>E185</f>
        <v>307</v>
      </c>
      <c r="F21" s="80">
        <f>F185</f>
        <v>61.9</v>
      </c>
      <c r="G21" s="80">
        <f>G185</f>
        <v>61.9</v>
      </c>
      <c r="H21" s="80">
        <f>H185</f>
        <v>61.9</v>
      </c>
    </row>
    <row r="22" spans="1:8" x14ac:dyDescent="0.2">
      <c r="D22" s="4"/>
      <c r="E22" s="4"/>
      <c r="F22" s="4"/>
      <c r="G22" s="4"/>
      <c r="H22" s="4"/>
    </row>
    <row r="23" spans="1:8" x14ac:dyDescent="0.2">
      <c r="A23" s="16" t="s">
        <v>1887</v>
      </c>
      <c r="D23" s="4"/>
      <c r="E23" s="4"/>
      <c r="F23" s="4"/>
      <c r="G23" s="4"/>
      <c r="H23" s="4"/>
    </row>
    <row r="24" spans="1:8" x14ac:dyDescent="0.2">
      <c r="A24" s="5" t="s">
        <v>1914</v>
      </c>
      <c r="C24" s="3" t="s">
        <v>876</v>
      </c>
      <c r="D24" s="70">
        <v>0.05</v>
      </c>
      <c r="E24" s="70">
        <v>0.05</v>
      </c>
      <c r="F24" s="70"/>
      <c r="G24" s="70"/>
      <c r="H24" s="70"/>
    </row>
    <row r="25" spans="1:8" x14ac:dyDescent="0.2">
      <c r="A25" s="5" t="s">
        <v>1888</v>
      </c>
      <c r="C25" s="3" t="s">
        <v>876</v>
      </c>
      <c r="D25" s="70">
        <v>0.25</v>
      </c>
      <c r="E25" s="70">
        <v>0.25</v>
      </c>
      <c r="F25" s="70"/>
      <c r="G25" s="70"/>
      <c r="H25" s="70"/>
    </row>
    <row r="26" spans="1:8" x14ac:dyDescent="0.2">
      <c r="A26" s="5" t="s">
        <v>1913</v>
      </c>
      <c r="C26" s="3" t="s">
        <v>876</v>
      </c>
      <c r="D26" s="71">
        <v>0.4</v>
      </c>
      <c r="E26" s="71">
        <v>0.4</v>
      </c>
      <c r="F26" s="71"/>
      <c r="G26" s="71"/>
      <c r="H26" s="71"/>
    </row>
    <row r="27" spans="1:8" ht="14.25" x14ac:dyDescent="0.25">
      <c r="A27" s="5" t="s">
        <v>1889</v>
      </c>
      <c r="B27" s="2" t="s">
        <v>1929</v>
      </c>
      <c r="C27" s="3" t="s">
        <v>407</v>
      </c>
      <c r="D27" s="84">
        <f t="shared" ref="D27:E27" si="0">D352</f>
        <v>0.48924999999999996</v>
      </c>
      <c r="E27" s="84">
        <f t="shared" si="0"/>
        <v>0.48924999999999996</v>
      </c>
      <c r="F27" s="84">
        <f t="shared" ref="F27:G27" si="1">F352</f>
        <v>0.33</v>
      </c>
      <c r="G27" s="84">
        <f t="shared" si="1"/>
        <v>0.33</v>
      </c>
      <c r="H27" s="84">
        <f t="shared" ref="H27" si="2">H352</f>
        <v>0.33</v>
      </c>
    </row>
    <row r="28" spans="1:8" ht="14.25" x14ac:dyDescent="0.25">
      <c r="A28" s="5" t="s">
        <v>1890</v>
      </c>
      <c r="B28" s="2" t="s">
        <v>902</v>
      </c>
      <c r="C28" s="3" t="s">
        <v>407</v>
      </c>
      <c r="D28" s="84">
        <f>D351</f>
        <v>0.22125</v>
      </c>
      <c r="E28" s="84">
        <f>E351</f>
        <v>0.22125</v>
      </c>
      <c r="F28" s="84">
        <f>F351</f>
        <v>0.23</v>
      </c>
      <c r="G28" s="84">
        <f>G351</f>
        <v>0.23</v>
      </c>
      <c r="H28" s="84">
        <f>H351</f>
        <v>0.23</v>
      </c>
    </row>
    <row r="29" spans="1:8" ht="14.25" x14ac:dyDescent="0.25">
      <c r="A29" s="5" t="s">
        <v>1891</v>
      </c>
      <c r="B29" s="2" t="s">
        <v>1926</v>
      </c>
      <c r="C29" s="3" t="s">
        <v>407</v>
      </c>
      <c r="D29" s="84">
        <f t="shared" ref="D29:E29" si="3">D353</f>
        <v>0.309</v>
      </c>
      <c r="E29" s="84">
        <f t="shared" si="3"/>
        <v>0.309</v>
      </c>
      <c r="F29" s="84">
        <f t="shared" ref="F29:G29" si="4">F353</f>
        <v>0.33</v>
      </c>
      <c r="G29" s="84">
        <f t="shared" si="4"/>
        <v>0.33</v>
      </c>
      <c r="H29" s="84">
        <f t="shared" ref="H29" si="5">H353</f>
        <v>0.33</v>
      </c>
    </row>
    <row r="30" spans="1:8" x14ac:dyDescent="0.2">
      <c r="A30" s="4"/>
      <c r="B30" s="4"/>
      <c r="C30" s="4"/>
      <c r="D30" s="4"/>
      <c r="E30" s="4"/>
      <c r="F30" s="4"/>
      <c r="G30" s="4"/>
      <c r="H30" s="4"/>
    </row>
    <row r="31" spans="1:8" ht="15" x14ac:dyDescent="0.25">
      <c r="A31" s="85" t="s">
        <v>2184</v>
      </c>
      <c r="B31" s="17"/>
      <c r="C31" s="4"/>
      <c r="D31" s="4"/>
      <c r="E31" s="4"/>
      <c r="F31" s="4"/>
      <c r="G31" s="4"/>
      <c r="H31" s="4"/>
    </row>
    <row r="32" spans="1:8" x14ac:dyDescent="0.2">
      <c r="A32" s="16" t="s">
        <v>2178</v>
      </c>
      <c r="B32" s="48" t="str">
        <f>D$7</f>
        <v>LRFD</v>
      </c>
      <c r="D32" s="4"/>
      <c r="E32" s="4"/>
      <c r="F32" s="4"/>
      <c r="G32" s="4"/>
      <c r="H32" s="4"/>
    </row>
    <row r="33" spans="1:8" s="17" customFormat="1" x14ac:dyDescent="0.2">
      <c r="A33" s="13" t="s">
        <v>2169</v>
      </c>
      <c r="B33" s="2" t="str">
        <f>IF(D$7="ASD","Va-x",IF(D$7="LRFD","Vu-x"))</f>
        <v>Vu-x</v>
      </c>
      <c r="C33" s="86" t="s">
        <v>419</v>
      </c>
      <c r="D33" s="58"/>
      <c r="E33" s="58"/>
      <c r="F33" s="58"/>
      <c r="G33" s="58"/>
      <c r="H33" s="58"/>
    </row>
    <row r="34" spans="1:8" s="17" customFormat="1" x14ac:dyDescent="0.2">
      <c r="A34" s="13" t="s">
        <v>2170</v>
      </c>
      <c r="B34" s="2" t="str">
        <f>IF(D$7="ASD","Va-y",IF(D$7="LRFD","Vu-y"))</f>
        <v>Vu-y</v>
      </c>
      <c r="C34" s="86" t="s">
        <v>419</v>
      </c>
      <c r="D34" s="58"/>
      <c r="E34" s="58"/>
      <c r="F34" s="58"/>
      <c r="G34" s="58"/>
      <c r="H34" s="58"/>
    </row>
    <row r="35" spans="1:8" s="17" customFormat="1" x14ac:dyDescent="0.2">
      <c r="A35" s="13" t="s">
        <v>840</v>
      </c>
      <c r="B35" s="2" t="str">
        <f>IF(D$7="ASD","Ma-x",IF(D$7="LRFD","Mu-x"))</f>
        <v>Mu-x</v>
      </c>
      <c r="C35" s="86" t="s">
        <v>406</v>
      </c>
      <c r="D35" s="58"/>
      <c r="E35" s="58"/>
      <c r="F35" s="58"/>
      <c r="G35" s="58"/>
      <c r="H35" s="58"/>
    </row>
    <row r="36" spans="1:8" s="17" customFormat="1" x14ac:dyDescent="0.2">
      <c r="A36" s="13" t="s">
        <v>841</v>
      </c>
      <c r="B36" s="2" t="str">
        <f>IF(D$7="ASD","Ma-y",IF(D$7="LRFD","Mu-y"))</f>
        <v>Mu-y</v>
      </c>
      <c r="C36" s="86" t="s">
        <v>406</v>
      </c>
      <c r="D36" s="58"/>
      <c r="E36" s="58"/>
      <c r="F36" s="58"/>
      <c r="G36" s="58"/>
      <c r="H36" s="58"/>
    </row>
    <row r="37" spans="1:8" s="17" customFormat="1" x14ac:dyDescent="0.2">
      <c r="A37" s="13" t="s">
        <v>842</v>
      </c>
      <c r="B37" s="2" t="str">
        <f>IF(D$7="ASD","Pa-c",IF(D$7="LRFD","Pu-c"))</f>
        <v>Pu-c</v>
      </c>
      <c r="C37" s="86" t="s">
        <v>419</v>
      </c>
      <c r="D37" s="58"/>
      <c r="E37" s="58"/>
      <c r="F37" s="58"/>
      <c r="G37" s="58"/>
      <c r="H37" s="58"/>
    </row>
    <row r="38" spans="1:8" s="17" customFormat="1" x14ac:dyDescent="0.2">
      <c r="A38" s="13" t="s">
        <v>843</v>
      </c>
      <c r="B38" s="2" t="str">
        <f>IF(D$7="ASD","Pa-t",IF(D$7="LRFD","Pu-t"))</f>
        <v>Pu-t</v>
      </c>
      <c r="C38" s="86" t="s">
        <v>419</v>
      </c>
      <c r="D38" s="58"/>
      <c r="E38" s="58"/>
      <c r="F38" s="58"/>
      <c r="G38" s="58"/>
      <c r="H38" s="58"/>
    </row>
    <row r="39" spans="1:8" x14ac:dyDescent="0.2">
      <c r="A39" s="4"/>
      <c r="B39" s="4"/>
      <c r="C39" s="4"/>
      <c r="D39" s="4"/>
      <c r="E39" s="4"/>
      <c r="F39" s="4"/>
      <c r="G39" s="4"/>
      <c r="H39" s="4"/>
    </row>
    <row r="40" spans="1:8" x14ac:dyDescent="0.2">
      <c r="A40" s="16" t="s">
        <v>2698</v>
      </c>
      <c r="B40" s="4" t="s">
        <v>2699</v>
      </c>
      <c r="C40" s="4"/>
      <c r="D40" s="4"/>
      <c r="E40" s="4"/>
      <c r="F40" s="4"/>
      <c r="G40" s="4"/>
      <c r="H40" s="4"/>
    </row>
    <row r="41" spans="1:8" ht="14.25" x14ac:dyDescent="0.25">
      <c r="A41" s="5" t="s">
        <v>1009</v>
      </c>
      <c r="B41" s="2" t="s">
        <v>2693</v>
      </c>
      <c r="C41" s="3" t="s">
        <v>855</v>
      </c>
      <c r="D41" s="8">
        <v>20</v>
      </c>
      <c r="E41" s="8">
        <v>20</v>
      </c>
      <c r="F41" s="8"/>
      <c r="G41" s="8"/>
      <c r="H41" s="8"/>
    </row>
    <row r="42" spans="1:8" ht="14.25" x14ac:dyDescent="0.25">
      <c r="A42" s="5" t="s">
        <v>1008</v>
      </c>
      <c r="B42" s="2" t="s">
        <v>2694</v>
      </c>
      <c r="C42" s="3" t="s">
        <v>855</v>
      </c>
      <c r="D42" s="8">
        <v>150</v>
      </c>
      <c r="E42" s="8">
        <v>150</v>
      </c>
      <c r="F42" s="8"/>
      <c r="G42" s="8"/>
      <c r="H42" s="8"/>
    </row>
    <row r="43" spans="1:8" ht="14.25" x14ac:dyDescent="0.25">
      <c r="A43" s="5" t="s">
        <v>1980</v>
      </c>
      <c r="B43" s="2" t="s">
        <v>2695</v>
      </c>
      <c r="C43" s="3" t="s">
        <v>855</v>
      </c>
      <c r="D43" s="8"/>
      <c r="E43" s="8"/>
      <c r="F43" s="8"/>
      <c r="G43" s="8"/>
      <c r="H43" s="8"/>
    </row>
    <row r="44" spans="1:8" ht="14.25" x14ac:dyDescent="0.25">
      <c r="A44" s="5" t="s">
        <v>1973</v>
      </c>
      <c r="B44" s="2" t="s">
        <v>2696</v>
      </c>
      <c r="C44" s="3" t="s">
        <v>855</v>
      </c>
      <c r="D44" s="8"/>
      <c r="E44" s="8"/>
      <c r="F44" s="8"/>
      <c r="G44" s="8"/>
      <c r="H44" s="8"/>
    </row>
    <row r="45" spans="1:8" ht="14.25" x14ac:dyDescent="0.25">
      <c r="A45" s="5" t="s">
        <v>2691</v>
      </c>
      <c r="B45" s="2" t="s">
        <v>2697</v>
      </c>
      <c r="C45" s="3" t="s">
        <v>855</v>
      </c>
      <c r="D45" s="8"/>
      <c r="E45" s="8"/>
      <c r="F45" s="8"/>
      <c r="G45" s="8"/>
      <c r="H45" s="8"/>
    </row>
    <row r="46" spans="1:8" ht="14.25" hidden="1" x14ac:dyDescent="0.25">
      <c r="A46" s="5" t="s">
        <v>853</v>
      </c>
      <c r="B46" s="2" t="s">
        <v>997</v>
      </c>
      <c r="C46" s="3" t="s">
        <v>854</v>
      </c>
      <c r="D46" s="87">
        <f>VLOOKUP(D$5,'Database v16.0 &amp; v16.0H'!$B$4:$AA$854,3,FALSE)</f>
        <v>40</v>
      </c>
      <c r="E46" s="87">
        <f>VLOOKUP(E$5,'Database v16.0 &amp; v16.0H'!$B$4:$AA$854,3,FALSE)</f>
        <v>40</v>
      </c>
      <c r="F46" s="87">
        <f>VLOOKUP(F$5,'Database v16.0 &amp; v16.0H'!$B$4:$AA$854,3,FALSE)</f>
        <v>18</v>
      </c>
      <c r="G46" s="87">
        <f>VLOOKUP(G$5,'Database v16.0 &amp; v16.0H'!$B$4:$AA$854,3,FALSE)</f>
        <v>18</v>
      </c>
      <c r="H46" s="87">
        <f>VLOOKUP(H$5,'Database v16.0 &amp; v16.0H'!$B$4:$AA$854,3,FALSE)</f>
        <v>18</v>
      </c>
    </row>
    <row r="47" spans="1:8" ht="14.25" hidden="1" x14ac:dyDescent="0.25">
      <c r="A47" s="5" t="s">
        <v>856</v>
      </c>
      <c r="B47" s="2" t="s">
        <v>1001</v>
      </c>
      <c r="C47" s="3" t="s">
        <v>851</v>
      </c>
      <c r="D47" s="24">
        <f t="shared" ref="D47:H47" si="6">((D$14*D$41)+D$46)/1000</f>
        <v>0.2</v>
      </c>
      <c r="E47" s="24">
        <f t="shared" si="6"/>
        <v>0.2</v>
      </c>
      <c r="F47" s="24">
        <f t="shared" si="6"/>
        <v>1.7999999999999999E-2</v>
      </c>
      <c r="G47" s="24">
        <f t="shared" si="6"/>
        <v>1.7999999999999999E-2</v>
      </c>
      <c r="H47" s="24">
        <f t="shared" si="6"/>
        <v>1.7999999999999999E-2</v>
      </c>
    </row>
    <row r="48" spans="1:8" ht="14.25" hidden="1" x14ac:dyDescent="0.25">
      <c r="A48" s="5" t="s">
        <v>864</v>
      </c>
      <c r="B48" s="2" t="s">
        <v>1007</v>
      </c>
      <c r="C48" s="3" t="s">
        <v>851</v>
      </c>
      <c r="D48" s="24">
        <f>(D$14*D42)/1000</f>
        <v>1.2</v>
      </c>
      <c r="E48" s="24">
        <f>(E$14*E42)/1000</f>
        <v>1.2</v>
      </c>
      <c r="F48" s="24">
        <f>(F$14*F42)/1000</f>
        <v>0</v>
      </c>
      <c r="G48" s="24">
        <f>(G$14*G42)/1000</f>
        <v>0</v>
      </c>
      <c r="H48" s="24">
        <f>(H$14*H42)/1000</f>
        <v>0</v>
      </c>
    </row>
    <row r="49" spans="1:8" ht="14.25" hidden="1" x14ac:dyDescent="0.25">
      <c r="A49" s="5" t="s">
        <v>1989</v>
      </c>
      <c r="B49" s="2" t="s">
        <v>1988</v>
      </c>
      <c r="C49" s="3" t="s">
        <v>851</v>
      </c>
      <c r="D49" s="24">
        <f t="shared" ref="D49:E51" si="7">(D$14*D43)/1000</f>
        <v>0</v>
      </c>
      <c r="E49" s="24">
        <f t="shared" si="7"/>
        <v>0</v>
      </c>
      <c r="F49" s="24">
        <f t="shared" ref="F49:G49" si="8">(F$14*F43)/1000</f>
        <v>0</v>
      </c>
      <c r="G49" s="24">
        <f t="shared" si="8"/>
        <v>0</v>
      </c>
      <c r="H49" s="24">
        <f t="shared" ref="H49" si="9">(H$14*H43)/1000</f>
        <v>0</v>
      </c>
    </row>
    <row r="50" spans="1:8" ht="14.25" hidden="1" x14ac:dyDescent="0.25">
      <c r="A50" s="5" t="s">
        <v>1986</v>
      </c>
      <c r="B50" s="2" t="s">
        <v>1987</v>
      </c>
      <c r="C50" s="3" t="s">
        <v>851</v>
      </c>
      <c r="D50" s="24">
        <f t="shared" si="7"/>
        <v>0</v>
      </c>
      <c r="E50" s="24">
        <f t="shared" si="7"/>
        <v>0</v>
      </c>
      <c r="F50" s="24">
        <f t="shared" ref="F50:G50" si="10">(F$14*F44)/1000</f>
        <v>0</v>
      </c>
      <c r="G50" s="24">
        <f t="shared" si="10"/>
        <v>0</v>
      </c>
      <c r="H50" s="24">
        <f t="shared" ref="H50" si="11">(H$14*H44)/1000</f>
        <v>0</v>
      </c>
    </row>
    <row r="51" spans="1:8" ht="14.25" hidden="1" x14ac:dyDescent="0.25">
      <c r="A51" s="5" t="s">
        <v>1093</v>
      </c>
      <c r="B51" s="2" t="s">
        <v>1092</v>
      </c>
      <c r="C51" s="3" t="s">
        <v>851</v>
      </c>
      <c r="D51" s="24">
        <f t="shared" si="7"/>
        <v>0</v>
      </c>
      <c r="E51" s="24">
        <f t="shared" si="7"/>
        <v>0</v>
      </c>
      <c r="F51" s="24">
        <f t="shared" ref="F51:G51" si="12">(F$14*F45)/1000</f>
        <v>0</v>
      </c>
      <c r="G51" s="24">
        <f t="shared" si="12"/>
        <v>0</v>
      </c>
      <c r="H51" s="24">
        <f t="shared" ref="H51" si="13">(H$14*H45)/1000</f>
        <v>0</v>
      </c>
    </row>
    <row r="52" spans="1:8" ht="14.25" hidden="1" x14ac:dyDescent="0.25">
      <c r="A52" s="88" t="s">
        <v>860</v>
      </c>
      <c r="B52" s="89" t="s">
        <v>1003</v>
      </c>
      <c r="C52" s="90" t="s">
        <v>419</v>
      </c>
      <c r="D52" s="24">
        <f>(D47*D$13)/2</f>
        <v>2.4000000000000004</v>
      </c>
      <c r="E52" s="24">
        <f>(E47*E$13)/2</f>
        <v>2.4000000000000004</v>
      </c>
      <c r="F52" s="24">
        <f>(F47*F$13)/2</f>
        <v>0</v>
      </c>
      <c r="G52" s="24">
        <f>(G47*G$13)/2</f>
        <v>0</v>
      </c>
      <c r="H52" s="24">
        <f>(H47*H$13)/2</f>
        <v>0</v>
      </c>
    </row>
    <row r="53" spans="1:8" ht="14.25" hidden="1" x14ac:dyDescent="0.25">
      <c r="A53" s="88" t="s">
        <v>859</v>
      </c>
      <c r="B53" s="89" t="s">
        <v>1006</v>
      </c>
      <c r="C53" s="90" t="s">
        <v>419</v>
      </c>
      <c r="D53" s="24">
        <f t="shared" ref="D53:E56" si="14">(D48*D$13)/2</f>
        <v>14.399999999999999</v>
      </c>
      <c r="E53" s="24">
        <f t="shared" si="14"/>
        <v>14.399999999999999</v>
      </c>
      <c r="F53" s="24">
        <f t="shared" ref="F53:G53" si="15">(F48*F$13)/2</f>
        <v>0</v>
      </c>
      <c r="G53" s="24">
        <f t="shared" si="15"/>
        <v>0</v>
      </c>
      <c r="H53" s="24">
        <f t="shared" ref="H53" si="16">(H48*H$13)/2</f>
        <v>0</v>
      </c>
    </row>
    <row r="54" spans="1:8" ht="14.25" hidden="1" x14ac:dyDescent="0.25">
      <c r="A54" s="88" t="s">
        <v>1979</v>
      </c>
      <c r="B54" s="89" t="s">
        <v>1978</v>
      </c>
      <c r="C54" s="90" t="s">
        <v>419</v>
      </c>
      <c r="D54" s="24">
        <f t="shared" si="14"/>
        <v>0</v>
      </c>
      <c r="E54" s="24">
        <f t="shared" si="14"/>
        <v>0</v>
      </c>
      <c r="F54" s="24">
        <f t="shared" ref="F54:G54" si="17">(F49*F$13)/2</f>
        <v>0</v>
      </c>
      <c r="G54" s="24">
        <f t="shared" si="17"/>
        <v>0</v>
      </c>
      <c r="H54" s="24">
        <f t="shared" ref="H54" si="18">(H49*H$13)/2</f>
        <v>0</v>
      </c>
    </row>
    <row r="55" spans="1:8" ht="14.25" hidden="1" x14ac:dyDescent="0.25">
      <c r="A55" s="88" t="s">
        <v>1974</v>
      </c>
      <c r="B55" s="89" t="s">
        <v>1975</v>
      </c>
      <c r="C55" s="90" t="s">
        <v>419</v>
      </c>
      <c r="D55" s="24">
        <f t="shared" si="14"/>
        <v>0</v>
      </c>
      <c r="E55" s="24">
        <f t="shared" si="14"/>
        <v>0</v>
      </c>
      <c r="F55" s="24">
        <f t="shared" ref="F55:G55" si="19">(F50*F$13)/2</f>
        <v>0</v>
      </c>
      <c r="G55" s="24">
        <f t="shared" si="19"/>
        <v>0</v>
      </c>
      <c r="H55" s="24">
        <f t="shared" ref="H55" si="20">(H50*H$13)/2</f>
        <v>0</v>
      </c>
    </row>
    <row r="56" spans="1:8" ht="14.25" hidden="1" x14ac:dyDescent="0.25">
      <c r="A56" s="88" t="s">
        <v>1090</v>
      </c>
      <c r="B56" s="89" t="s">
        <v>1091</v>
      </c>
      <c r="C56" s="90" t="s">
        <v>419</v>
      </c>
      <c r="D56" s="24">
        <f t="shared" si="14"/>
        <v>0</v>
      </c>
      <c r="E56" s="24">
        <f t="shared" si="14"/>
        <v>0</v>
      </c>
      <c r="F56" s="24">
        <f t="shared" ref="F56:G56" si="21">(F51*F$13)/2</f>
        <v>0</v>
      </c>
      <c r="G56" s="24">
        <f t="shared" si="21"/>
        <v>0</v>
      </c>
      <c r="H56" s="24">
        <f t="shared" ref="H56" si="22">(H51*H$13)/2</f>
        <v>0</v>
      </c>
    </row>
    <row r="57" spans="1:8" ht="14.25" hidden="1" x14ac:dyDescent="0.25">
      <c r="A57" s="91" t="s">
        <v>861</v>
      </c>
      <c r="B57" s="92" t="s">
        <v>1004</v>
      </c>
      <c r="C57" s="93" t="s">
        <v>406</v>
      </c>
      <c r="D57" s="24">
        <f>(D47*D$13^2)/8</f>
        <v>14.4</v>
      </c>
      <c r="E57" s="24">
        <f>(E47*E$13^2)/8</f>
        <v>14.4</v>
      </c>
      <c r="F57" s="24">
        <f>(F47*F$13^2)/8</f>
        <v>0</v>
      </c>
      <c r="G57" s="24">
        <f>(G47*G$13^2)/8</f>
        <v>0</v>
      </c>
      <c r="H57" s="24">
        <f>(H47*H$13^2)/8</f>
        <v>0</v>
      </c>
    </row>
    <row r="58" spans="1:8" ht="14.25" hidden="1" x14ac:dyDescent="0.25">
      <c r="A58" s="91" t="s">
        <v>858</v>
      </c>
      <c r="B58" s="92" t="s">
        <v>1005</v>
      </c>
      <c r="C58" s="93" t="s">
        <v>406</v>
      </c>
      <c r="D58" s="24">
        <f t="shared" ref="D58:E61" si="23">(D48*D$13^2)/8</f>
        <v>86.399999999999991</v>
      </c>
      <c r="E58" s="24">
        <f t="shared" si="23"/>
        <v>86.399999999999991</v>
      </c>
      <c r="F58" s="24">
        <f t="shared" ref="F58:G58" si="24">(F48*F$13^2)/8</f>
        <v>0</v>
      </c>
      <c r="G58" s="24">
        <f t="shared" si="24"/>
        <v>0</v>
      </c>
      <c r="H58" s="24">
        <f t="shared" ref="H58" si="25">(H48*H$13^2)/8</f>
        <v>0</v>
      </c>
    </row>
    <row r="59" spans="1:8" ht="14.25" hidden="1" x14ac:dyDescent="0.25">
      <c r="A59" s="91" t="s">
        <v>1983</v>
      </c>
      <c r="B59" s="92" t="s">
        <v>1990</v>
      </c>
      <c r="C59" s="93" t="s">
        <v>406</v>
      </c>
      <c r="D59" s="24">
        <f t="shared" si="23"/>
        <v>0</v>
      </c>
      <c r="E59" s="24">
        <f t="shared" si="23"/>
        <v>0</v>
      </c>
      <c r="F59" s="24">
        <f t="shared" ref="F59:G59" si="26">(F49*F$13^2)/8</f>
        <v>0</v>
      </c>
      <c r="G59" s="24">
        <f t="shared" si="26"/>
        <v>0</v>
      </c>
      <c r="H59" s="24">
        <f t="shared" ref="H59" si="27">(H49*H$13^2)/8</f>
        <v>0</v>
      </c>
    </row>
    <row r="60" spans="1:8" ht="14.25" hidden="1" x14ac:dyDescent="0.25">
      <c r="A60" s="91" t="s">
        <v>1982</v>
      </c>
      <c r="B60" s="92" t="s">
        <v>1981</v>
      </c>
      <c r="C60" s="93" t="s">
        <v>406</v>
      </c>
      <c r="D60" s="24">
        <f t="shared" si="23"/>
        <v>0</v>
      </c>
      <c r="E60" s="24">
        <f t="shared" si="23"/>
        <v>0</v>
      </c>
      <c r="F60" s="24">
        <f t="shared" ref="F60:G60" si="28">(F50*F$13^2)/8</f>
        <v>0</v>
      </c>
      <c r="G60" s="24">
        <f t="shared" si="28"/>
        <v>0</v>
      </c>
      <c r="H60" s="24">
        <f t="shared" ref="H60" si="29">(H50*H$13^2)/8</f>
        <v>0</v>
      </c>
    </row>
    <row r="61" spans="1:8" ht="14.25" hidden="1" x14ac:dyDescent="0.25">
      <c r="A61" s="91" t="s">
        <v>1088</v>
      </c>
      <c r="B61" s="92" t="s">
        <v>1089</v>
      </c>
      <c r="C61" s="93" t="s">
        <v>406</v>
      </c>
      <c r="D61" s="24">
        <f t="shared" si="23"/>
        <v>0</v>
      </c>
      <c r="E61" s="24">
        <f t="shared" si="23"/>
        <v>0</v>
      </c>
      <c r="F61" s="24">
        <f t="shared" ref="F61:G61" si="30">(F51*F$13^2)/8</f>
        <v>0</v>
      </c>
      <c r="G61" s="24">
        <f t="shared" si="30"/>
        <v>0</v>
      </c>
      <c r="H61" s="24">
        <f t="shared" ref="H61" si="31">(H51*H$13^2)/8</f>
        <v>0</v>
      </c>
    </row>
    <row r="62" spans="1:8" x14ac:dyDescent="0.2">
      <c r="A62" s="4"/>
      <c r="B62" s="4"/>
      <c r="C62" s="4"/>
      <c r="D62" s="4"/>
      <c r="E62" s="4"/>
      <c r="F62" s="4"/>
      <c r="G62" s="4"/>
      <c r="H62" s="4"/>
    </row>
    <row r="63" spans="1:8" x14ac:dyDescent="0.2">
      <c r="A63" s="16" t="s">
        <v>1011</v>
      </c>
      <c r="B63" s="30" t="s">
        <v>2700</v>
      </c>
      <c r="C63" s="2"/>
      <c r="D63" s="4"/>
      <c r="E63" s="4"/>
      <c r="F63" s="4"/>
      <c r="G63" s="4"/>
      <c r="H63" s="4"/>
    </row>
    <row r="64" spans="1:8" ht="14.25" x14ac:dyDescent="0.25">
      <c r="A64" s="5" t="s">
        <v>857</v>
      </c>
      <c r="B64" s="2" t="s">
        <v>1002</v>
      </c>
      <c r="C64" s="3" t="s">
        <v>419</v>
      </c>
      <c r="D64" s="8"/>
      <c r="E64" s="8"/>
      <c r="F64" s="8"/>
      <c r="G64" s="8"/>
      <c r="H64" s="8"/>
    </row>
    <row r="65" spans="1:8" ht="14.25" x14ac:dyDescent="0.25">
      <c r="A65" s="5" t="s">
        <v>865</v>
      </c>
      <c r="B65" s="2" t="s">
        <v>1000</v>
      </c>
      <c r="C65" s="3" t="s">
        <v>419</v>
      </c>
      <c r="D65" s="49"/>
      <c r="E65" s="49"/>
      <c r="F65" s="49"/>
      <c r="G65" s="49"/>
      <c r="H65" s="49"/>
    </row>
    <row r="66" spans="1:8" ht="14.25" x14ac:dyDescent="0.25">
      <c r="A66" s="5" t="s">
        <v>1985</v>
      </c>
      <c r="B66" s="2" t="s">
        <v>1984</v>
      </c>
      <c r="C66" s="3" t="s">
        <v>419</v>
      </c>
      <c r="D66" s="49"/>
      <c r="E66" s="49"/>
      <c r="F66" s="49"/>
      <c r="G66" s="49"/>
      <c r="H66" s="49"/>
    </row>
    <row r="67" spans="1:8" ht="14.25" x14ac:dyDescent="0.25">
      <c r="A67" s="5" t="s">
        <v>1977</v>
      </c>
      <c r="B67" s="2" t="s">
        <v>1976</v>
      </c>
      <c r="C67" s="3" t="s">
        <v>419</v>
      </c>
      <c r="D67" s="49"/>
      <c r="E67" s="49"/>
      <c r="F67" s="49"/>
      <c r="G67" s="49"/>
      <c r="H67" s="49"/>
    </row>
    <row r="68" spans="1:8" ht="14.25" x14ac:dyDescent="0.25">
      <c r="A68" s="5" t="s">
        <v>2692</v>
      </c>
      <c r="B68" s="2" t="s">
        <v>1087</v>
      </c>
      <c r="C68" s="3" t="s">
        <v>419</v>
      </c>
      <c r="D68" s="8"/>
      <c r="E68" s="8"/>
      <c r="F68" s="8"/>
      <c r="G68" s="8"/>
      <c r="H68" s="8"/>
    </row>
    <row r="69" spans="1:8" ht="14.25" hidden="1" x14ac:dyDescent="0.25">
      <c r="A69" s="88" t="s">
        <v>860</v>
      </c>
      <c r="B69" s="89" t="s">
        <v>1003</v>
      </c>
      <c r="C69" s="90" t="s">
        <v>419</v>
      </c>
      <c r="D69" s="24">
        <f>D64/2</f>
        <v>0</v>
      </c>
      <c r="E69" s="24">
        <f>E64/2</f>
        <v>0</v>
      </c>
      <c r="F69" s="24">
        <f>F64/2</f>
        <v>0</v>
      </c>
      <c r="G69" s="24">
        <f>G64/2</f>
        <v>0</v>
      </c>
      <c r="H69" s="24">
        <f>H64/2</f>
        <v>0</v>
      </c>
    </row>
    <row r="70" spans="1:8" ht="14.25" hidden="1" x14ac:dyDescent="0.25">
      <c r="A70" s="88" t="s">
        <v>859</v>
      </c>
      <c r="B70" s="89" t="s">
        <v>1006</v>
      </c>
      <c r="C70" s="90" t="s">
        <v>419</v>
      </c>
      <c r="D70" s="24">
        <f t="shared" ref="D70:E73" si="32">D65/2</f>
        <v>0</v>
      </c>
      <c r="E70" s="24">
        <f t="shared" si="32"/>
        <v>0</v>
      </c>
      <c r="F70" s="24">
        <f t="shared" ref="F70:G70" si="33">F65/2</f>
        <v>0</v>
      </c>
      <c r="G70" s="24">
        <f t="shared" si="33"/>
        <v>0</v>
      </c>
      <c r="H70" s="24">
        <f t="shared" ref="H70" si="34">H65/2</f>
        <v>0</v>
      </c>
    </row>
    <row r="71" spans="1:8" ht="14.25" hidden="1" x14ac:dyDescent="0.25">
      <c r="A71" s="88" t="s">
        <v>1979</v>
      </c>
      <c r="B71" s="89" t="s">
        <v>1978</v>
      </c>
      <c r="C71" s="90" t="s">
        <v>419</v>
      </c>
      <c r="D71" s="24">
        <f t="shared" si="32"/>
        <v>0</v>
      </c>
      <c r="E71" s="24">
        <f t="shared" si="32"/>
        <v>0</v>
      </c>
      <c r="F71" s="24">
        <f t="shared" ref="F71:G71" si="35">F66/2</f>
        <v>0</v>
      </c>
      <c r="G71" s="24">
        <f t="shared" si="35"/>
        <v>0</v>
      </c>
      <c r="H71" s="24">
        <f t="shared" ref="H71" si="36">H66/2</f>
        <v>0</v>
      </c>
    </row>
    <row r="72" spans="1:8" ht="14.25" hidden="1" x14ac:dyDescent="0.25">
      <c r="A72" s="88" t="s">
        <v>1974</v>
      </c>
      <c r="B72" s="89" t="s">
        <v>1975</v>
      </c>
      <c r="C72" s="90" t="s">
        <v>419</v>
      </c>
      <c r="D72" s="24">
        <f t="shared" si="32"/>
        <v>0</v>
      </c>
      <c r="E72" s="24">
        <f t="shared" si="32"/>
        <v>0</v>
      </c>
      <c r="F72" s="24">
        <f t="shared" ref="F72:G72" si="37">F67/2</f>
        <v>0</v>
      </c>
      <c r="G72" s="24">
        <f t="shared" si="37"/>
        <v>0</v>
      </c>
      <c r="H72" s="24">
        <f t="shared" ref="H72" si="38">H67/2</f>
        <v>0</v>
      </c>
    </row>
    <row r="73" spans="1:8" ht="14.25" hidden="1" x14ac:dyDescent="0.25">
      <c r="A73" s="88" t="s">
        <v>1090</v>
      </c>
      <c r="B73" s="89" t="s">
        <v>1091</v>
      </c>
      <c r="C73" s="90" t="s">
        <v>419</v>
      </c>
      <c r="D73" s="24">
        <f t="shared" si="32"/>
        <v>0</v>
      </c>
      <c r="E73" s="24">
        <f t="shared" si="32"/>
        <v>0</v>
      </c>
      <c r="F73" s="24">
        <f t="shared" ref="F73:G73" si="39">F68/2</f>
        <v>0</v>
      </c>
      <c r="G73" s="24">
        <f t="shared" si="39"/>
        <v>0</v>
      </c>
      <c r="H73" s="24">
        <f t="shared" ref="H73" si="40">H68/2</f>
        <v>0</v>
      </c>
    </row>
    <row r="74" spans="1:8" ht="14.25" hidden="1" x14ac:dyDescent="0.25">
      <c r="A74" s="91" t="s">
        <v>861</v>
      </c>
      <c r="B74" s="92" t="s">
        <v>1004</v>
      </c>
      <c r="C74" s="93" t="s">
        <v>406</v>
      </c>
      <c r="D74" s="24">
        <f>(D64*D$13)/4</f>
        <v>0</v>
      </c>
      <c r="E74" s="24">
        <f>(E64*E$13)/4</f>
        <v>0</v>
      </c>
      <c r="F74" s="24">
        <f>(F64*F$13)/4</f>
        <v>0</v>
      </c>
      <c r="G74" s="24">
        <f>(G64*G$13)/4</f>
        <v>0</v>
      </c>
      <c r="H74" s="24">
        <f>(H64*H$13)/4</f>
        <v>0</v>
      </c>
    </row>
    <row r="75" spans="1:8" ht="14.25" hidden="1" x14ac:dyDescent="0.25">
      <c r="A75" s="91" t="s">
        <v>858</v>
      </c>
      <c r="B75" s="92" t="s">
        <v>1005</v>
      </c>
      <c r="C75" s="93" t="s">
        <v>406</v>
      </c>
      <c r="D75" s="24">
        <f t="shared" ref="D75:E78" si="41">(D65*D$13)/4</f>
        <v>0</v>
      </c>
      <c r="E75" s="24">
        <f t="shared" si="41"/>
        <v>0</v>
      </c>
      <c r="F75" s="24">
        <f t="shared" ref="F75:G75" si="42">(F65*F$13)/4</f>
        <v>0</v>
      </c>
      <c r="G75" s="24">
        <f t="shared" si="42"/>
        <v>0</v>
      </c>
      <c r="H75" s="24">
        <f t="shared" ref="H75" si="43">(H65*H$13)/4</f>
        <v>0</v>
      </c>
    </row>
    <row r="76" spans="1:8" ht="14.25" hidden="1" x14ac:dyDescent="0.25">
      <c r="A76" s="91" t="s">
        <v>1983</v>
      </c>
      <c r="B76" s="92" t="s">
        <v>1990</v>
      </c>
      <c r="C76" s="93" t="s">
        <v>406</v>
      </c>
      <c r="D76" s="24">
        <f t="shared" si="41"/>
        <v>0</v>
      </c>
      <c r="E76" s="24">
        <f t="shared" si="41"/>
        <v>0</v>
      </c>
      <c r="F76" s="24">
        <f t="shared" ref="F76:G76" si="44">(F66*F$13)/4</f>
        <v>0</v>
      </c>
      <c r="G76" s="24">
        <f t="shared" si="44"/>
        <v>0</v>
      </c>
      <c r="H76" s="24">
        <f t="shared" ref="H76" si="45">(H66*H$13)/4</f>
        <v>0</v>
      </c>
    </row>
    <row r="77" spans="1:8" ht="14.25" hidden="1" x14ac:dyDescent="0.25">
      <c r="A77" s="91" t="s">
        <v>1982</v>
      </c>
      <c r="B77" s="92" t="s">
        <v>1981</v>
      </c>
      <c r="C77" s="93" t="s">
        <v>406</v>
      </c>
      <c r="D77" s="24">
        <f t="shared" si="41"/>
        <v>0</v>
      </c>
      <c r="E77" s="24">
        <f t="shared" si="41"/>
        <v>0</v>
      </c>
      <c r="F77" s="24">
        <f t="shared" ref="F77:G77" si="46">(F67*F$13)/4</f>
        <v>0</v>
      </c>
      <c r="G77" s="24">
        <f t="shared" si="46"/>
        <v>0</v>
      </c>
      <c r="H77" s="24">
        <f t="shared" ref="H77" si="47">(H67*H$13)/4</f>
        <v>0</v>
      </c>
    </row>
    <row r="78" spans="1:8" ht="14.25" hidden="1" x14ac:dyDescent="0.25">
      <c r="A78" s="91" t="s">
        <v>1088</v>
      </c>
      <c r="B78" s="92" t="s">
        <v>1089</v>
      </c>
      <c r="C78" s="93" t="s">
        <v>406</v>
      </c>
      <c r="D78" s="24">
        <f t="shared" si="41"/>
        <v>0</v>
      </c>
      <c r="E78" s="24">
        <f t="shared" si="41"/>
        <v>0</v>
      </c>
      <c r="F78" s="24">
        <f t="shared" ref="F78:G78" si="48">(F68*F$13)/4</f>
        <v>0</v>
      </c>
      <c r="G78" s="24">
        <f t="shared" si="48"/>
        <v>0</v>
      </c>
      <c r="H78" s="24">
        <f t="shared" ref="H78" si="49">(H68*H$13)/4</f>
        <v>0</v>
      </c>
    </row>
    <row r="79" spans="1:8" x14ac:dyDescent="0.2">
      <c r="D79" s="4"/>
      <c r="E79" s="4"/>
      <c r="F79" s="4"/>
      <c r="G79" s="4"/>
      <c r="H79" s="4"/>
    </row>
    <row r="80" spans="1:8" x14ac:dyDescent="0.2">
      <c r="A80" s="16" t="s">
        <v>1012</v>
      </c>
      <c r="B80" s="30" t="s">
        <v>2701</v>
      </c>
      <c r="C80" s="30"/>
      <c r="D80" s="4"/>
      <c r="E80" s="4"/>
      <c r="F80" s="4"/>
      <c r="G80" s="4"/>
      <c r="H80" s="4"/>
    </row>
    <row r="81" spans="1:8" x14ac:dyDescent="0.2">
      <c r="A81" s="161" t="s">
        <v>2001</v>
      </c>
      <c r="B81" s="162" t="s">
        <v>1013</v>
      </c>
      <c r="C81" s="163" t="s">
        <v>403</v>
      </c>
      <c r="D81" s="42"/>
      <c r="E81" s="42"/>
      <c r="F81" s="42"/>
      <c r="G81" s="42"/>
      <c r="H81" s="42"/>
    </row>
    <row r="82" spans="1:8" ht="14.25" x14ac:dyDescent="0.25">
      <c r="A82" s="5" t="s">
        <v>857</v>
      </c>
      <c r="B82" s="2" t="s">
        <v>1002</v>
      </c>
      <c r="C82" s="3" t="s">
        <v>419</v>
      </c>
      <c r="D82" s="8"/>
      <c r="E82" s="8"/>
      <c r="F82" s="8"/>
      <c r="G82" s="8"/>
      <c r="H82" s="8"/>
    </row>
    <row r="83" spans="1:8" ht="14.25" x14ac:dyDescent="0.25">
      <c r="A83" s="5" t="s">
        <v>865</v>
      </c>
      <c r="B83" s="2" t="s">
        <v>1000</v>
      </c>
      <c r="C83" s="3" t="s">
        <v>419</v>
      </c>
      <c r="D83" s="49"/>
      <c r="E83" s="49"/>
      <c r="F83" s="49"/>
      <c r="G83" s="49"/>
      <c r="H83" s="49"/>
    </row>
    <row r="84" spans="1:8" ht="14.25" x14ac:dyDescent="0.25">
      <c r="A84" s="5" t="s">
        <v>1985</v>
      </c>
      <c r="B84" s="2" t="s">
        <v>1984</v>
      </c>
      <c r="C84" s="3" t="s">
        <v>419</v>
      </c>
      <c r="D84" s="49"/>
      <c r="E84" s="49"/>
      <c r="F84" s="49"/>
      <c r="G84" s="49"/>
      <c r="H84" s="49"/>
    </row>
    <row r="85" spans="1:8" ht="14.25" x14ac:dyDescent="0.25">
      <c r="A85" s="5" t="s">
        <v>1977</v>
      </c>
      <c r="B85" s="2" t="s">
        <v>1976</v>
      </c>
      <c r="C85" s="3" t="s">
        <v>419</v>
      </c>
      <c r="D85" s="49"/>
      <c r="E85" s="49"/>
      <c r="F85" s="49"/>
      <c r="G85" s="49"/>
      <c r="H85" s="49"/>
    </row>
    <row r="86" spans="1:8" ht="14.25" x14ac:dyDescent="0.25">
      <c r="A86" s="5" t="s">
        <v>2692</v>
      </c>
      <c r="B86" s="2" t="s">
        <v>1087</v>
      </c>
      <c r="C86" s="3" t="s">
        <v>419</v>
      </c>
      <c r="D86" s="8"/>
      <c r="E86" s="8"/>
      <c r="F86" s="8"/>
      <c r="G86" s="8"/>
      <c r="H86" s="8"/>
    </row>
    <row r="87" spans="1:8" ht="14.25" hidden="1" x14ac:dyDescent="0.25">
      <c r="A87" s="88" t="s">
        <v>860</v>
      </c>
      <c r="B87" s="89" t="s">
        <v>1003</v>
      </c>
      <c r="C87" s="90" t="s">
        <v>419</v>
      </c>
      <c r="D87" s="24">
        <f>D82</f>
        <v>0</v>
      </c>
      <c r="E87" s="24">
        <f>E82</f>
        <v>0</v>
      </c>
      <c r="F87" s="24">
        <f>F82</f>
        <v>0</v>
      </c>
      <c r="G87" s="24">
        <f>G82</f>
        <v>0</v>
      </c>
      <c r="H87" s="24">
        <f>H82</f>
        <v>0</v>
      </c>
    </row>
    <row r="88" spans="1:8" ht="14.25" hidden="1" x14ac:dyDescent="0.25">
      <c r="A88" s="88" t="s">
        <v>859</v>
      </c>
      <c r="B88" s="89" t="s">
        <v>1006</v>
      </c>
      <c r="C88" s="90" t="s">
        <v>419</v>
      </c>
      <c r="D88" s="24">
        <f t="shared" ref="D88:E91" si="50">D83</f>
        <v>0</v>
      </c>
      <c r="E88" s="24">
        <f t="shared" si="50"/>
        <v>0</v>
      </c>
      <c r="F88" s="24">
        <f t="shared" ref="F88:G88" si="51">F83</f>
        <v>0</v>
      </c>
      <c r="G88" s="24">
        <f t="shared" si="51"/>
        <v>0</v>
      </c>
      <c r="H88" s="24">
        <f t="shared" ref="H88" si="52">H83</f>
        <v>0</v>
      </c>
    </row>
    <row r="89" spans="1:8" ht="14.25" hidden="1" x14ac:dyDescent="0.25">
      <c r="A89" s="88" t="s">
        <v>1979</v>
      </c>
      <c r="B89" s="89" t="s">
        <v>1978</v>
      </c>
      <c r="C89" s="90" t="s">
        <v>419</v>
      </c>
      <c r="D89" s="24">
        <f t="shared" si="50"/>
        <v>0</v>
      </c>
      <c r="E89" s="24">
        <f t="shared" si="50"/>
        <v>0</v>
      </c>
      <c r="F89" s="24">
        <f t="shared" ref="F89:G89" si="53">F84</f>
        <v>0</v>
      </c>
      <c r="G89" s="24">
        <f t="shared" si="53"/>
        <v>0</v>
      </c>
      <c r="H89" s="24">
        <f t="shared" ref="H89" si="54">H84</f>
        <v>0</v>
      </c>
    </row>
    <row r="90" spans="1:8" ht="14.25" hidden="1" x14ac:dyDescent="0.25">
      <c r="A90" s="88" t="s">
        <v>1974</v>
      </c>
      <c r="B90" s="89" t="s">
        <v>1975</v>
      </c>
      <c r="C90" s="90" t="s">
        <v>419</v>
      </c>
      <c r="D90" s="24">
        <f t="shared" si="50"/>
        <v>0</v>
      </c>
      <c r="E90" s="24">
        <f t="shared" si="50"/>
        <v>0</v>
      </c>
      <c r="F90" s="24">
        <f t="shared" ref="F90:G90" si="55">F85</f>
        <v>0</v>
      </c>
      <c r="G90" s="24">
        <f t="shared" si="55"/>
        <v>0</v>
      </c>
      <c r="H90" s="24">
        <f t="shared" ref="H90" si="56">H85</f>
        <v>0</v>
      </c>
    </row>
    <row r="91" spans="1:8" ht="14.25" hidden="1" x14ac:dyDescent="0.25">
      <c r="A91" s="88" t="s">
        <v>1090</v>
      </c>
      <c r="B91" s="89" t="s">
        <v>1091</v>
      </c>
      <c r="C91" s="90" t="s">
        <v>419</v>
      </c>
      <c r="D91" s="24">
        <f t="shared" si="50"/>
        <v>0</v>
      </c>
      <c r="E91" s="24">
        <f t="shared" si="50"/>
        <v>0</v>
      </c>
      <c r="F91" s="24">
        <f t="shared" ref="F91:G91" si="57">F86</f>
        <v>0</v>
      </c>
      <c r="G91" s="24">
        <f t="shared" si="57"/>
        <v>0</v>
      </c>
      <c r="H91" s="24">
        <f t="shared" ref="H91" si="58">H86</f>
        <v>0</v>
      </c>
    </row>
    <row r="92" spans="1:8" ht="14.25" hidden="1" x14ac:dyDescent="0.25">
      <c r="A92" s="91" t="s">
        <v>861</v>
      </c>
      <c r="B92" s="92" t="s">
        <v>1004</v>
      </c>
      <c r="C92" s="93" t="s">
        <v>406</v>
      </c>
      <c r="D92" s="24">
        <f>D$81*D82</f>
        <v>0</v>
      </c>
      <c r="E92" s="24">
        <f>E$81*E82</f>
        <v>0</v>
      </c>
      <c r="F92" s="24">
        <f>F$81*F82</f>
        <v>0</v>
      </c>
      <c r="G92" s="24">
        <f>G$81*G82</f>
        <v>0</v>
      </c>
      <c r="H92" s="24">
        <f>H$81*H82</f>
        <v>0</v>
      </c>
    </row>
    <row r="93" spans="1:8" ht="14.25" hidden="1" x14ac:dyDescent="0.25">
      <c r="A93" s="91" t="s">
        <v>858</v>
      </c>
      <c r="B93" s="92" t="s">
        <v>1005</v>
      </c>
      <c r="C93" s="93" t="s">
        <v>406</v>
      </c>
      <c r="D93" s="24">
        <f t="shared" ref="D93:E96" si="59">D$81*D83</f>
        <v>0</v>
      </c>
      <c r="E93" s="24">
        <f t="shared" si="59"/>
        <v>0</v>
      </c>
      <c r="F93" s="24">
        <f t="shared" ref="F93:G93" si="60">F$81*F83</f>
        <v>0</v>
      </c>
      <c r="G93" s="24">
        <f t="shared" si="60"/>
        <v>0</v>
      </c>
      <c r="H93" s="24">
        <f t="shared" ref="H93" si="61">H$81*H83</f>
        <v>0</v>
      </c>
    </row>
    <row r="94" spans="1:8" ht="14.25" hidden="1" x14ac:dyDescent="0.25">
      <c r="A94" s="91" t="s">
        <v>1983</v>
      </c>
      <c r="B94" s="92" t="s">
        <v>1990</v>
      </c>
      <c r="C94" s="93" t="s">
        <v>406</v>
      </c>
      <c r="D94" s="24">
        <f t="shared" si="59"/>
        <v>0</v>
      </c>
      <c r="E94" s="24">
        <f t="shared" si="59"/>
        <v>0</v>
      </c>
      <c r="F94" s="24">
        <f t="shared" ref="F94:G94" si="62">F$81*F84</f>
        <v>0</v>
      </c>
      <c r="G94" s="24">
        <f t="shared" si="62"/>
        <v>0</v>
      </c>
      <c r="H94" s="24">
        <f t="shared" ref="H94" si="63">H$81*H84</f>
        <v>0</v>
      </c>
    </row>
    <row r="95" spans="1:8" ht="14.25" hidden="1" x14ac:dyDescent="0.25">
      <c r="A95" s="91" t="s">
        <v>1982</v>
      </c>
      <c r="B95" s="92" t="s">
        <v>1981</v>
      </c>
      <c r="C95" s="93" t="s">
        <v>406</v>
      </c>
      <c r="D95" s="24">
        <f t="shared" si="59"/>
        <v>0</v>
      </c>
      <c r="E95" s="24">
        <f t="shared" si="59"/>
        <v>0</v>
      </c>
      <c r="F95" s="24">
        <f t="shared" ref="F95:G95" si="64">F$81*F85</f>
        <v>0</v>
      </c>
      <c r="G95" s="24">
        <f t="shared" si="64"/>
        <v>0</v>
      </c>
      <c r="H95" s="24">
        <f t="shared" ref="H95" si="65">H$81*H85</f>
        <v>0</v>
      </c>
    </row>
    <row r="96" spans="1:8" ht="14.25" hidden="1" x14ac:dyDescent="0.25">
      <c r="A96" s="91" t="s">
        <v>1088</v>
      </c>
      <c r="B96" s="92" t="s">
        <v>1089</v>
      </c>
      <c r="C96" s="93" t="s">
        <v>406</v>
      </c>
      <c r="D96" s="24">
        <f t="shared" si="59"/>
        <v>0</v>
      </c>
      <c r="E96" s="24">
        <f t="shared" si="59"/>
        <v>0</v>
      </c>
      <c r="F96" s="24">
        <f t="shared" ref="F96:G96" si="66">F$81*F86</f>
        <v>0</v>
      </c>
      <c r="G96" s="24">
        <f t="shared" si="66"/>
        <v>0</v>
      </c>
      <c r="H96" s="24">
        <f t="shared" ref="H96" si="67">H$81*H86</f>
        <v>0</v>
      </c>
    </row>
    <row r="97" spans="1:8" hidden="1" x14ac:dyDescent="0.2">
      <c r="A97" s="4"/>
      <c r="B97" s="4"/>
      <c r="C97" s="4"/>
      <c r="D97" s="4"/>
      <c r="E97" s="4"/>
      <c r="F97" s="4"/>
      <c r="G97" s="4"/>
      <c r="H97" s="4"/>
    </row>
    <row r="98" spans="1:8" hidden="1" x14ac:dyDescent="0.2">
      <c r="A98" s="16" t="s">
        <v>1998</v>
      </c>
      <c r="B98" s="4"/>
      <c r="C98" s="4"/>
      <c r="D98" s="4"/>
      <c r="E98" s="4"/>
      <c r="F98" s="4"/>
      <c r="G98" s="4"/>
      <c r="H98" s="4"/>
    </row>
    <row r="99" spans="1:8" ht="14.25" hidden="1" x14ac:dyDescent="0.25">
      <c r="A99" s="88" t="s">
        <v>860</v>
      </c>
      <c r="B99" s="89" t="s">
        <v>1003</v>
      </c>
      <c r="C99" s="90" t="s">
        <v>419</v>
      </c>
      <c r="D99" s="24">
        <f t="shared" ref="D99:E108" si="68">D52+D69+D87</f>
        <v>2.4000000000000004</v>
      </c>
      <c r="E99" s="24">
        <f t="shared" si="68"/>
        <v>2.4000000000000004</v>
      </c>
      <c r="F99" s="24">
        <f t="shared" ref="F99:G99" si="69">F52+F69+F87</f>
        <v>0</v>
      </c>
      <c r="G99" s="24">
        <f t="shared" si="69"/>
        <v>0</v>
      </c>
      <c r="H99" s="24">
        <f t="shared" ref="H99" si="70">H52+H69+H87</f>
        <v>0</v>
      </c>
    </row>
    <row r="100" spans="1:8" ht="14.25" hidden="1" x14ac:dyDescent="0.25">
      <c r="A100" s="88" t="s">
        <v>859</v>
      </c>
      <c r="B100" s="89" t="s">
        <v>1006</v>
      </c>
      <c r="C100" s="90" t="s">
        <v>419</v>
      </c>
      <c r="D100" s="24">
        <f t="shared" si="68"/>
        <v>14.399999999999999</v>
      </c>
      <c r="E100" s="24">
        <f t="shared" si="68"/>
        <v>14.399999999999999</v>
      </c>
      <c r="F100" s="24">
        <f t="shared" ref="F100:G100" si="71">F53+F70+F88</f>
        <v>0</v>
      </c>
      <c r="G100" s="24">
        <f t="shared" si="71"/>
        <v>0</v>
      </c>
      <c r="H100" s="24">
        <f t="shared" ref="H100" si="72">H53+H70+H88</f>
        <v>0</v>
      </c>
    </row>
    <row r="101" spans="1:8" ht="14.25" hidden="1" x14ac:dyDescent="0.25">
      <c r="A101" s="88" t="s">
        <v>1979</v>
      </c>
      <c r="B101" s="89" t="s">
        <v>1978</v>
      </c>
      <c r="C101" s="90" t="s">
        <v>419</v>
      </c>
      <c r="D101" s="24">
        <f t="shared" si="68"/>
        <v>0</v>
      </c>
      <c r="E101" s="24">
        <f t="shared" si="68"/>
        <v>0</v>
      </c>
      <c r="F101" s="24">
        <f t="shared" ref="F101:G101" si="73">F54+F71+F89</f>
        <v>0</v>
      </c>
      <c r="G101" s="24">
        <f t="shared" si="73"/>
        <v>0</v>
      </c>
      <c r="H101" s="24">
        <f t="shared" ref="H101" si="74">H54+H71+H89</f>
        <v>0</v>
      </c>
    </row>
    <row r="102" spans="1:8" ht="14.25" hidden="1" x14ac:dyDescent="0.25">
      <c r="A102" s="88" t="s">
        <v>1974</v>
      </c>
      <c r="B102" s="89" t="s">
        <v>1975</v>
      </c>
      <c r="C102" s="90" t="s">
        <v>419</v>
      </c>
      <c r="D102" s="24">
        <f t="shared" si="68"/>
        <v>0</v>
      </c>
      <c r="E102" s="24">
        <f t="shared" si="68"/>
        <v>0</v>
      </c>
      <c r="F102" s="24">
        <f t="shared" ref="F102:G102" si="75">F55+F72+F90</f>
        <v>0</v>
      </c>
      <c r="G102" s="24">
        <f t="shared" si="75"/>
        <v>0</v>
      </c>
      <c r="H102" s="24">
        <f t="shared" ref="H102" si="76">H55+H72+H90</f>
        <v>0</v>
      </c>
    </row>
    <row r="103" spans="1:8" ht="14.25" hidden="1" x14ac:dyDescent="0.25">
      <c r="A103" s="88" t="s">
        <v>1090</v>
      </c>
      <c r="B103" s="89" t="s">
        <v>1091</v>
      </c>
      <c r="C103" s="90" t="s">
        <v>419</v>
      </c>
      <c r="D103" s="24">
        <f t="shared" si="68"/>
        <v>0</v>
      </c>
      <c r="E103" s="24">
        <f t="shared" si="68"/>
        <v>0</v>
      </c>
      <c r="F103" s="24">
        <f t="shared" ref="F103:G103" si="77">F56+F73+F91</f>
        <v>0</v>
      </c>
      <c r="G103" s="24">
        <f t="shared" si="77"/>
        <v>0</v>
      </c>
      <c r="H103" s="24">
        <f t="shared" ref="H103" si="78">H56+H73+H91</f>
        <v>0</v>
      </c>
    </row>
    <row r="104" spans="1:8" ht="14.25" hidden="1" x14ac:dyDescent="0.25">
      <c r="A104" s="94" t="s">
        <v>861</v>
      </c>
      <c r="B104" s="95" t="s">
        <v>1004</v>
      </c>
      <c r="C104" s="96" t="s">
        <v>406</v>
      </c>
      <c r="D104" s="24">
        <f t="shared" si="68"/>
        <v>14.4</v>
      </c>
      <c r="E104" s="24">
        <f t="shared" si="68"/>
        <v>14.4</v>
      </c>
      <c r="F104" s="24">
        <f t="shared" ref="F104:G104" si="79">F57+F74+F92</f>
        <v>0</v>
      </c>
      <c r="G104" s="24">
        <f t="shared" si="79"/>
        <v>0</v>
      </c>
      <c r="H104" s="24">
        <f t="shared" ref="H104" si="80">H57+H74+H92</f>
        <v>0</v>
      </c>
    </row>
    <row r="105" spans="1:8" ht="14.25" hidden="1" x14ac:dyDescent="0.25">
      <c r="A105" s="94" t="s">
        <v>858</v>
      </c>
      <c r="B105" s="95" t="s">
        <v>1005</v>
      </c>
      <c r="C105" s="96" t="s">
        <v>406</v>
      </c>
      <c r="D105" s="24">
        <f t="shared" si="68"/>
        <v>86.399999999999991</v>
      </c>
      <c r="E105" s="24">
        <f t="shared" si="68"/>
        <v>86.399999999999991</v>
      </c>
      <c r="F105" s="24">
        <f t="shared" ref="F105:G105" si="81">F58+F75+F93</f>
        <v>0</v>
      </c>
      <c r="G105" s="24">
        <f t="shared" si="81"/>
        <v>0</v>
      </c>
      <c r="H105" s="24">
        <f t="shared" ref="H105" si="82">H58+H75+H93</f>
        <v>0</v>
      </c>
    </row>
    <row r="106" spans="1:8" ht="14.25" hidden="1" x14ac:dyDescent="0.25">
      <c r="A106" s="94" t="s">
        <v>1983</v>
      </c>
      <c r="B106" s="95" t="s">
        <v>1990</v>
      </c>
      <c r="C106" s="96" t="s">
        <v>406</v>
      </c>
      <c r="D106" s="24">
        <f t="shared" si="68"/>
        <v>0</v>
      </c>
      <c r="E106" s="24">
        <f t="shared" si="68"/>
        <v>0</v>
      </c>
      <c r="F106" s="24">
        <f t="shared" ref="F106:G106" si="83">F59+F76+F94</f>
        <v>0</v>
      </c>
      <c r="G106" s="24">
        <f t="shared" si="83"/>
        <v>0</v>
      </c>
      <c r="H106" s="24">
        <f t="shared" ref="H106" si="84">H59+H76+H94</f>
        <v>0</v>
      </c>
    </row>
    <row r="107" spans="1:8" ht="14.25" hidden="1" x14ac:dyDescent="0.25">
      <c r="A107" s="94" t="s">
        <v>1982</v>
      </c>
      <c r="B107" s="95" t="s">
        <v>1981</v>
      </c>
      <c r="C107" s="96" t="s">
        <v>406</v>
      </c>
      <c r="D107" s="24">
        <f t="shared" si="68"/>
        <v>0</v>
      </c>
      <c r="E107" s="24">
        <f t="shared" si="68"/>
        <v>0</v>
      </c>
      <c r="F107" s="24">
        <f t="shared" ref="F107:G107" si="85">F60+F77+F95</f>
        <v>0</v>
      </c>
      <c r="G107" s="24">
        <f t="shared" si="85"/>
        <v>0</v>
      </c>
      <c r="H107" s="24">
        <f t="shared" ref="H107" si="86">H60+H77+H95</f>
        <v>0</v>
      </c>
    </row>
    <row r="108" spans="1:8" ht="14.25" hidden="1" x14ac:dyDescent="0.25">
      <c r="A108" s="94" t="s">
        <v>1088</v>
      </c>
      <c r="B108" s="95" t="s">
        <v>1089</v>
      </c>
      <c r="C108" s="96" t="s">
        <v>406</v>
      </c>
      <c r="D108" s="24">
        <f t="shared" si="68"/>
        <v>0</v>
      </c>
      <c r="E108" s="24">
        <f t="shared" si="68"/>
        <v>0</v>
      </c>
      <c r="F108" s="24">
        <f t="shared" ref="F108:G108" si="87">F61+F78+F96</f>
        <v>0</v>
      </c>
      <c r="G108" s="24">
        <f t="shared" si="87"/>
        <v>0</v>
      </c>
      <c r="H108" s="24">
        <f t="shared" ref="H108" si="88">H61+H78+H96</f>
        <v>0</v>
      </c>
    </row>
    <row r="109" spans="1:8" hidden="1" x14ac:dyDescent="0.2">
      <c r="A109" s="4"/>
      <c r="B109" s="4"/>
      <c r="C109" s="4"/>
      <c r="D109" s="4"/>
      <c r="E109" s="4"/>
      <c r="F109" s="4"/>
      <c r="G109" s="4"/>
      <c r="H109" s="4"/>
    </row>
    <row r="110" spans="1:8" hidden="1" x14ac:dyDescent="0.2">
      <c r="A110" s="16" t="s">
        <v>1999</v>
      </c>
      <c r="B110" s="30"/>
      <c r="C110" s="30"/>
      <c r="D110" s="4"/>
      <c r="E110" s="4"/>
      <c r="F110" s="4"/>
      <c r="G110" s="4"/>
      <c r="H110" s="4"/>
    </row>
    <row r="111" spans="1:8" ht="14.25" hidden="1" x14ac:dyDescent="0.25">
      <c r="A111" s="5" t="s">
        <v>1082</v>
      </c>
      <c r="B111" s="97" t="s">
        <v>1107</v>
      </c>
      <c r="C111" s="3" t="s">
        <v>419</v>
      </c>
      <c r="D111" s="98">
        <f>D99</f>
        <v>2.4000000000000004</v>
      </c>
      <c r="E111" s="98">
        <f>E99</f>
        <v>2.4000000000000004</v>
      </c>
      <c r="F111" s="98">
        <f>F99</f>
        <v>0</v>
      </c>
      <c r="G111" s="98">
        <f>G99</f>
        <v>0</v>
      </c>
      <c r="H111" s="98">
        <f>H99</f>
        <v>0</v>
      </c>
    </row>
    <row r="112" spans="1:8" ht="15" hidden="1" x14ac:dyDescent="0.25">
      <c r="A112" s="5" t="s">
        <v>1081</v>
      </c>
      <c r="B112" s="97" t="s">
        <v>1602</v>
      </c>
      <c r="C112" s="3" t="s">
        <v>419</v>
      </c>
      <c r="D112" s="98">
        <f>D99+D100</f>
        <v>16.799999999999997</v>
      </c>
      <c r="E112" s="98">
        <f>E99+E100</f>
        <v>16.799999999999997</v>
      </c>
      <c r="F112" s="98">
        <f>F99+F100</f>
        <v>0</v>
      </c>
      <c r="G112" s="98">
        <f>G99+G100</f>
        <v>0</v>
      </c>
      <c r="H112" s="98">
        <f>H99+H100</f>
        <v>0</v>
      </c>
    </row>
    <row r="113" spans="1:8" s="102" customFormat="1" ht="25.5" hidden="1" x14ac:dyDescent="0.25">
      <c r="A113" s="99" t="s">
        <v>1993</v>
      </c>
      <c r="B113" s="100" t="s">
        <v>1603</v>
      </c>
      <c r="C113" s="3" t="s">
        <v>419</v>
      </c>
      <c r="D113" s="101">
        <f>IF(D$8="ASCE 7-16",D99+MAX(D101,D102),IF(D$8="ASCE 7-22",D99+MAX(0.7*D101,D102)))</f>
        <v>2.4000000000000004</v>
      </c>
      <c r="E113" s="101">
        <f>IF(E$8="ASCE 7-16",E99+MAX(E101,E102),IF(E$8="ASCE 7-22",E99+MAX(0.7*E101,E102)))</f>
        <v>2.4000000000000004</v>
      </c>
      <c r="F113" s="101">
        <f>IF(F$8="ASCE 7-16",F99+MAX(F101,F102),IF(F$8="ASCE 7-22",F99+MAX(0.7*F101,F102)))</f>
        <v>0</v>
      </c>
      <c r="G113" s="101">
        <f>IF(G$8="ASCE 7-16",G99+MAX(G101,G102),IF(G$8="ASCE 7-22",G99+MAX(0.7*G101,G102)))</f>
        <v>0</v>
      </c>
      <c r="H113" s="101">
        <f>IF(H$8="ASCE 7-16",H99+MAX(H101,H102),IF(H$8="ASCE 7-22",H99+MAX(0.7*H101,H102)))</f>
        <v>0</v>
      </c>
    </row>
    <row r="114" spans="1:8" s="102" customFormat="1" ht="25.5" hidden="1" x14ac:dyDescent="0.25">
      <c r="A114" s="99" t="s">
        <v>1991</v>
      </c>
      <c r="B114" s="100" t="s">
        <v>1604</v>
      </c>
      <c r="C114" s="3" t="s">
        <v>419</v>
      </c>
      <c r="D114" s="101">
        <f>IF(D$8="ASCE 7-16",D99+0.75*(D100)+0.75*(MAX(D101,D102)),IF(D$8="ASCE 7-22",D99+0.75*(D100)+0.75*(MAX(0.7*D101,D102))))</f>
        <v>13.2</v>
      </c>
      <c r="E114" s="101">
        <f>IF(E$8="ASCE 7-16",E99+0.75*(E100)+0.75*(MAX(E101,E102)),IF(E$8="ASCE 7-22",E99+0.75*(E100)+0.75*(MAX(0.7*E101,E102))))</f>
        <v>13.2</v>
      </c>
      <c r="F114" s="101">
        <f>IF(F$8="ASCE 7-16",F99+0.75*(F100)+0.75*(MAX(F101,F102)),IF(F$8="ASCE 7-22",F99+0.75*(F100)+0.75*(MAX(0.7*F101,F102))))</f>
        <v>0</v>
      </c>
      <c r="G114" s="101">
        <f>IF(G$8="ASCE 7-16",G99+0.75*(G100)+0.75*(MAX(G101,G102)),IF(G$8="ASCE 7-22",G99+0.75*(G100)+0.75*(MAX(0.7*G101,G102))))</f>
        <v>0</v>
      </c>
      <c r="H114" s="101">
        <f>IF(H$8="ASCE 7-16",H99+0.75*(H100)+0.75*(MAX(H101,H102)),IF(H$8="ASCE 7-22",H99+0.75*(H100)+0.75*(MAX(0.7*H101,H102))))</f>
        <v>0</v>
      </c>
    </row>
    <row r="115" spans="1:8" ht="15" hidden="1" x14ac:dyDescent="0.25">
      <c r="A115" s="5" t="s">
        <v>1083</v>
      </c>
      <c r="B115" s="97" t="s">
        <v>1605</v>
      </c>
      <c r="C115" s="3" t="s">
        <v>419</v>
      </c>
      <c r="D115" s="98">
        <f>D99+0.6*(D103)</f>
        <v>2.4000000000000004</v>
      </c>
      <c r="E115" s="98">
        <f>E99+0.6*(E103)</f>
        <v>2.4000000000000004</v>
      </c>
      <c r="F115" s="98">
        <f>F99+0.6*(F103)</f>
        <v>0</v>
      </c>
      <c r="G115" s="98">
        <f>G99+0.6*(G103)</f>
        <v>0</v>
      </c>
      <c r="H115" s="98">
        <f>H99+0.6*(H103)</f>
        <v>0</v>
      </c>
    </row>
    <row r="116" spans="1:8" s="102" customFormat="1" ht="25.5" hidden="1" x14ac:dyDescent="0.25">
      <c r="A116" s="99" t="s">
        <v>1992</v>
      </c>
      <c r="B116" s="100" t="s">
        <v>1606</v>
      </c>
      <c r="C116" s="3" t="s">
        <v>419</v>
      </c>
      <c r="D116" s="101">
        <f>IF(D$8="ASCE 7-16",D99+0.75*(D100)+0.75*0.6*(D103)+0.75*MAX(D101,D102),IF(D$8="ASCE 7-22",D99+0.75*(D100)+0.75*0.6*(D103)+0.75*MAX(0.7*D101,D102)))</f>
        <v>13.2</v>
      </c>
      <c r="E116" s="101">
        <f>IF(E$8="ASCE 7-16",E99+0.75*(E100)+0.75*0.6*(E103)+0.75*MAX(E101,E102),IF(E$8="ASCE 7-22",E99+0.75*(E100)+0.75*0.6*(E103)+0.75*MAX(0.7*E101,E102)))</f>
        <v>13.2</v>
      </c>
      <c r="F116" s="101">
        <f>IF(F$8="ASCE 7-16",F99+0.75*(F100)+0.75*0.6*(F103)+0.75*MAX(F101,F102),IF(F$8="ASCE 7-22",F99+0.75*(F100)+0.75*0.6*(F103)+0.75*MAX(0.7*F101,F102)))</f>
        <v>0</v>
      </c>
      <c r="G116" s="101">
        <f>IF(G$8="ASCE 7-16",G99+0.75*(G100)+0.75*0.6*(G103)+0.75*MAX(G101,G102),IF(G$8="ASCE 7-22",G99+0.75*(G100)+0.75*0.6*(G103)+0.75*MAX(0.7*G101,G102)))</f>
        <v>0</v>
      </c>
      <c r="H116" s="101">
        <f>IF(H$8="ASCE 7-16",H99+0.75*(H100)+0.75*0.6*(H103)+0.75*MAX(H101,H102),IF(H$8="ASCE 7-22",H99+0.75*(H100)+0.75*0.6*(H103)+0.75*MAX(0.7*H101,H102)))</f>
        <v>0</v>
      </c>
    </row>
    <row r="117" spans="1:8" ht="15" hidden="1" x14ac:dyDescent="0.25">
      <c r="A117" s="5" t="s">
        <v>1084</v>
      </c>
      <c r="B117" s="97" t="s">
        <v>1607</v>
      </c>
      <c r="C117" s="3" t="s">
        <v>419</v>
      </c>
      <c r="D117" s="98">
        <f>0.6*(D99)+0.6*(D103)</f>
        <v>1.4400000000000002</v>
      </c>
      <c r="E117" s="98">
        <f>0.6*(E99)+0.6*(E103)</f>
        <v>1.4400000000000002</v>
      </c>
      <c r="F117" s="98">
        <f>0.6*(F99)+0.6*(F103)</f>
        <v>0</v>
      </c>
      <c r="G117" s="98">
        <f>0.6*(G99)+0.6*(G103)</f>
        <v>0</v>
      </c>
      <c r="H117" s="98">
        <f>0.6*(H99)+0.6*(H103)</f>
        <v>0</v>
      </c>
    </row>
    <row r="118" spans="1:8" hidden="1" x14ac:dyDescent="0.2">
      <c r="A118" s="4"/>
      <c r="B118" s="4"/>
      <c r="C118" s="4"/>
      <c r="D118" s="17"/>
      <c r="E118" s="17"/>
      <c r="F118" s="17"/>
      <c r="G118" s="17"/>
      <c r="H118" s="17"/>
    </row>
    <row r="119" spans="1:8" ht="14.25" hidden="1" x14ac:dyDescent="0.25">
      <c r="A119" s="5" t="s">
        <v>1085</v>
      </c>
      <c r="B119" s="103" t="s">
        <v>1108</v>
      </c>
      <c r="C119" s="3" t="s">
        <v>419</v>
      </c>
      <c r="D119" s="98">
        <f>1.4*(D99)</f>
        <v>3.3600000000000003</v>
      </c>
      <c r="E119" s="98">
        <f>1.4*(E99)</f>
        <v>3.3600000000000003</v>
      </c>
      <c r="F119" s="98">
        <f>1.4*(F99)</f>
        <v>0</v>
      </c>
      <c r="G119" s="98">
        <f>1.4*(G99)</f>
        <v>0</v>
      </c>
      <c r="H119" s="98">
        <f>1.4*(H99)</f>
        <v>0</v>
      </c>
    </row>
    <row r="120" spans="1:8" s="102" customFormat="1" ht="25.5" hidden="1" x14ac:dyDescent="0.25">
      <c r="A120" s="99" t="s">
        <v>1994</v>
      </c>
      <c r="B120" s="104" t="s">
        <v>1109</v>
      </c>
      <c r="C120" s="3" t="s">
        <v>419</v>
      </c>
      <c r="D120" s="101">
        <f>IF(D$8="ASCE 7-16",1.2*(D99)+1.6*(D100)+0.5*MAX(D101,D102),IF(D$8="ASCE 7-22",1.2*(D99)+1.6*(D100)+MAX(0.3*D101,0.5*D102)))</f>
        <v>25.919999999999998</v>
      </c>
      <c r="E120" s="101">
        <f>IF(E$8="ASCE 7-16",1.2*(E99)+1.6*(E100)+0.5*MAX(E101,E102),IF(E$8="ASCE 7-22",1.2*(E99)+1.6*(E100)+MAX(0.3*E101,0.5*E102)))</f>
        <v>25.919999999999998</v>
      </c>
      <c r="F120" s="101">
        <f>IF(F$8="ASCE 7-16",1.2*(F99)+1.6*(F100)+0.5*MAX(F101,F102),IF(F$8="ASCE 7-22",1.2*(F99)+1.6*(F100)+MAX(0.3*F101,0.5*F102)))</f>
        <v>0</v>
      </c>
      <c r="G120" s="101">
        <f>IF(G$8="ASCE 7-16",1.2*(G99)+1.6*(G100)+0.5*MAX(G101,G102),IF(G$8="ASCE 7-22",1.2*(G99)+1.6*(G100)+MAX(0.3*G101,0.5*G102)))</f>
        <v>0</v>
      </c>
      <c r="H120" s="101">
        <f>IF(H$8="ASCE 7-16",1.2*(H99)+1.6*(H100)+0.5*MAX(H101,H102),IF(H$8="ASCE 7-22",1.2*(H99)+1.6*(H100)+MAX(0.3*H101,0.5*H102)))</f>
        <v>0</v>
      </c>
    </row>
    <row r="121" spans="1:8" s="102" customFormat="1" ht="25.5" hidden="1" x14ac:dyDescent="0.25">
      <c r="A121" s="99" t="s">
        <v>1995</v>
      </c>
      <c r="B121" s="104" t="s">
        <v>1110</v>
      </c>
      <c r="C121" s="3" t="s">
        <v>419</v>
      </c>
      <c r="D121" s="101">
        <f>IF(D$8="ASCE 7-16",1.2*(D99)+1.6*MAX(D101,D102)+MAX(D100,0.5*D103),IF(D$8="ASCE 7-22",1.2*(D99)+MAX(D101,1.6*D102)+MAX(D100,0.5*D103)))</f>
        <v>17.279999999999998</v>
      </c>
      <c r="E121" s="101">
        <f>IF(E$8="ASCE 7-16",1.2*(E99)+1.6*MAX(E101,E102)+MAX(E100,0.5*E103),IF(E$8="ASCE 7-22",1.2*(E99)+MAX(E101,1.6*E102)+MAX(E100,0.5*E103)))</f>
        <v>17.279999999999998</v>
      </c>
      <c r="F121" s="101">
        <f>IF(F$8="ASCE 7-16",1.2*(F99)+1.6*MAX(F101,F102)+MAX(F100,0.5*F103),IF(F$8="ASCE 7-22",1.2*(F99)+MAX(F101,1.6*F102)+MAX(F100,0.5*F103)))</f>
        <v>0</v>
      </c>
      <c r="G121" s="101">
        <f>IF(G$8="ASCE 7-16",1.2*(G99)+1.6*MAX(G101,G102)+MAX(G100,0.5*G103),IF(G$8="ASCE 7-22",1.2*(G99)+MAX(G101,1.6*G102)+MAX(G100,0.5*G103)))</f>
        <v>0</v>
      </c>
      <c r="H121" s="101">
        <f>IF(H$8="ASCE 7-16",1.2*(H99)+1.6*MAX(H101,H102)+MAX(H100,0.5*H103),IF(H$8="ASCE 7-22",1.2*(H99)+MAX(H101,1.6*H102)+MAX(H100,0.5*H103)))</f>
        <v>0</v>
      </c>
    </row>
    <row r="122" spans="1:8" s="102" customFormat="1" ht="25.5" hidden="1" x14ac:dyDescent="0.25">
      <c r="A122" s="99" t="s">
        <v>1996</v>
      </c>
      <c r="B122" s="104" t="s">
        <v>1111</v>
      </c>
      <c r="C122" s="3" t="s">
        <v>419</v>
      </c>
      <c r="D122" s="101">
        <f>IF(D$8="ASCE 7-16",1.2*(D99)+(D103)+(D100)+0.5*MAX(D101,D102),IF(D$8="ASCE 7-22",1.2*(D99)+(D103)+(D100)+MAX(0.3*D101,0.5*D102)))</f>
        <v>17.279999999999998</v>
      </c>
      <c r="E122" s="101">
        <f>IF(E$8="ASCE 7-16",1.2*(E99)+(E103)+(E100)+0.5*MAX(E101,E102),IF(E$8="ASCE 7-22",1.2*(E99)+(E103)+(E100)+MAX(0.3*E101,0.5*E102)))</f>
        <v>17.279999999999998</v>
      </c>
      <c r="F122" s="101">
        <f>IF(F$8="ASCE 7-16",1.2*(F99)+(F103)+(F100)+0.5*MAX(F101,F102),IF(F$8="ASCE 7-22",1.2*(F99)+(F103)+(F100)+MAX(0.3*F101,0.5*F102)))</f>
        <v>0</v>
      </c>
      <c r="G122" s="101">
        <f>IF(G$8="ASCE 7-16",1.2*(G99)+(G103)+(G100)+0.5*MAX(G101,G102),IF(G$8="ASCE 7-22",1.2*(G99)+(G103)+(G100)+MAX(0.3*G101,0.5*G102)))</f>
        <v>0</v>
      </c>
      <c r="H122" s="101">
        <f>IF(H$8="ASCE 7-16",1.2*(H99)+(H103)+(H100)+0.5*MAX(H101,H102),IF(H$8="ASCE 7-22",1.2*(H99)+(H103)+(H100)+MAX(0.3*H101,0.5*H102)))</f>
        <v>0</v>
      </c>
    </row>
    <row r="123" spans="1:8" ht="15" hidden="1" x14ac:dyDescent="0.25">
      <c r="A123" s="5" t="s">
        <v>1086</v>
      </c>
      <c r="B123" s="103" t="s">
        <v>1112</v>
      </c>
      <c r="C123" s="3" t="s">
        <v>419</v>
      </c>
      <c r="D123" s="98">
        <f>0.9*(D99)+(D103)</f>
        <v>2.1600000000000006</v>
      </c>
      <c r="E123" s="98">
        <f>0.9*(E99)+(E103)</f>
        <v>2.1600000000000006</v>
      </c>
      <c r="F123" s="98">
        <f>0.9*(F99)+(F103)</f>
        <v>0</v>
      </c>
      <c r="G123" s="98">
        <f>0.9*(G99)+(G103)</f>
        <v>0</v>
      </c>
      <c r="H123" s="98">
        <f>0.9*(H99)+(H103)</f>
        <v>0</v>
      </c>
    </row>
    <row r="124" spans="1:8" hidden="1" x14ac:dyDescent="0.2">
      <c r="A124" s="4"/>
      <c r="B124" s="4"/>
      <c r="C124" s="4"/>
      <c r="D124" s="17"/>
      <c r="E124" s="17"/>
      <c r="F124" s="17"/>
      <c r="G124" s="17"/>
      <c r="H124" s="17"/>
    </row>
    <row r="125" spans="1:8" ht="14.25" hidden="1" x14ac:dyDescent="0.25">
      <c r="A125" s="5" t="s">
        <v>1082</v>
      </c>
      <c r="B125" s="97" t="s">
        <v>1100</v>
      </c>
      <c r="C125" s="2" t="s">
        <v>406</v>
      </c>
      <c r="D125" s="98">
        <f>D104</f>
        <v>14.4</v>
      </c>
      <c r="E125" s="98">
        <f>E104</f>
        <v>14.4</v>
      </c>
      <c r="F125" s="98">
        <f>F104</f>
        <v>0</v>
      </c>
      <c r="G125" s="98">
        <f>G104</f>
        <v>0</v>
      </c>
      <c r="H125" s="98">
        <f>H104</f>
        <v>0</v>
      </c>
    </row>
    <row r="126" spans="1:8" ht="15" hidden="1" x14ac:dyDescent="0.25">
      <c r="A126" s="5" t="s">
        <v>1081</v>
      </c>
      <c r="B126" s="97" t="s">
        <v>1101</v>
      </c>
      <c r="C126" s="2" t="s">
        <v>406</v>
      </c>
      <c r="D126" s="98">
        <f>D104+D105</f>
        <v>100.8</v>
      </c>
      <c r="E126" s="98">
        <f>E104+E105</f>
        <v>100.8</v>
      </c>
      <c r="F126" s="98">
        <f>F104+F105</f>
        <v>0</v>
      </c>
      <c r="G126" s="98">
        <f>G104+G105</f>
        <v>0</v>
      </c>
      <c r="H126" s="98">
        <f>H104+H105</f>
        <v>0</v>
      </c>
    </row>
    <row r="127" spans="1:8" s="102" customFormat="1" ht="25.5" hidden="1" x14ac:dyDescent="0.25">
      <c r="A127" s="99" t="s">
        <v>1993</v>
      </c>
      <c r="B127" s="100" t="s">
        <v>1102</v>
      </c>
      <c r="C127" s="3" t="s">
        <v>406</v>
      </c>
      <c r="D127" s="101">
        <f>IF(D$8="ASCE 7-16",D104+MAX(D106,D107),IF(D$8="ASCE 7-22",D104+MAX(0.7*D106,D107)))</f>
        <v>14.4</v>
      </c>
      <c r="E127" s="101">
        <f>IF(E$8="ASCE 7-16",E104+MAX(E106,E107),IF(E$8="ASCE 7-22",E104+MAX(0.7*E106,E107)))</f>
        <v>14.4</v>
      </c>
      <c r="F127" s="101">
        <f>IF(F$8="ASCE 7-16",F104+MAX(F106,F107),IF(F$8="ASCE 7-22",F104+MAX(0.7*F106,F107)))</f>
        <v>0</v>
      </c>
      <c r="G127" s="101">
        <f>IF(G$8="ASCE 7-16",G104+MAX(G106,G107),IF(G$8="ASCE 7-22",G104+MAX(0.7*G106,G107)))</f>
        <v>0</v>
      </c>
      <c r="H127" s="101">
        <f>IF(H$8="ASCE 7-16",H104+MAX(H106,H107),IF(H$8="ASCE 7-22",H104+MAX(0.7*H106,H107)))</f>
        <v>0</v>
      </c>
    </row>
    <row r="128" spans="1:8" s="102" customFormat="1" ht="25.5" hidden="1" x14ac:dyDescent="0.25">
      <c r="A128" s="99" t="s">
        <v>1991</v>
      </c>
      <c r="B128" s="100" t="s">
        <v>1103</v>
      </c>
      <c r="C128" s="3" t="s">
        <v>406</v>
      </c>
      <c r="D128" s="101">
        <f>IF(D$8="ASCE 7-16",D104+0.75*(D105)+0.75*MAX(D106,D107),IF(D$8="ASCE 7-22",D104+0.75*(D105)+0.75*MAX(0.7*D106,D107)))</f>
        <v>79.2</v>
      </c>
      <c r="E128" s="101">
        <f>IF(E$8="ASCE 7-16",E104+0.75*(E105)+0.75*MAX(E106,E107),IF(E$8="ASCE 7-22",E104+0.75*(E105)+0.75*MAX(0.7*E106,E107)))</f>
        <v>79.2</v>
      </c>
      <c r="F128" s="101">
        <f>IF(F$8="ASCE 7-16",F104+0.75*(F105)+0.75*MAX(F106,F107),IF(F$8="ASCE 7-22",F104+0.75*(F105)+0.75*MAX(0.7*F106,F107)))</f>
        <v>0</v>
      </c>
      <c r="G128" s="101">
        <f>IF(G$8="ASCE 7-16",G104+0.75*(G105)+0.75*MAX(G106,G107),IF(G$8="ASCE 7-22",G104+0.75*(G105)+0.75*MAX(0.7*G106,G107)))</f>
        <v>0</v>
      </c>
      <c r="H128" s="101">
        <f>IF(H$8="ASCE 7-16",H104+0.75*(H105)+0.75*MAX(H106,H107),IF(H$8="ASCE 7-22",H104+0.75*(H105)+0.75*MAX(0.7*H106,H107)))</f>
        <v>0</v>
      </c>
    </row>
    <row r="129" spans="1:8" ht="15" hidden="1" x14ac:dyDescent="0.25">
      <c r="A129" s="5" t="s">
        <v>1083</v>
      </c>
      <c r="B129" s="97" t="s">
        <v>1104</v>
      </c>
      <c r="C129" s="2" t="s">
        <v>406</v>
      </c>
      <c r="D129" s="98">
        <f>D104+0.6*(D108)</f>
        <v>14.4</v>
      </c>
      <c r="E129" s="98">
        <f>E104+0.6*(E108)</f>
        <v>14.4</v>
      </c>
      <c r="F129" s="98">
        <f>F104+0.6*(F108)</f>
        <v>0</v>
      </c>
      <c r="G129" s="98">
        <f>G104+0.6*(G108)</f>
        <v>0</v>
      </c>
      <c r="H129" s="98">
        <f>H104+0.6*(H108)</f>
        <v>0</v>
      </c>
    </row>
    <row r="130" spans="1:8" s="102" customFormat="1" ht="25.5" hidden="1" x14ac:dyDescent="0.25">
      <c r="A130" s="99" t="s">
        <v>1992</v>
      </c>
      <c r="B130" s="100" t="s">
        <v>1105</v>
      </c>
      <c r="C130" s="3" t="s">
        <v>406</v>
      </c>
      <c r="D130" s="101">
        <f>IF(D$8="ASCE 7-16",D104+0.75*(D105)+0.75*0.6*(D108)+0.75*MAX(D106,D107),IF(D$8="ASCE 7-22",D104+0.75*(D105)+0.75*0.6*(D108)+0.75*MAX(0.7*D106,D107)))</f>
        <v>79.2</v>
      </c>
      <c r="E130" s="101">
        <f>IF(E$8="ASCE 7-16",E104+0.75*(E105)+0.75*0.6*(E108)+0.75*MAX(E106,E107),IF(E$8="ASCE 7-22",E104+0.75*(E105)+0.75*0.6*(E108)+0.75*MAX(0.7*E106,E107)))</f>
        <v>79.2</v>
      </c>
      <c r="F130" s="101">
        <f>IF(F$8="ASCE 7-16",F104+0.75*(F105)+0.75*0.6*(F108)+0.75*MAX(F106,F107),IF(F$8="ASCE 7-22",F104+0.75*(F105)+0.75*0.6*(F108)+0.75*MAX(0.7*F106,F107)))</f>
        <v>0</v>
      </c>
      <c r="G130" s="101">
        <f>IF(G$8="ASCE 7-16",G104+0.75*(G105)+0.75*0.6*(G108)+0.75*MAX(G106,G107),IF(G$8="ASCE 7-22",G104+0.75*(G105)+0.75*0.6*(G108)+0.75*MAX(0.7*G106,G107)))</f>
        <v>0</v>
      </c>
      <c r="H130" s="101">
        <f>IF(H$8="ASCE 7-16",H104+0.75*(H105)+0.75*0.6*(H108)+0.75*MAX(H106,H107),IF(H$8="ASCE 7-22",H104+0.75*(H105)+0.75*0.6*(H108)+0.75*MAX(0.7*H106,H107)))</f>
        <v>0</v>
      </c>
    </row>
    <row r="131" spans="1:8" ht="15" hidden="1" x14ac:dyDescent="0.25">
      <c r="A131" s="5" t="s">
        <v>1084</v>
      </c>
      <c r="B131" s="97" t="s">
        <v>1106</v>
      </c>
      <c r="C131" s="2" t="s">
        <v>406</v>
      </c>
      <c r="D131" s="98">
        <f>0.6*(D104)+0.6*(D108)</f>
        <v>8.64</v>
      </c>
      <c r="E131" s="98">
        <f>0.6*(E104)+0.6*(E108)</f>
        <v>8.64</v>
      </c>
      <c r="F131" s="98">
        <f>0.6*(F104)+0.6*(F108)</f>
        <v>0</v>
      </c>
      <c r="G131" s="98">
        <f>0.6*(G104)+0.6*(G108)</f>
        <v>0</v>
      </c>
      <c r="H131" s="98">
        <f>0.6*(H104)+0.6*(H108)</f>
        <v>0</v>
      </c>
    </row>
    <row r="132" spans="1:8" hidden="1" x14ac:dyDescent="0.2">
      <c r="A132" s="4"/>
      <c r="B132" s="4"/>
      <c r="C132" s="4"/>
      <c r="D132" s="17"/>
      <c r="E132" s="17"/>
      <c r="F132" s="17"/>
      <c r="G132" s="17"/>
      <c r="H132" s="17"/>
    </row>
    <row r="133" spans="1:8" ht="14.25" hidden="1" x14ac:dyDescent="0.25">
      <c r="A133" s="5" t="s">
        <v>1085</v>
      </c>
      <c r="B133" s="103" t="s">
        <v>1113</v>
      </c>
      <c r="C133" s="2" t="s">
        <v>406</v>
      </c>
      <c r="D133" s="98">
        <f>1.4*(D104)</f>
        <v>20.16</v>
      </c>
      <c r="E133" s="98">
        <f>1.4*(E104)</f>
        <v>20.16</v>
      </c>
      <c r="F133" s="98">
        <f>1.4*(F104)</f>
        <v>0</v>
      </c>
      <c r="G133" s="98">
        <f>1.4*(G104)</f>
        <v>0</v>
      </c>
      <c r="H133" s="98">
        <f>1.4*(H104)</f>
        <v>0</v>
      </c>
    </row>
    <row r="134" spans="1:8" s="102" customFormat="1" ht="25.5" hidden="1" x14ac:dyDescent="0.25">
      <c r="A134" s="99" t="s">
        <v>1994</v>
      </c>
      <c r="B134" s="104" t="s">
        <v>1114</v>
      </c>
      <c r="C134" s="3" t="s">
        <v>406</v>
      </c>
      <c r="D134" s="101">
        <f>IF(D$8="ASCE 7-16",1.2*(D104)+1.6*(D105)+0.5*MAX(D106,D107),IF(D$8="ASCE 7-22",1.2*(D104)+1.6*(D105)+MAX(0.3*D106,0.5*D107)))</f>
        <v>155.51999999999998</v>
      </c>
      <c r="E134" s="101">
        <f>IF(E$8="ASCE 7-16",1.2*(E104)+1.6*(E105)+0.5*MAX(E106,E107),IF(E$8="ASCE 7-22",1.2*(E104)+1.6*(E105)+MAX(0.3*E106,0.5*E107)))</f>
        <v>155.51999999999998</v>
      </c>
      <c r="F134" s="101">
        <f>IF(F$8="ASCE 7-16",1.2*(F104)+1.6*(F105)+0.5*MAX(F106,F107),IF(F$8="ASCE 7-22",1.2*(F104)+1.6*(F105)+MAX(0.3*F106,0.5*F107)))</f>
        <v>0</v>
      </c>
      <c r="G134" s="101">
        <f>IF(G$8="ASCE 7-16",1.2*(G104)+1.6*(G105)+0.5*MAX(G106,G107),IF(G$8="ASCE 7-22",1.2*(G104)+1.6*(G105)+MAX(0.3*G106,0.5*G107)))</f>
        <v>0</v>
      </c>
      <c r="H134" s="101">
        <f>IF(H$8="ASCE 7-16",1.2*(H104)+1.6*(H105)+0.5*MAX(H106,H107),IF(H$8="ASCE 7-22",1.2*(H104)+1.6*(H105)+MAX(0.3*H106,0.5*H107)))</f>
        <v>0</v>
      </c>
    </row>
    <row r="135" spans="1:8" s="102" customFormat="1" ht="25.5" hidden="1" x14ac:dyDescent="0.25">
      <c r="A135" s="99" t="s">
        <v>1995</v>
      </c>
      <c r="B135" s="104" t="s">
        <v>1115</v>
      </c>
      <c r="C135" s="3" t="s">
        <v>406</v>
      </c>
      <c r="D135" s="101">
        <f>IF(D$8="ASCE 7-16",1.2*(D104)+1.6*MAX(D106,D107)+MAX(D105,0.5*D108),IF(D$8="ASCE 7-22",1.2*(D104)+MAX(D106,1.6*D107)+MAX(D105,0.5*D108)))</f>
        <v>103.67999999999999</v>
      </c>
      <c r="E135" s="101">
        <f>IF(E$8="ASCE 7-16",1.2*(E104)+1.6*MAX(E106,E107)+MAX(E105,0.5*E108),IF(E$8="ASCE 7-22",1.2*(E104)+MAX(E106,1.6*E107)+MAX(E105,0.5*E108)))</f>
        <v>103.67999999999999</v>
      </c>
      <c r="F135" s="101">
        <f>IF(F$8="ASCE 7-16",1.2*(F104)+1.6*MAX(F106,F107)+MAX(F105,0.5*F108),IF(F$8="ASCE 7-22",1.2*(F104)+MAX(F106,1.6*F107)+MAX(F105,0.5*F108)))</f>
        <v>0</v>
      </c>
      <c r="G135" s="101">
        <f>IF(G$8="ASCE 7-16",1.2*(G104)+1.6*MAX(G106,G107)+MAX(G105,0.5*G108),IF(G$8="ASCE 7-22",1.2*(G104)+MAX(G106,1.6*G107)+MAX(G105,0.5*G108)))</f>
        <v>0</v>
      </c>
      <c r="H135" s="101">
        <f>IF(H$8="ASCE 7-16",1.2*(H104)+1.6*MAX(H106,H107)+MAX(H105,0.5*H108),IF(H$8="ASCE 7-22",1.2*(H104)+MAX(H106,1.6*H107)+MAX(H105,0.5*H108)))</f>
        <v>0</v>
      </c>
    </row>
    <row r="136" spans="1:8" s="102" customFormat="1" ht="25.5" hidden="1" x14ac:dyDescent="0.25">
      <c r="A136" s="99" t="s">
        <v>1996</v>
      </c>
      <c r="B136" s="104" t="s">
        <v>1116</v>
      </c>
      <c r="C136" s="3" t="s">
        <v>406</v>
      </c>
      <c r="D136" s="101">
        <f>IF(D$8="ASCE 7-16",1.2*(D104)+(D108)+(D105)+0.5*MAX(D106,D107),IF(D$8="ASCE 7-22",1.2*(D104)+(D108)+(D105)+MAX(0.3*D106,0.5*D107)))</f>
        <v>103.67999999999999</v>
      </c>
      <c r="E136" s="101">
        <f>IF(E$8="ASCE 7-16",1.2*(E104)+(E108)+(E105)+0.5*MAX(E106,E107),IF(E$8="ASCE 7-22",1.2*(E104)+(E108)+(E105)+MAX(0.3*E106,0.5*E107)))</f>
        <v>103.67999999999999</v>
      </c>
      <c r="F136" s="101">
        <f>IF(F$8="ASCE 7-16",1.2*(F104)+(F108)+(F105)+0.5*MAX(F106,F107),IF(F$8="ASCE 7-22",1.2*(F104)+(F108)+(F105)+MAX(0.3*F106,0.5*F107)))</f>
        <v>0</v>
      </c>
      <c r="G136" s="101">
        <f>IF(G$8="ASCE 7-16",1.2*(G104)+(G108)+(G105)+0.5*MAX(G106,G107),IF(G$8="ASCE 7-22",1.2*(G104)+(G108)+(G105)+MAX(0.3*G106,0.5*G107)))</f>
        <v>0</v>
      </c>
      <c r="H136" s="101">
        <f>IF(H$8="ASCE 7-16",1.2*(H104)+(H108)+(H105)+0.5*MAX(H106,H107),IF(H$8="ASCE 7-22",1.2*(H104)+(H108)+(H105)+MAX(0.3*H106,0.5*H107)))</f>
        <v>0</v>
      </c>
    </row>
    <row r="137" spans="1:8" ht="15" hidden="1" x14ac:dyDescent="0.25">
      <c r="A137" s="5" t="s">
        <v>1086</v>
      </c>
      <c r="B137" s="103" t="s">
        <v>1117</v>
      </c>
      <c r="C137" s="2" t="s">
        <v>406</v>
      </c>
      <c r="D137" s="98">
        <f>0.9*(D104)+(D108)</f>
        <v>12.96</v>
      </c>
      <c r="E137" s="98">
        <f>0.9*(E104)+(E108)</f>
        <v>12.96</v>
      </c>
      <c r="F137" s="98">
        <f>0.9*(F104)+(F108)</f>
        <v>0</v>
      </c>
      <c r="G137" s="98">
        <f>0.9*(G104)+(G108)</f>
        <v>0</v>
      </c>
      <c r="H137" s="98">
        <f>0.9*(H104)+(H108)</f>
        <v>0</v>
      </c>
    </row>
    <row r="138" spans="1:8" hidden="1" x14ac:dyDescent="0.2">
      <c r="B138" s="30"/>
      <c r="C138" s="30"/>
      <c r="D138" s="17"/>
      <c r="E138" s="17"/>
      <c r="F138" s="17"/>
      <c r="G138" s="17"/>
      <c r="H138" s="17"/>
    </row>
    <row r="139" spans="1:8" ht="14.25" hidden="1" x14ac:dyDescent="0.25">
      <c r="A139" s="5" t="s">
        <v>1094</v>
      </c>
      <c r="B139" s="105" t="s">
        <v>1098</v>
      </c>
      <c r="C139" s="3" t="s">
        <v>419</v>
      </c>
      <c r="D139" s="106" cm="1">
        <f t="array" ref="D139">MAX(ABS(D$111:D$117))</f>
        <v>16.799999999999997</v>
      </c>
      <c r="E139" s="106" cm="1">
        <f t="array" ref="E139">MAX(ABS(E$111:E$117))</f>
        <v>16.799999999999997</v>
      </c>
      <c r="F139" s="106" cm="1">
        <f t="array" ref="F139">MAX(ABS(F$111:F$117))</f>
        <v>0</v>
      </c>
      <c r="G139" s="106" cm="1">
        <f t="array" ref="G139">MAX(ABS(G$111:G$117))</f>
        <v>0</v>
      </c>
      <c r="H139" s="106" cm="1">
        <f t="array" ref="H139">MAX(ABS(H$111:H$117))</f>
        <v>0</v>
      </c>
    </row>
    <row r="140" spans="1:8" ht="14.25" hidden="1" x14ac:dyDescent="0.25">
      <c r="A140" s="5" t="s">
        <v>1096</v>
      </c>
      <c r="B140" s="105" t="s">
        <v>1099</v>
      </c>
      <c r="C140" s="2" t="s">
        <v>406</v>
      </c>
      <c r="D140" s="106" cm="1">
        <f t="array" ref="D140">MAX(ABS(D$125:D$131))</f>
        <v>100.8</v>
      </c>
      <c r="E140" s="106" cm="1">
        <f t="array" ref="E140">MAX(ABS(E$125:E$131))</f>
        <v>100.8</v>
      </c>
      <c r="F140" s="106" cm="1">
        <f t="array" ref="F140">MAX(ABS(F$125:F$131))</f>
        <v>0</v>
      </c>
      <c r="G140" s="106" cm="1">
        <f t="array" ref="G140">MAX(ABS(G$125:G$131))</f>
        <v>0</v>
      </c>
      <c r="H140" s="106" cm="1">
        <f t="array" ref="H140">MAX(ABS(H$125:H$131))</f>
        <v>0</v>
      </c>
    </row>
    <row r="141" spans="1:8" ht="14.25" hidden="1" x14ac:dyDescent="0.25">
      <c r="A141" s="5" t="s">
        <v>1095</v>
      </c>
      <c r="B141" s="107" t="s">
        <v>1118</v>
      </c>
      <c r="C141" s="3" t="s">
        <v>419</v>
      </c>
      <c r="D141" s="106" cm="1">
        <f t="array" ref="D141">MAX(ABS(D$119:D$123))</f>
        <v>25.919999999999998</v>
      </c>
      <c r="E141" s="106" cm="1">
        <f t="array" ref="E141">MAX(ABS(E$119:E$123))</f>
        <v>25.919999999999998</v>
      </c>
      <c r="F141" s="106" cm="1">
        <f t="array" ref="F141">MAX(ABS(F$119:F$123))</f>
        <v>0</v>
      </c>
      <c r="G141" s="106" cm="1">
        <f t="array" ref="G141">MAX(ABS(G$119:G$123))</f>
        <v>0</v>
      </c>
      <c r="H141" s="106" cm="1">
        <f t="array" ref="H141">MAX(ABS(H$119:H$123))</f>
        <v>0</v>
      </c>
    </row>
    <row r="142" spans="1:8" ht="14.25" hidden="1" x14ac:dyDescent="0.25">
      <c r="A142" s="5" t="s">
        <v>1097</v>
      </c>
      <c r="B142" s="107" t="s">
        <v>1119</v>
      </c>
      <c r="C142" s="2" t="s">
        <v>406</v>
      </c>
      <c r="D142" s="106" cm="1">
        <f t="array" ref="D142">MAX(ABS(D$133:D$137))</f>
        <v>155.51999999999998</v>
      </c>
      <c r="E142" s="106" cm="1">
        <f t="array" ref="E142">MAX(ABS(E$133:E$137))</f>
        <v>155.51999999999998</v>
      </c>
      <c r="F142" s="106" cm="1">
        <f t="array" ref="F142">MAX(ABS(F$133:F$137))</f>
        <v>0</v>
      </c>
      <c r="G142" s="106" cm="1">
        <f t="array" ref="G142">MAX(ABS(G$133:G$137))</f>
        <v>0</v>
      </c>
      <c r="H142" s="106" cm="1">
        <f t="array" ref="H142">MAX(ABS(H$133:H$137))</f>
        <v>0</v>
      </c>
    </row>
    <row r="143" spans="1:8" hidden="1" x14ac:dyDescent="0.2">
      <c r="B143" s="30"/>
      <c r="C143" s="30"/>
      <c r="D143" s="4"/>
      <c r="E143" s="4"/>
      <c r="F143" s="4"/>
      <c r="G143" s="4"/>
      <c r="H143" s="4"/>
    </row>
    <row r="144" spans="1:8" ht="14.25" hidden="1" x14ac:dyDescent="0.25">
      <c r="A144" s="5" t="s">
        <v>1970</v>
      </c>
      <c r="B144" s="2" t="s">
        <v>871</v>
      </c>
      <c r="C144" s="3" t="s">
        <v>419</v>
      </c>
      <c r="D144" s="108">
        <f t="shared" ref="D144:H144" si="89">IF(D$7="ASD",D$139,IF(D$7="LRFD",D$141))</f>
        <v>25.919999999999998</v>
      </c>
      <c r="E144" s="108">
        <f t="shared" si="89"/>
        <v>16.799999999999997</v>
      </c>
      <c r="F144" s="108">
        <f t="shared" si="89"/>
        <v>0</v>
      </c>
      <c r="G144" s="108">
        <f t="shared" si="89"/>
        <v>0</v>
      </c>
      <c r="H144" s="108">
        <f t="shared" si="89"/>
        <v>0</v>
      </c>
    </row>
    <row r="145" spans="1:8" ht="14.25" hidden="1" x14ac:dyDescent="0.25">
      <c r="A145" s="5" t="s">
        <v>1971</v>
      </c>
      <c r="B145" s="2" t="s">
        <v>875</v>
      </c>
      <c r="C145" s="3" t="s">
        <v>406</v>
      </c>
      <c r="D145" s="108">
        <f t="shared" ref="D145:H145" si="90">IF(D$7="ASD",D$140,IF(D$7="LRFD",D$142))</f>
        <v>155.51999999999998</v>
      </c>
      <c r="E145" s="108">
        <f t="shared" si="90"/>
        <v>100.8</v>
      </c>
      <c r="F145" s="108">
        <f t="shared" si="90"/>
        <v>0</v>
      </c>
      <c r="G145" s="108">
        <f t="shared" si="90"/>
        <v>0</v>
      </c>
      <c r="H145" s="108">
        <f t="shared" si="90"/>
        <v>0</v>
      </c>
    </row>
    <row r="146" spans="1:8" x14ac:dyDescent="0.2">
      <c r="D146" s="4"/>
      <c r="E146" s="4"/>
      <c r="F146" s="4"/>
      <c r="G146" s="4"/>
      <c r="H146" s="4"/>
    </row>
    <row r="147" spans="1:8" x14ac:dyDescent="0.2">
      <c r="A147" s="159" t="s">
        <v>2186</v>
      </c>
      <c r="B147" s="160" t="str">
        <f>D$7</f>
        <v>LRFD</v>
      </c>
    </row>
    <row r="148" spans="1:8" x14ac:dyDescent="0.2">
      <c r="A148" s="5" t="s">
        <v>2169</v>
      </c>
      <c r="B148" s="2" t="str">
        <f>IF(D$7="ASD","Va-x",IF(D$7="LRFD","Vu-x"))</f>
        <v>Vu-x</v>
      </c>
      <c r="C148" s="3" t="s">
        <v>419</v>
      </c>
      <c r="D148" s="109">
        <f t="shared" ref="D148:H148" si="91">D$33+D$144</f>
        <v>25.919999999999998</v>
      </c>
      <c r="E148" s="109">
        <f t="shared" si="91"/>
        <v>16.799999999999997</v>
      </c>
      <c r="F148" s="109">
        <f t="shared" si="91"/>
        <v>0</v>
      </c>
      <c r="G148" s="109">
        <f t="shared" si="91"/>
        <v>0</v>
      </c>
      <c r="H148" s="109">
        <f t="shared" si="91"/>
        <v>0</v>
      </c>
    </row>
    <row r="149" spans="1:8" x14ac:dyDescent="0.2">
      <c r="A149" s="5" t="s">
        <v>2170</v>
      </c>
      <c r="B149" s="2" t="str">
        <f>IF(D$7="ASD","Va-y",IF(D$7="LRFD","Vu-y"))</f>
        <v>Vu-y</v>
      </c>
      <c r="C149" s="3" t="s">
        <v>419</v>
      </c>
      <c r="D149" s="109">
        <f>D$34</f>
        <v>0</v>
      </c>
      <c r="E149" s="109">
        <f>E$34</f>
        <v>0</v>
      </c>
      <c r="F149" s="109">
        <f>F$34</f>
        <v>0</v>
      </c>
      <c r="G149" s="109">
        <f>G$34</f>
        <v>0</v>
      </c>
      <c r="H149" s="109">
        <f>H$34</f>
        <v>0</v>
      </c>
    </row>
    <row r="150" spans="1:8" x14ac:dyDescent="0.2">
      <c r="A150" s="5" t="s">
        <v>840</v>
      </c>
      <c r="B150" s="2" t="str">
        <f>IF(D$7="ASD","Ma-x",IF(D$7="LRFD","Mu-x"))</f>
        <v>Mu-x</v>
      </c>
      <c r="C150" s="3" t="s">
        <v>406</v>
      </c>
      <c r="D150" s="109">
        <f t="shared" ref="D150:H150" si="92">D$35+D$145</f>
        <v>155.51999999999998</v>
      </c>
      <c r="E150" s="109">
        <f t="shared" si="92"/>
        <v>100.8</v>
      </c>
      <c r="F150" s="109">
        <f t="shared" si="92"/>
        <v>0</v>
      </c>
      <c r="G150" s="109">
        <f t="shared" si="92"/>
        <v>0</v>
      </c>
      <c r="H150" s="109">
        <f t="shared" si="92"/>
        <v>0</v>
      </c>
    </row>
    <row r="151" spans="1:8" x14ac:dyDescent="0.2">
      <c r="A151" s="5" t="s">
        <v>841</v>
      </c>
      <c r="B151" s="2" t="str">
        <f>IF(D$7="ASD","Ma-y",IF(D$7="LRFD","Mu-y"))</f>
        <v>Mu-y</v>
      </c>
      <c r="C151" s="3" t="s">
        <v>406</v>
      </c>
      <c r="D151" s="110">
        <f t="shared" ref="D151:H151" si="93">D$36</f>
        <v>0</v>
      </c>
      <c r="E151" s="110">
        <f t="shared" si="93"/>
        <v>0</v>
      </c>
      <c r="F151" s="110">
        <f t="shared" si="93"/>
        <v>0</v>
      </c>
      <c r="G151" s="110">
        <f t="shared" si="93"/>
        <v>0</v>
      </c>
      <c r="H151" s="110">
        <f t="shared" si="93"/>
        <v>0</v>
      </c>
    </row>
    <row r="152" spans="1:8" x14ac:dyDescent="0.2">
      <c r="A152" s="5" t="s">
        <v>842</v>
      </c>
      <c r="B152" s="2" t="str">
        <f>IF(D$7="ASD","Pa-c",IF(D$7="LRFD","Pu-c"))</f>
        <v>Pu-c</v>
      </c>
      <c r="C152" s="3" t="s">
        <v>419</v>
      </c>
      <c r="D152" s="110">
        <f t="shared" ref="D152:H152" si="94">D$37</f>
        <v>0</v>
      </c>
      <c r="E152" s="110">
        <f t="shared" si="94"/>
        <v>0</v>
      </c>
      <c r="F152" s="110">
        <f t="shared" si="94"/>
        <v>0</v>
      </c>
      <c r="G152" s="110">
        <f t="shared" si="94"/>
        <v>0</v>
      </c>
      <c r="H152" s="110">
        <f t="shared" si="94"/>
        <v>0</v>
      </c>
    </row>
    <row r="153" spans="1:8" x14ac:dyDescent="0.2">
      <c r="A153" s="5" t="s">
        <v>843</v>
      </c>
      <c r="B153" s="2" t="str">
        <f>IF(D$7="ASD","Pa-t",IF(D$7="LRFD","Pu-t"))</f>
        <v>Pu-t</v>
      </c>
      <c r="C153" s="3" t="s">
        <v>419</v>
      </c>
      <c r="D153" s="110">
        <f t="shared" ref="D153:H153" si="95">D$38</f>
        <v>0</v>
      </c>
      <c r="E153" s="110">
        <f t="shared" si="95"/>
        <v>0</v>
      </c>
      <c r="F153" s="110">
        <f t="shared" si="95"/>
        <v>0</v>
      </c>
      <c r="G153" s="110">
        <f t="shared" si="95"/>
        <v>0</v>
      </c>
      <c r="H153" s="110">
        <f t="shared" si="95"/>
        <v>0</v>
      </c>
    </row>
    <row r="154" spans="1:8" x14ac:dyDescent="0.2">
      <c r="D154" s="4"/>
      <c r="E154" s="4"/>
      <c r="F154" s="4"/>
      <c r="G154" s="4"/>
      <c r="H154" s="4"/>
    </row>
    <row r="155" spans="1:8" x14ac:dyDescent="0.2">
      <c r="A155" s="16" t="s">
        <v>2709</v>
      </c>
      <c r="D155" s="4"/>
      <c r="E155" s="4"/>
      <c r="F155" s="4"/>
      <c r="G155" s="4"/>
      <c r="H155" s="4"/>
    </row>
    <row r="156" spans="1:8" x14ac:dyDescent="0.2">
      <c r="A156" s="5" t="s">
        <v>1146</v>
      </c>
      <c r="B156" s="2" t="s">
        <v>1142</v>
      </c>
      <c r="D156" s="8">
        <v>360</v>
      </c>
      <c r="E156" s="8">
        <v>360</v>
      </c>
      <c r="F156" s="8">
        <v>360</v>
      </c>
      <c r="G156" s="8">
        <v>360</v>
      </c>
      <c r="H156" s="8">
        <v>360</v>
      </c>
    </row>
    <row r="157" spans="1:8" x14ac:dyDescent="0.2">
      <c r="A157" s="5" t="s">
        <v>1147</v>
      </c>
      <c r="B157" s="2" t="s">
        <v>1142</v>
      </c>
      <c r="D157" s="8">
        <v>240</v>
      </c>
      <c r="E157" s="8">
        <v>240</v>
      </c>
      <c r="F157" s="8">
        <v>240</v>
      </c>
      <c r="G157" s="8">
        <v>240</v>
      </c>
      <c r="H157" s="8">
        <v>240</v>
      </c>
    </row>
    <row r="158" spans="1:8" ht="14.25" x14ac:dyDescent="0.25">
      <c r="A158" s="5" t="s">
        <v>868</v>
      </c>
      <c r="B158" s="2" t="s">
        <v>1143</v>
      </c>
      <c r="C158" s="3" t="s">
        <v>407</v>
      </c>
      <c r="D158" s="28">
        <f t="shared" ref="D158:H158" si="96">(D$13*12)/D$156</f>
        <v>0.8</v>
      </c>
      <c r="E158" s="28">
        <f t="shared" si="96"/>
        <v>0.8</v>
      </c>
      <c r="F158" s="28">
        <f t="shared" si="96"/>
        <v>0</v>
      </c>
      <c r="G158" s="28">
        <f t="shared" si="96"/>
        <v>0</v>
      </c>
      <c r="H158" s="28">
        <f t="shared" si="96"/>
        <v>0</v>
      </c>
    </row>
    <row r="159" spans="1:8" ht="14.25" x14ac:dyDescent="0.25">
      <c r="A159" s="5" t="s">
        <v>869</v>
      </c>
      <c r="B159" s="2" t="s">
        <v>1143</v>
      </c>
      <c r="C159" s="3" t="s">
        <v>407</v>
      </c>
      <c r="D159" s="28">
        <f t="shared" ref="D159:H159" si="97">(D$13*12)/D$157</f>
        <v>1.2</v>
      </c>
      <c r="E159" s="28">
        <f t="shared" si="97"/>
        <v>1.2</v>
      </c>
      <c r="F159" s="28">
        <f t="shared" si="97"/>
        <v>0</v>
      </c>
      <c r="G159" s="28">
        <f t="shared" si="97"/>
        <v>0</v>
      </c>
      <c r="H159" s="28">
        <f t="shared" si="97"/>
        <v>0</v>
      </c>
    </row>
    <row r="160" spans="1:8" hidden="1" x14ac:dyDescent="0.2">
      <c r="D160" s="12"/>
      <c r="E160" s="12"/>
      <c r="F160" s="12"/>
      <c r="G160" s="12"/>
      <c r="H160" s="12"/>
    </row>
    <row r="161" spans="1:8" hidden="1" x14ac:dyDescent="0.2">
      <c r="A161" s="31" t="s">
        <v>1647</v>
      </c>
      <c r="D161" s="10"/>
      <c r="E161" s="10"/>
      <c r="F161" s="10"/>
      <c r="G161" s="10"/>
      <c r="H161" s="10"/>
    </row>
    <row r="162" spans="1:8" hidden="1" x14ac:dyDescent="0.2">
      <c r="A162" s="16" t="s">
        <v>1010</v>
      </c>
      <c r="B162" s="4"/>
      <c r="C162" s="4"/>
      <c r="D162" s="10"/>
      <c r="E162" s="10"/>
      <c r="F162" s="10"/>
      <c r="G162" s="10"/>
      <c r="H162" s="10"/>
    </row>
    <row r="163" spans="1:8" ht="14.25" hidden="1" x14ac:dyDescent="0.25">
      <c r="A163" s="5" t="s">
        <v>1648</v>
      </c>
      <c r="B163" s="2" t="s">
        <v>1138</v>
      </c>
      <c r="C163" s="3" t="s">
        <v>407</v>
      </c>
      <c r="D163" s="24">
        <f t="shared" ref="D163:H163" si="98">((1728*5*(D$48+IF(D$8="ASCE 7-16",D$49,IF(D$8="ASCE 7-22",0.7*D$49))+D$50+0.6*D$51)*D$13^4)/(384*29000*D$158))</f>
        <v>386.11862068965519</v>
      </c>
      <c r="E163" s="24">
        <f t="shared" si="98"/>
        <v>386.11862068965519</v>
      </c>
      <c r="F163" s="24" t="e">
        <f t="shared" si="98"/>
        <v>#DIV/0!</v>
      </c>
      <c r="G163" s="24" t="e">
        <f t="shared" si="98"/>
        <v>#DIV/0!</v>
      </c>
      <c r="H163" s="24" t="e">
        <f t="shared" si="98"/>
        <v>#DIV/0!</v>
      </c>
    </row>
    <row r="164" spans="1:8" ht="14.25" hidden="1" x14ac:dyDescent="0.25">
      <c r="A164" s="5" t="s">
        <v>1649</v>
      </c>
      <c r="B164" s="2" t="s">
        <v>1139</v>
      </c>
      <c r="C164" s="3" t="s">
        <v>407</v>
      </c>
      <c r="D164" s="24">
        <f t="shared" ref="D164:H164" si="99">((1728*5*(D$47+D$48+IF(D$8="ASCE 7-16",D$49,IF(D$8="ASCE 7-22",0.7*D$49))+D$50+0.6*D$51)*D$13^4)/(384*29000*D$159))</f>
        <v>300.31448275862067</v>
      </c>
      <c r="E164" s="24">
        <f t="shared" si="99"/>
        <v>300.31448275862067</v>
      </c>
      <c r="F164" s="24" t="e">
        <f t="shared" si="99"/>
        <v>#DIV/0!</v>
      </c>
      <c r="G164" s="24" t="e">
        <f t="shared" si="99"/>
        <v>#DIV/0!</v>
      </c>
      <c r="H164" s="24" t="e">
        <f t="shared" si="99"/>
        <v>#DIV/0!</v>
      </c>
    </row>
    <row r="165" spans="1:8" hidden="1" x14ac:dyDescent="0.2">
      <c r="A165" s="16" t="s">
        <v>1011</v>
      </c>
      <c r="D165" s="9"/>
      <c r="E165" s="9"/>
      <c r="F165" s="9"/>
      <c r="G165" s="9"/>
      <c r="H165" s="9"/>
    </row>
    <row r="166" spans="1:8" ht="14.25" hidden="1" x14ac:dyDescent="0.25">
      <c r="A166" s="5" t="s">
        <v>1648</v>
      </c>
      <c r="B166" s="2" t="s">
        <v>1138</v>
      </c>
      <c r="C166" s="3" t="s">
        <v>407</v>
      </c>
      <c r="D166" s="24">
        <f t="shared" ref="D166:H166" si="100">((1728*(D$65+IF(D$8="ASCE 7-16",D$66,IF(D$8="ASCE 7-22",0.7*D$66))+D$67+0.6*D$68)*D$13^3)/(48*29000*D$158))</f>
        <v>0</v>
      </c>
      <c r="E166" s="24">
        <f t="shared" si="100"/>
        <v>0</v>
      </c>
      <c r="F166" s="24" t="e">
        <f t="shared" si="100"/>
        <v>#DIV/0!</v>
      </c>
      <c r="G166" s="24" t="e">
        <f t="shared" si="100"/>
        <v>#DIV/0!</v>
      </c>
      <c r="H166" s="24" t="e">
        <f t="shared" si="100"/>
        <v>#DIV/0!</v>
      </c>
    </row>
    <row r="167" spans="1:8" ht="14.25" hidden="1" x14ac:dyDescent="0.25">
      <c r="A167" s="5" t="s">
        <v>1649</v>
      </c>
      <c r="B167" s="2" t="s">
        <v>1139</v>
      </c>
      <c r="C167" s="3" t="s">
        <v>407</v>
      </c>
      <c r="D167" s="24">
        <f t="shared" ref="D167:H167" si="101">((1728*(D$64+D$65+IF(D$8="ASCE 7-16",D$66,IF(D$8="ASCE 7-22",0.7*D$66))+D$67+0.6*D$68)*D$13^3)/(48*29000*D$159))</f>
        <v>0</v>
      </c>
      <c r="E167" s="24">
        <f t="shared" si="101"/>
        <v>0</v>
      </c>
      <c r="F167" s="24" t="e">
        <f t="shared" si="101"/>
        <v>#DIV/0!</v>
      </c>
      <c r="G167" s="24" t="e">
        <f t="shared" si="101"/>
        <v>#DIV/0!</v>
      </c>
      <c r="H167" s="24" t="e">
        <f t="shared" si="101"/>
        <v>#DIV/0!</v>
      </c>
    </row>
    <row r="168" spans="1:8" hidden="1" x14ac:dyDescent="0.2">
      <c r="A168" s="16" t="s">
        <v>1012</v>
      </c>
      <c r="B168" s="4"/>
      <c r="C168" s="4"/>
      <c r="D168" s="9"/>
      <c r="E168" s="9"/>
      <c r="F168" s="9"/>
      <c r="G168" s="9"/>
      <c r="H168" s="9"/>
    </row>
    <row r="169" spans="1:8" ht="14.25" hidden="1" x14ac:dyDescent="0.25">
      <c r="A169" s="5" t="s">
        <v>1648</v>
      </c>
      <c r="B169" s="2" t="s">
        <v>1138</v>
      </c>
      <c r="C169" s="3" t="s">
        <v>407</v>
      </c>
      <c r="D169" s="24">
        <f t="shared" ref="D169:H169" si="102">((1728*(D$83+IF(D$8="ASCE 7-16",D$84,IF(D$8="ASCE 7-22",0.7*D$84))+D$85+0.6*D$86)*D$81)/(24*29000*D$158))*((3*D$13^2)-(4*D$81^2))</f>
        <v>0</v>
      </c>
      <c r="E169" s="24">
        <f t="shared" si="102"/>
        <v>0</v>
      </c>
      <c r="F169" s="24" t="e">
        <f t="shared" si="102"/>
        <v>#DIV/0!</v>
      </c>
      <c r="G169" s="24" t="e">
        <f t="shared" si="102"/>
        <v>#DIV/0!</v>
      </c>
      <c r="H169" s="24" t="e">
        <f t="shared" si="102"/>
        <v>#DIV/0!</v>
      </c>
    </row>
    <row r="170" spans="1:8" ht="14.25" hidden="1" x14ac:dyDescent="0.25">
      <c r="A170" s="5" t="s">
        <v>1649</v>
      </c>
      <c r="B170" s="2" t="s">
        <v>1139</v>
      </c>
      <c r="C170" s="3" t="s">
        <v>407</v>
      </c>
      <c r="D170" s="24">
        <f t="shared" ref="D170:H170" si="103">((1728*(D$82+D$83+IF(D$8="ASCE 7-16",D$84,IF(D$8="ASCE 7-22",0.7*D$84))+D$85+0.6*D$86)*D$81)/(24*29000*D$159))*((3*D$13^2)-(4*D$81^2))</f>
        <v>0</v>
      </c>
      <c r="E170" s="24">
        <f t="shared" si="103"/>
        <v>0</v>
      </c>
      <c r="F170" s="24" t="e">
        <f t="shared" si="103"/>
        <v>#DIV/0!</v>
      </c>
      <c r="G170" s="24" t="e">
        <f t="shared" si="103"/>
        <v>#DIV/0!</v>
      </c>
      <c r="H170" s="24" t="e">
        <f t="shared" si="103"/>
        <v>#DIV/0!</v>
      </c>
    </row>
    <row r="171" spans="1:8" hidden="1" x14ac:dyDescent="0.2">
      <c r="A171" s="16" t="s">
        <v>1618</v>
      </c>
      <c r="D171" s="9"/>
      <c r="E171" s="9"/>
      <c r="F171" s="9"/>
      <c r="G171" s="9"/>
      <c r="H171" s="9"/>
    </row>
    <row r="172" spans="1:8" ht="14.25" hidden="1" x14ac:dyDescent="0.25">
      <c r="A172" s="5" t="s">
        <v>1648</v>
      </c>
      <c r="B172" s="2" t="s">
        <v>1138</v>
      </c>
      <c r="C172" s="3" t="s">
        <v>407</v>
      </c>
      <c r="D172" s="24">
        <f t="shared" ref="D172:E172" si="104">D163+D166+D169</f>
        <v>386.11862068965519</v>
      </c>
      <c r="E172" s="24">
        <f t="shared" si="104"/>
        <v>386.11862068965519</v>
      </c>
      <c r="F172" s="24" t="e">
        <f t="shared" ref="F172:G172" si="105">F163+F166+F169</f>
        <v>#DIV/0!</v>
      </c>
      <c r="G172" s="24" t="e">
        <f t="shared" si="105"/>
        <v>#DIV/0!</v>
      </c>
      <c r="H172" s="24" t="e">
        <f t="shared" ref="H172" si="106">H163+H166+H169</f>
        <v>#DIV/0!</v>
      </c>
    </row>
    <row r="173" spans="1:8" ht="14.25" hidden="1" x14ac:dyDescent="0.25">
      <c r="A173" s="5" t="s">
        <v>1649</v>
      </c>
      <c r="B173" s="2" t="s">
        <v>1139</v>
      </c>
      <c r="C173" s="3" t="s">
        <v>407</v>
      </c>
      <c r="D173" s="24">
        <f t="shared" ref="D173:E173" si="107">D164+D167+D170</f>
        <v>300.31448275862067</v>
      </c>
      <c r="E173" s="24">
        <f t="shared" si="107"/>
        <v>300.31448275862067</v>
      </c>
      <c r="F173" s="24" t="e">
        <f t="shared" ref="F173:G173" si="108">F164+F167+F170</f>
        <v>#DIV/0!</v>
      </c>
      <c r="G173" s="24" t="e">
        <f t="shared" si="108"/>
        <v>#DIV/0!</v>
      </c>
      <c r="H173" s="24" t="e">
        <f t="shared" ref="H173" si="109">H164+H167+H170</f>
        <v>#DIV/0!</v>
      </c>
    </row>
    <row r="174" spans="1:8" ht="15" x14ac:dyDescent="0.25">
      <c r="A174" s="5" t="s">
        <v>2711</v>
      </c>
      <c r="B174" s="34" t="s">
        <v>1650</v>
      </c>
      <c r="C174" s="3" t="s">
        <v>873</v>
      </c>
      <c r="D174" s="111">
        <f t="shared" ref="D174:E174" si="110">MAX(D172,D173)</f>
        <v>386.11862068965519</v>
      </c>
      <c r="E174" s="111">
        <f t="shared" si="110"/>
        <v>386.11862068965519</v>
      </c>
      <c r="F174" s="111" t="e">
        <f t="shared" ref="F174:G174" si="111">MAX(F172,F173)</f>
        <v>#DIV/0!</v>
      </c>
      <c r="G174" s="111" t="e">
        <f t="shared" si="111"/>
        <v>#DIV/0!</v>
      </c>
      <c r="H174" s="111" t="e">
        <f t="shared" ref="H174" si="112">MAX(H172,H173)</f>
        <v>#DIV/0!</v>
      </c>
    </row>
    <row r="175" spans="1:8" x14ac:dyDescent="0.2">
      <c r="D175" s="4"/>
      <c r="E175" s="4"/>
      <c r="F175" s="4"/>
      <c r="G175" s="4"/>
      <c r="H175" s="4"/>
    </row>
    <row r="176" spans="1:8" ht="15" x14ac:dyDescent="0.25">
      <c r="A176" s="112" t="s">
        <v>1079</v>
      </c>
    </row>
    <row r="177" spans="1:8" ht="12.75" hidden="1" customHeight="1" x14ac:dyDescent="0.2">
      <c r="A177" s="16" t="s">
        <v>420</v>
      </c>
    </row>
    <row r="178" spans="1:8" ht="12.75" hidden="1" customHeight="1" x14ac:dyDescent="0.2">
      <c r="A178" s="5" t="s">
        <v>1597</v>
      </c>
      <c r="D178" s="40" t="str">
        <f>VLOOKUP(D$5,'Database v16.0 &amp; v16.0H'!$B$4:$AA$854,26,FALSE)</f>
        <v>W</v>
      </c>
      <c r="E178" s="40" t="str">
        <f>VLOOKUP(E$5,'Database v16.0 &amp; v16.0H'!$B$4:$AA$854,26,FALSE)</f>
        <v>W</v>
      </c>
      <c r="F178" s="40" t="str">
        <f>VLOOKUP(F$5,'Database v16.0 &amp; v16.0H'!$B$4:$AA$854,26,FALSE)</f>
        <v>W</v>
      </c>
      <c r="G178" s="40" t="str">
        <f>VLOOKUP(G$5,'Database v16.0 &amp; v16.0H'!$B$4:$AA$854,26,FALSE)</f>
        <v>W</v>
      </c>
      <c r="H178" s="40" t="str">
        <f>VLOOKUP(H$5,'Database v16.0 &amp; v16.0H'!$B$4:$AA$854,26,FALSE)</f>
        <v>W</v>
      </c>
    </row>
    <row r="179" spans="1:8" ht="15" hidden="1" customHeight="1" x14ac:dyDescent="0.25">
      <c r="A179" s="5" t="s">
        <v>884</v>
      </c>
      <c r="B179" s="2" t="s">
        <v>899</v>
      </c>
      <c r="C179" s="3" t="s">
        <v>900</v>
      </c>
      <c r="D179" s="40">
        <f>VLOOKUP(D$5,'Database v16.0 &amp; v16.0H'!$B$4:$AA$854,4,FALSE)</f>
        <v>11.7</v>
      </c>
      <c r="E179" s="40">
        <f>VLOOKUP(E$5,'Database v16.0 &amp; v16.0H'!$B$4:$AA$854,4,FALSE)</f>
        <v>11.7</v>
      </c>
      <c r="F179" s="40">
        <f>VLOOKUP(F$5,'Database v16.0 &amp; v16.0H'!$B$4:$AA$854,4,FALSE)</f>
        <v>5.26</v>
      </c>
      <c r="G179" s="40">
        <f>VLOOKUP(G$5,'Database v16.0 &amp; v16.0H'!$B$4:$AA$854,4,FALSE)</f>
        <v>5.26</v>
      </c>
      <c r="H179" s="40">
        <f>VLOOKUP(H$5,'Database v16.0 &amp; v16.0H'!$B$4:$AA$854,4,FALSE)</f>
        <v>5.26</v>
      </c>
    </row>
    <row r="180" spans="1:8" ht="12.75" hidden="1" customHeight="1" x14ac:dyDescent="0.2">
      <c r="A180" s="5" t="s">
        <v>409</v>
      </c>
      <c r="B180" s="2" t="s">
        <v>4</v>
      </c>
      <c r="C180" s="3" t="s">
        <v>407</v>
      </c>
      <c r="D180" s="40">
        <f>VLOOKUP(D$5,'Database v16.0 &amp; v16.0H'!$B$4:$AA$854,5,FALSE)</f>
        <v>11.9</v>
      </c>
      <c r="E180" s="40">
        <f>VLOOKUP(E$5,'Database v16.0 &amp; v16.0H'!$B$4:$AA$854,5,FALSE)</f>
        <v>11.9</v>
      </c>
      <c r="F180" s="40">
        <f>VLOOKUP(F$5,'Database v16.0 &amp; v16.0H'!$B$4:$AA$854,5,FALSE)</f>
        <v>8.14</v>
      </c>
      <c r="G180" s="40">
        <f>VLOOKUP(G$5,'Database v16.0 &amp; v16.0H'!$B$4:$AA$854,5,FALSE)</f>
        <v>8.14</v>
      </c>
      <c r="H180" s="40">
        <f>VLOOKUP(H$5,'Database v16.0 &amp; v16.0H'!$B$4:$AA$854,5,FALSE)</f>
        <v>8.14</v>
      </c>
    </row>
    <row r="181" spans="1:8" ht="14.25" hidden="1" customHeight="1" x14ac:dyDescent="0.25">
      <c r="A181" s="5" t="s">
        <v>410</v>
      </c>
      <c r="B181" s="2" t="s">
        <v>901</v>
      </c>
      <c r="C181" s="3" t="s">
        <v>407</v>
      </c>
      <c r="D181" s="40">
        <f>VLOOKUP(D$5,'Database v16.0 &amp; v16.0H'!$B$4:$AA$854,6,FALSE)</f>
        <v>8.01</v>
      </c>
      <c r="E181" s="40">
        <f>VLOOKUP(E$5,'Database v16.0 &amp; v16.0H'!$B$4:$AA$854,6,FALSE)</f>
        <v>8.01</v>
      </c>
      <c r="F181" s="40">
        <f>VLOOKUP(F$5,'Database v16.0 &amp; v16.0H'!$B$4:$AA$854,6,FALSE)</f>
        <v>5.25</v>
      </c>
      <c r="G181" s="40">
        <f>VLOOKUP(G$5,'Database v16.0 &amp; v16.0H'!$B$4:$AA$854,6,FALSE)</f>
        <v>5.25</v>
      </c>
      <c r="H181" s="40">
        <f>VLOOKUP(H$5,'Database v16.0 &amp; v16.0H'!$B$4:$AA$854,6,FALSE)</f>
        <v>5.25</v>
      </c>
    </row>
    <row r="182" spans="1:8" ht="14.25" hidden="1" customHeight="1" x14ac:dyDescent="0.25">
      <c r="A182" s="5" t="s">
        <v>411</v>
      </c>
      <c r="B182" s="2" t="s">
        <v>902</v>
      </c>
      <c r="C182" s="3" t="s">
        <v>407</v>
      </c>
      <c r="D182" s="40">
        <f>VLOOKUP(D$5,'Database v16.0 &amp; v16.0H'!$B$4:$AA$854,7,FALSE)</f>
        <v>0.29499999999999998</v>
      </c>
      <c r="E182" s="40">
        <f>VLOOKUP(E$5,'Database v16.0 &amp; v16.0H'!$B$4:$AA$854,7,FALSE)</f>
        <v>0.29499999999999998</v>
      </c>
      <c r="F182" s="40">
        <f>VLOOKUP(F$5,'Database v16.0 &amp; v16.0H'!$B$4:$AA$854,7,FALSE)</f>
        <v>0.23</v>
      </c>
      <c r="G182" s="40">
        <f>VLOOKUP(G$5,'Database v16.0 &amp; v16.0H'!$B$4:$AA$854,7,FALSE)</f>
        <v>0.23</v>
      </c>
      <c r="H182" s="40">
        <f>VLOOKUP(H$5,'Database v16.0 &amp; v16.0H'!$B$4:$AA$854,7,FALSE)</f>
        <v>0.23</v>
      </c>
    </row>
    <row r="183" spans="1:8" ht="14.25" hidden="1" customHeight="1" x14ac:dyDescent="0.25">
      <c r="A183" s="5" t="s">
        <v>412</v>
      </c>
      <c r="B183" s="2" t="s">
        <v>903</v>
      </c>
      <c r="C183" s="3" t="s">
        <v>407</v>
      </c>
      <c r="D183" s="40">
        <f>VLOOKUP(D$5,'Database v16.0 &amp; v16.0H'!$B$4:$AA$854,8,FALSE)</f>
        <v>0.51500000000000001</v>
      </c>
      <c r="E183" s="40">
        <f>VLOOKUP(E$5,'Database v16.0 &amp; v16.0H'!$B$4:$AA$854,8,FALSE)</f>
        <v>0.51500000000000001</v>
      </c>
      <c r="F183" s="40">
        <f>VLOOKUP(F$5,'Database v16.0 &amp; v16.0H'!$B$4:$AA$854,8,FALSE)</f>
        <v>0.33</v>
      </c>
      <c r="G183" s="40">
        <f>VLOOKUP(G$5,'Database v16.0 &amp; v16.0H'!$B$4:$AA$854,8,FALSE)</f>
        <v>0.33</v>
      </c>
      <c r="H183" s="40">
        <f>VLOOKUP(H$5,'Database v16.0 &amp; v16.0H'!$B$4:$AA$854,8,FALSE)</f>
        <v>0.33</v>
      </c>
    </row>
    <row r="184" spans="1:8" ht="15" hidden="1" customHeight="1" x14ac:dyDescent="0.25">
      <c r="A184" s="5" t="s">
        <v>880</v>
      </c>
      <c r="B184" s="2" t="s">
        <v>904</v>
      </c>
      <c r="C184" s="3" t="s">
        <v>900</v>
      </c>
      <c r="D184" s="15">
        <f t="shared" ref="D184:H184" si="113">D$179-(2*D$181*D$183)-(D$182*(D$180-2*D$183))</f>
        <v>0.24304999999999977</v>
      </c>
      <c r="E184" s="15">
        <f t="shared" si="113"/>
        <v>0.24304999999999977</v>
      </c>
      <c r="F184" s="15">
        <f t="shared" si="113"/>
        <v>7.4599999999999334E-2</v>
      </c>
      <c r="G184" s="15">
        <f t="shared" si="113"/>
        <v>7.4599999999999334E-2</v>
      </c>
      <c r="H184" s="15">
        <f t="shared" si="113"/>
        <v>7.4599999999999334E-2</v>
      </c>
    </row>
    <row r="185" spans="1:8" ht="15" hidden="1" customHeight="1" x14ac:dyDescent="0.25">
      <c r="A185" s="5" t="s">
        <v>866</v>
      </c>
      <c r="B185" s="2" t="s">
        <v>872</v>
      </c>
      <c r="C185" s="3" t="s">
        <v>873</v>
      </c>
      <c r="D185" s="40">
        <f>VLOOKUP(D$5,'Database v16.0 &amp; v16.0H'!$B$4:$AA$854,12,FALSE)</f>
        <v>307</v>
      </c>
      <c r="E185" s="40">
        <f>VLOOKUP(E$5,'Database v16.0 &amp; v16.0H'!$B$4:$AA$854,12,FALSE)</f>
        <v>307</v>
      </c>
      <c r="F185" s="40">
        <f>VLOOKUP(F$5,'Database v16.0 &amp; v16.0H'!$B$4:$AA$854,12,FALSE)</f>
        <v>61.9</v>
      </c>
      <c r="G185" s="40">
        <f>VLOOKUP(G$5,'Database v16.0 &amp; v16.0H'!$B$4:$AA$854,12,FALSE)</f>
        <v>61.9</v>
      </c>
      <c r="H185" s="40">
        <f>VLOOKUP(H$5,'Database v16.0 &amp; v16.0H'!$B$4:$AA$854,12,FALSE)</f>
        <v>61.9</v>
      </c>
    </row>
    <row r="186" spans="1:8" ht="15" hidden="1" customHeight="1" x14ac:dyDescent="0.25">
      <c r="A186" s="5" t="s">
        <v>413</v>
      </c>
      <c r="B186" s="2" t="s">
        <v>905</v>
      </c>
      <c r="C186" s="3" t="s">
        <v>906</v>
      </c>
      <c r="D186" s="40">
        <f>VLOOKUP(D$5,'Database v16.0 &amp; v16.0H'!$B$4:$AA$854,13,FALSE)</f>
        <v>57</v>
      </c>
      <c r="E186" s="40">
        <f>VLOOKUP(E$5,'Database v16.0 &amp; v16.0H'!$B$4:$AA$854,13,FALSE)</f>
        <v>57</v>
      </c>
      <c r="F186" s="40">
        <f>VLOOKUP(F$5,'Database v16.0 &amp; v16.0H'!$B$4:$AA$854,13,FALSE)</f>
        <v>17</v>
      </c>
      <c r="G186" s="40">
        <f>VLOOKUP(G$5,'Database v16.0 &amp; v16.0H'!$B$4:$AA$854,13,FALSE)</f>
        <v>17</v>
      </c>
      <c r="H186" s="40">
        <f>VLOOKUP(H$5,'Database v16.0 &amp; v16.0H'!$B$4:$AA$854,13,FALSE)</f>
        <v>17</v>
      </c>
    </row>
    <row r="187" spans="1:8" ht="15" hidden="1" customHeight="1" x14ac:dyDescent="0.25">
      <c r="A187" s="5" t="s">
        <v>414</v>
      </c>
      <c r="B187" s="2" t="s">
        <v>907</v>
      </c>
      <c r="C187" s="3" t="s">
        <v>906</v>
      </c>
      <c r="D187" s="40">
        <f>VLOOKUP(D$5,'Database v16.0 &amp; v16.0H'!$B$4:$AA$854,14,FALSE)</f>
        <v>51.5</v>
      </c>
      <c r="E187" s="40">
        <f>VLOOKUP(E$5,'Database v16.0 &amp; v16.0H'!$B$4:$AA$854,14,FALSE)</f>
        <v>51.5</v>
      </c>
      <c r="F187" s="40">
        <f>VLOOKUP(F$5,'Database v16.0 &amp; v16.0H'!$B$4:$AA$854,14,FALSE)</f>
        <v>15.2</v>
      </c>
      <c r="G187" s="40">
        <f>VLOOKUP(G$5,'Database v16.0 &amp; v16.0H'!$B$4:$AA$854,14,FALSE)</f>
        <v>15.2</v>
      </c>
      <c r="H187" s="40">
        <f>VLOOKUP(H$5,'Database v16.0 &amp; v16.0H'!$B$4:$AA$854,14,FALSE)</f>
        <v>15.2</v>
      </c>
    </row>
    <row r="188" spans="1:8" ht="14.25" hidden="1" customHeight="1" x14ac:dyDescent="0.25">
      <c r="A188" s="5" t="s">
        <v>415</v>
      </c>
      <c r="B188" s="2" t="s">
        <v>908</v>
      </c>
      <c r="C188" s="3" t="s">
        <v>407</v>
      </c>
      <c r="D188" s="40">
        <f>VLOOKUP(D$5,'Database v16.0 &amp; v16.0H'!$B$4:$AA$854,15,FALSE)</f>
        <v>5.13</v>
      </c>
      <c r="E188" s="40">
        <f>VLOOKUP(E$5,'Database v16.0 &amp; v16.0H'!$B$4:$AA$854,15,FALSE)</f>
        <v>5.13</v>
      </c>
      <c r="F188" s="40">
        <f>VLOOKUP(F$5,'Database v16.0 &amp; v16.0H'!$B$4:$AA$854,15,FALSE)</f>
        <v>3.43</v>
      </c>
      <c r="G188" s="40">
        <f>VLOOKUP(G$5,'Database v16.0 &amp; v16.0H'!$B$4:$AA$854,15,FALSE)</f>
        <v>3.43</v>
      </c>
      <c r="H188" s="40">
        <f>VLOOKUP(H$5,'Database v16.0 &amp; v16.0H'!$B$4:$AA$854,15,FALSE)</f>
        <v>3.43</v>
      </c>
    </row>
    <row r="189" spans="1:8" ht="15" hidden="1" customHeight="1" x14ac:dyDescent="0.25">
      <c r="A189" s="5" t="s">
        <v>867</v>
      </c>
      <c r="B189" s="2" t="s">
        <v>909</v>
      </c>
      <c r="C189" s="3" t="s">
        <v>873</v>
      </c>
      <c r="D189" s="52">
        <f>VLOOKUP(D$5,'Database v16.0 &amp; v16.0H'!$B$4:$AA$854,16,FALSE)</f>
        <v>44.1</v>
      </c>
      <c r="E189" s="52">
        <f>VLOOKUP(E$5,'Database v16.0 &amp; v16.0H'!$B$4:$AA$854,16,FALSE)</f>
        <v>44.1</v>
      </c>
      <c r="F189" s="52">
        <f>VLOOKUP(F$5,'Database v16.0 &amp; v16.0H'!$B$4:$AA$854,16,FALSE)</f>
        <v>7.97</v>
      </c>
      <c r="G189" s="52">
        <f>VLOOKUP(G$5,'Database v16.0 &amp; v16.0H'!$B$4:$AA$854,16,FALSE)</f>
        <v>7.97</v>
      </c>
      <c r="H189" s="52">
        <f>VLOOKUP(H$5,'Database v16.0 &amp; v16.0H'!$B$4:$AA$854,16,FALSE)</f>
        <v>7.97</v>
      </c>
    </row>
    <row r="190" spans="1:8" ht="15" hidden="1" customHeight="1" x14ac:dyDescent="0.25">
      <c r="A190" s="5" t="s">
        <v>416</v>
      </c>
      <c r="B190" s="2" t="s">
        <v>910</v>
      </c>
      <c r="C190" s="3" t="s">
        <v>906</v>
      </c>
      <c r="D190" s="40">
        <f>VLOOKUP(D$5,'Database v16.0 &amp; v16.0H'!$B$4:$AA$854,17,FALSE)</f>
        <v>16.8</v>
      </c>
      <c r="E190" s="40">
        <f>VLOOKUP(E$5,'Database v16.0 &amp; v16.0H'!$B$4:$AA$854,17,FALSE)</f>
        <v>16.8</v>
      </c>
      <c r="F190" s="40">
        <f>VLOOKUP(F$5,'Database v16.0 &amp; v16.0H'!$B$4:$AA$854,17,FALSE)</f>
        <v>4.66</v>
      </c>
      <c r="G190" s="40">
        <f>VLOOKUP(G$5,'Database v16.0 &amp; v16.0H'!$B$4:$AA$854,17,FALSE)</f>
        <v>4.66</v>
      </c>
      <c r="H190" s="40">
        <f>VLOOKUP(H$5,'Database v16.0 &amp; v16.0H'!$B$4:$AA$854,17,FALSE)</f>
        <v>4.66</v>
      </c>
    </row>
    <row r="191" spans="1:8" ht="15" hidden="1" customHeight="1" x14ac:dyDescent="0.25">
      <c r="A191" s="5" t="s">
        <v>417</v>
      </c>
      <c r="B191" s="2" t="s">
        <v>911</v>
      </c>
      <c r="C191" s="3" t="s">
        <v>906</v>
      </c>
      <c r="D191" s="40">
        <f>VLOOKUP(D$5,'Database v16.0 &amp; v16.0H'!$B$4:$AA$854,18,FALSE)</f>
        <v>11</v>
      </c>
      <c r="E191" s="40">
        <f>VLOOKUP(E$5,'Database v16.0 &amp; v16.0H'!$B$4:$AA$854,18,FALSE)</f>
        <v>11</v>
      </c>
      <c r="F191" s="40">
        <f>VLOOKUP(F$5,'Database v16.0 &amp; v16.0H'!$B$4:$AA$854,18,FALSE)</f>
        <v>3.04</v>
      </c>
      <c r="G191" s="40">
        <f>VLOOKUP(G$5,'Database v16.0 &amp; v16.0H'!$B$4:$AA$854,18,FALSE)</f>
        <v>3.04</v>
      </c>
      <c r="H191" s="40">
        <f>VLOOKUP(H$5,'Database v16.0 &amp; v16.0H'!$B$4:$AA$854,18,FALSE)</f>
        <v>3.04</v>
      </c>
    </row>
    <row r="192" spans="1:8" ht="14.25" hidden="1" customHeight="1" x14ac:dyDescent="0.25">
      <c r="A192" s="5" t="s">
        <v>418</v>
      </c>
      <c r="B192" s="2" t="s">
        <v>912</v>
      </c>
      <c r="C192" s="3" t="s">
        <v>407</v>
      </c>
      <c r="D192" s="40">
        <f>VLOOKUP(D$5,'Database v16.0 &amp; v16.0H'!$B$4:$AA$854,19,FALSE)</f>
        <v>1.94</v>
      </c>
      <c r="E192" s="40">
        <f>VLOOKUP(E$5,'Database v16.0 &amp; v16.0H'!$B$4:$AA$854,19,FALSE)</f>
        <v>1.94</v>
      </c>
      <c r="F192" s="40">
        <f>VLOOKUP(F$5,'Database v16.0 &amp; v16.0H'!$B$4:$AA$854,19,FALSE)</f>
        <v>1.23</v>
      </c>
      <c r="G192" s="40">
        <f>VLOOKUP(G$5,'Database v16.0 &amp; v16.0H'!$B$4:$AA$854,19,FALSE)</f>
        <v>1.23</v>
      </c>
      <c r="H192" s="40">
        <f>VLOOKUP(H$5,'Database v16.0 &amp; v16.0H'!$B$4:$AA$854,19,FALSE)</f>
        <v>1.23</v>
      </c>
    </row>
    <row r="193" spans="1:8" ht="15" hidden="1" customHeight="1" x14ac:dyDescent="0.2">
      <c r="A193" s="5" t="s">
        <v>962</v>
      </c>
      <c r="B193" s="2" t="s">
        <v>6</v>
      </c>
      <c r="C193" s="3" t="s">
        <v>873</v>
      </c>
      <c r="D193" s="40">
        <f>VLOOKUP(D$5,'Database v16.0 &amp; v16.0H'!$B$4:$AA$854,20,FALSE)</f>
        <v>0.90600000000000003</v>
      </c>
      <c r="E193" s="40">
        <f>VLOOKUP(E$5,'Database v16.0 &amp; v16.0H'!$B$4:$AA$854,20,FALSE)</f>
        <v>0.90600000000000003</v>
      </c>
      <c r="F193" s="40">
        <f>VLOOKUP(F$5,'Database v16.0 &amp; v16.0H'!$B$4:$AA$854,20,FALSE)</f>
        <v>0.17199999999999999</v>
      </c>
      <c r="G193" s="40">
        <f>VLOOKUP(G$5,'Database v16.0 &amp; v16.0H'!$B$4:$AA$854,20,FALSE)</f>
        <v>0.17199999999999999</v>
      </c>
      <c r="H193" s="40">
        <f>VLOOKUP(H$5,'Database v16.0 &amp; v16.0H'!$B$4:$AA$854,20,FALSE)</f>
        <v>0.17199999999999999</v>
      </c>
    </row>
    <row r="194" spans="1:8" ht="15" hidden="1" customHeight="1" x14ac:dyDescent="0.25">
      <c r="A194" s="5" t="s">
        <v>422</v>
      </c>
      <c r="B194" s="2" t="s">
        <v>913</v>
      </c>
      <c r="C194" s="3" t="s">
        <v>914</v>
      </c>
      <c r="D194" s="40">
        <f>VLOOKUP(D$5,'Database v16.0 &amp; v16.0H'!$B$4:$AA$854,21,FALSE)</f>
        <v>1440</v>
      </c>
      <c r="E194" s="40">
        <f>VLOOKUP(E$5,'Database v16.0 &amp; v16.0H'!$B$4:$AA$854,21,FALSE)</f>
        <v>1440</v>
      </c>
      <c r="F194" s="40">
        <f>VLOOKUP(F$5,'Database v16.0 &amp; v16.0H'!$B$4:$AA$854,21,FALSE)</f>
        <v>122</v>
      </c>
      <c r="G194" s="40">
        <f>VLOOKUP(G$5,'Database v16.0 &amp; v16.0H'!$B$4:$AA$854,21,FALSE)</f>
        <v>122</v>
      </c>
      <c r="H194" s="40">
        <f>VLOOKUP(H$5,'Database v16.0 &amp; v16.0H'!$B$4:$AA$854,21,FALSE)</f>
        <v>122</v>
      </c>
    </row>
    <row r="195" spans="1:8" ht="14.25" hidden="1" customHeight="1" x14ac:dyDescent="0.25">
      <c r="A195" s="5" t="s">
        <v>423</v>
      </c>
      <c r="B195" s="2" t="s">
        <v>915</v>
      </c>
      <c r="C195" s="3" t="s">
        <v>407</v>
      </c>
      <c r="D195" s="40">
        <f>VLOOKUP(D$5,'Database v16.0 &amp; v16.0H'!$B$4:$AA$854,22,FALSE)</f>
        <v>2.21</v>
      </c>
      <c r="E195" s="40">
        <f>VLOOKUP(E$5,'Database v16.0 &amp; v16.0H'!$B$4:$AA$854,22,FALSE)</f>
        <v>2.21</v>
      </c>
      <c r="F195" s="40">
        <f>VLOOKUP(F$5,'Database v16.0 &amp; v16.0H'!$B$4:$AA$854,22,FALSE)</f>
        <v>1.43</v>
      </c>
      <c r="G195" s="40">
        <f>VLOOKUP(G$5,'Database v16.0 &amp; v16.0H'!$B$4:$AA$854,22,FALSE)</f>
        <v>1.43</v>
      </c>
      <c r="H195" s="40">
        <f>VLOOKUP(H$5,'Database v16.0 &amp; v16.0H'!$B$4:$AA$854,22,FALSE)</f>
        <v>1.43</v>
      </c>
    </row>
    <row r="196" spans="1:8" ht="14.25" hidden="1" customHeight="1" x14ac:dyDescent="0.25">
      <c r="A196" s="5" t="s">
        <v>421</v>
      </c>
      <c r="B196" s="2" t="s">
        <v>916</v>
      </c>
      <c r="C196" s="3" t="s">
        <v>407</v>
      </c>
      <c r="D196" s="40">
        <f>VLOOKUP(D$5,'Database v16.0 &amp; v16.0H'!$B$4:$AA$854,23,FALSE)</f>
        <v>11.4</v>
      </c>
      <c r="E196" s="40">
        <f>VLOOKUP(E$5,'Database v16.0 &amp; v16.0H'!$B$4:$AA$854,23,FALSE)</f>
        <v>11.4</v>
      </c>
      <c r="F196" s="40">
        <f>VLOOKUP(F$5,'Database v16.0 &amp; v16.0H'!$B$4:$AA$854,23,FALSE)</f>
        <v>7.81</v>
      </c>
      <c r="G196" s="40">
        <f>VLOOKUP(G$5,'Database v16.0 &amp; v16.0H'!$B$4:$AA$854,23,FALSE)</f>
        <v>7.81</v>
      </c>
      <c r="H196" s="40">
        <f>VLOOKUP(H$5,'Database v16.0 &amp; v16.0H'!$B$4:$AA$854,23,FALSE)</f>
        <v>7.81</v>
      </c>
    </row>
    <row r="197" spans="1:8" ht="14.25" hidden="1" customHeight="1" x14ac:dyDescent="0.25">
      <c r="A197" s="5" t="s">
        <v>2000</v>
      </c>
      <c r="B197" s="2" t="s">
        <v>917</v>
      </c>
      <c r="C197" s="3" t="s">
        <v>407</v>
      </c>
      <c r="D197" s="40">
        <f>VLOOKUP(D$5,'Database v16.0 &amp; v16.0H'!$B$4:$AA$854,9,FALSE)</f>
        <v>1.02</v>
      </c>
      <c r="E197" s="40">
        <f>VLOOKUP(E$5,'Database v16.0 &amp; v16.0H'!$B$4:$AA$854,9,FALSE)</f>
        <v>1.02</v>
      </c>
      <c r="F197" s="40">
        <f>VLOOKUP(F$5,'Database v16.0 &amp; v16.0H'!$B$4:$AA$854,9,FALSE)</f>
        <v>0.63</v>
      </c>
      <c r="G197" s="40">
        <f>VLOOKUP(G$5,'Database v16.0 &amp; v16.0H'!$B$4:$AA$854,9,FALSE)</f>
        <v>0.63</v>
      </c>
      <c r="H197" s="40">
        <f>VLOOKUP(H$5,'Database v16.0 &amp; v16.0H'!$B$4:$AA$854,9,FALSE)</f>
        <v>0.63</v>
      </c>
    </row>
    <row r="198" spans="1:8" ht="14.25" hidden="1" customHeight="1" x14ac:dyDescent="0.25">
      <c r="A198" s="5" t="s">
        <v>1600</v>
      </c>
      <c r="B198" s="2" t="s">
        <v>1598</v>
      </c>
      <c r="C198" s="3" t="s">
        <v>407</v>
      </c>
      <c r="D198" s="40">
        <f>VLOOKUP(D$5,'Database v16.0 &amp; v16.0H'!$B$4:$AA$854,24,FALSE)</f>
        <v>0</v>
      </c>
      <c r="E198" s="40">
        <f>VLOOKUP(E$5,'Database v16.0 &amp; v16.0H'!$B$4:$AA$854,24,FALSE)</f>
        <v>0</v>
      </c>
      <c r="F198" s="40">
        <f>VLOOKUP(F$5,'Database v16.0 &amp; v16.0H'!$B$4:$AA$854,24,FALSE)</f>
        <v>0</v>
      </c>
      <c r="G198" s="40">
        <f>VLOOKUP(G$5,'Database v16.0 &amp; v16.0H'!$B$4:$AA$854,24,FALSE)</f>
        <v>0</v>
      </c>
      <c r="H198" s="40">
        <f>VLOOKUP(H$5,'Database v16.0 &amp; v16.0H'!$B$4:$AA$854,24,FALSE)</f>
        <v>0</v>
      </c>
    </row>
    <row r="199" spans="1:8" ht="12.75" hidden="1" customHeight="1" x14ac:dyDescent="0.2">
      <c r="A199" s="5" t="s">
        <v>1599</v>
      </c>
      <c r="B199" s="2" t="s">
        <v>1311</v>
      </c>
      <c r="C199" s="3" t="s">
        <v>407</v>
      </c>
      <c r="D199" s="40">
        <f>VLOOKUP(D$5,'Database v16.0 &amp; v16.0H'!$B$4:$AA$854,25,FALSE)</f>
        <v>0</v>
      </c>
      <c r="E199" s="40">
        <f>VLOOKUP(E$5,'Database v16.0 &amp; v16.0H'!$B$4:$AA$854,25,FALSE)</f>
        <v>0</v>
      </c>
      <c r="F199" s="40">
        <f>VLOOKUP(F$5,'Database v16.0 &amp; v16.0H'!$B$4:$AA$854,25,FALSE)</f>
        <v>0</v>
      </c>
      <c r="G199" s="40">
        <f>VLOOKUP(G$5,'Database v16.0 &amp; v16.0H'!$B$4:$AA$854,25,FALSE)</f>
        <v>0</v>
      </c>
      <c r="H199" s="40">
        <f>VLOOKUP(H$5,'Database v16.0 &amp; v16.0H'!$B$4:$AA$854,25,FALSE)</f>
        <v>0</v>
      </c>
    </row>
    <row r="200" spans="1:8" ht="12.75" hidden="1" customHeight="1" x14ac:dyDescent="0.2">
      <c r="A200" s="5" t="s">
        <v>1874</v>
      </c>
      <c r="B200" s="2" t="s">
        <v>1062</v>
      </c>
      <c r="C200" s="3" t="s">
        <v>407</v>
      </c>
      <c r="D200" s="2">
        <f>D180-2*D197</f>
        <v>9.86</v>
      </c>
      <c r="E200" s="2">
        <f>E180-2*E197</f>
        <v>9.86</v>
      </c>
      <c r="F200" s="2">
        <f>F180-2*F197</f>
        <v>6.8800000000000008</v>
      </c>
      <c r="G200" s="2">
        <f>G180-2*G197</f>
        <v>6.8800000000000008</v>
      </c>
      <c r="H200" s="2">
        <f>H180-2*H197</f>
        <v>6.8800000000000008</v>
      </c>
    </row>
    <row r="201" spans="1:8" ht="14.25" hidden="1" customHeight="1" x14ac:dyDescent="0.25">
      <c r="A201" s="5" t="s">
        <v>2177</v>
      </c>
      <c r="B201" s="2" t="s">
        <v>2160</v>
      </c>
      <c r="D201" s="40">
        <f>VLOOKUP(D$5,'Database v16.0 &amp; v16.0H'!$B$4:$AA$854,10,FALSE)</f>
        <v>7.77</v>
      </c>
      <c r="E201" s="40">
        <f>VLOOKUP(E$5,'Database v16.0 &amp; v16.0H'!$B$4:$AA$854,10,FALSE)</f>
        <v>7.77</v>
      </c>
      <c r="F201" s="40">
        <f>VLOOKUP(F$5,'Database v16.0 &amp; v16.0H'!$B$4:$AA$854,10,FALSE)</f>
        <v>7.95</v>
      </c>
      <c r="G201" s="40">
        <f>VLOOKUP(G$5,'Database v16.0 &amp; v16.0H'!$B$4:$AA$854,10,FALSE)</f>
        <v>7.95</v>
      </c>
      <c r="H201" s="40">
        <f>VLOOKUP(H$5,'Database v16.0 &amp; v16.0H'!$B$4:$AA$854,10,FALSE)</f>
        <v>7.95</v>
      </c>
    </row>
    <row r="202" spans="1:8" ht="14.25" hidden="1" customHeight="1" x14ac:dyDescent="0.25">
      <c r="A202" s="5" t="s">
        <v>1848</v>
      </c>
      <c r="B202" s="2" t="s">
        <v>1797</v>
      </c>
      <c r="D202" s="38">
        <f>VLOOKUP(D$5,'Database v16.0 &amp; v16.0H'!$B$4:$AA$854,11,FALSE)</f>
        <v>33.6</v>
      </c>
      <c r="E202" s="38">
        <f>VLOOKUP(E$5,'Database v16.0 &amp; v16.0H'!$B$4:$AA$854,11,FALSE)</f>
        <v>33.6</v>
      </c>
      <c r="F202" s="38">
        <f>VLOOKUP(F$5,'Database v16.0 &amp; v16.0H'!$B$4:$AA$854,11,FALSE)</f>
        <v>29.9</v>
      </c>
      <c r="G202" s="38">
        <f>VLOOKUP(G$5,'Database v16.0 &amp; v16.0H'!$B$4:$AA$854,11,FALSE)</f>
        <v>29.9</v>
      </c>
      <c r="H202" s="38">
        <f>VLOOKUP(H$5,'Database v16.0 &amp; v16.0H'!$B$4:$AA$854,11,FALSE)</f>
        <v>29.9</v>
      </c>
    </row>
    <row r="203" spans="1:8" ht="14.25" hidden="1" customHeight="1" x14ac:dyDescent="0.25">
      <c r="A203" s="5" t="s">
        <v>1790</v>
      </c>
      <c r="B203" s="2" t="s">
        <v>1802</v>
      </c>
      <c r="D203" s="10">
        <f t="shared" ref="D203:H203" si="114">0.56*SQRT(29000/D$11)</f>
        <v>13.486585928247372</v>
      </c>
      <c r="E203" s="10">
        <f t="shared" si="114"/>
        <v>13.486585928247372</v>
      </c>
      <c r="F203" s="10" t="e">
        <f t="shared" si="114"/>
        <v>#DIV/0!</v>
      </c>
      <c r="G203" s="10" t="e">
        <f t="shared" si="114"/>
        <v>#DIV/0!</v>
      </c>
      <c r="H203" s="10" t="e">
        <f t="shared" si="114"/>
        <v>#DIV/0!</v>
      </c>
    </row>
    <row r="204" spans="1:8" ht="14.25" hidden="1" customHeight="1" x14ac:dyDescent="0.25">
      <c r="A204" s="5" t="s">
        <v>1795</v>
      </c>
      <c r="B204" s="2" t="s">
        <v>1803</v>
      </c>
      <c r="D204" s="10">
        <f t="shared" ref="D204:H204" si="115">1.49*SQRT(29000/D$11)</f>
        <v>35.883951844801039</v>
      </c>
      <c r="E204" s="10">
        <f t="shared" si="115"/>
        <v>35.883951844801039</v>
      </c>
      <c r="F204" s="10" t="e">
        <f t="shared" si="115"/>
        <v>#DIV/0!</v>
      </c>
      <c r="G204" s="10" t="e">
        <f t="shared" si="115"/>
        <v>#DIV/0!</v>
      </c>
      <c r="H204" s="10" t="e">
        <f t="shared" si="115"/>
        <v>#DIV/0!</v>
      </c>
    </row>
    <row r="205" spans="1:8" ht="14.25" hidden="1" customHeight="1" x14ac:dyDescent="0.25">
      <c r="A205" s="5" t="s">
        <v>1792</v>
      </c>
      <c r="B205" s="2" t="s">
        <v>1799</v>
      </c>
      <c r="D205" s="10">
        <f t="shared" ref="D205:H205" si="116">0.38*SQRT(29000/D$11)</f>
        <v>9.1516118798821449</v>
      </c>
      <c r="E205" s="10">
        <f t="shared" si="116"/>
        <v>9.1516118798821449</v>
      </c>
      <c r="F205" s="10" t="e">
        <f t="shared" si="116"/>
        <v>#DIV/0!</v>
      </c>
      <c r="G205" s="10" t="e">
        <f t="shared" si="116"/>
        <v>#DIV/0!</v>
      </c>
      <c r="H205" s="10" t="e">
        <f t="shared" si="116"/>
        <v>#DIV/0!</v>
      </c>
    </row>
    <row r="206" spans="1:8" ht="14.25" hidden="1" customHeight="1" x14ac:dyDescent="0.25">
      <c r="A206" s="5" t="s">
        <v>1791</v>
      </c>
      <c r="B206" s="2" t="s">
        <v>1798</v>
      </c>
      <c r="D206" s="10">
        <f t="shared" ref="D206:H206" si="117">SQRT(29000/D$11)</f>
        <v>24.083189157584592</v>
      </c>
      <c r="E206" s="10">
        <f t="shared" si="117"/>
        <v>24.083189157584592</v>
      </c>
      <c r="F206" s="10" t="e">
        <f t="shared" si="117"/>
        <v>#DIV/0!</v>
      </c>
      <c r="G206" s="10" t="e">
        <f t="shared" si="117"/>
        <v>#DIV/0!</v>
      </c>
      <c r="H206" s="10" t="e">
        <f t="shared" si="117"/>
        <v>#DIV/0!</v>
      </c>
    </row>
    <row r="207" spans="1:8" ht="14.25" hidden="1" customHeight="1" x14ac:dyDescent="0.25">
      <c r="A207" s="5" t="s">
        <v>1793</v>
      </c>
      <c r="B207" s="2" t="s">
        <v>1800</v>
      </c>
      <c r="D207" s="10">
        <f t="shared" ref="D207:H207" si="118">3.76*SQRT(29000/D$11)</f>
        <v>90.552791232518061</v>
      </c>
      <c r="E207" s="10">
        <f t="shared" si="118"/>
        <v>90.552791232518061</v>
      </c>
      <c r="F207" s="10" t="e">
        <f t="shared" si="118"/>
        <v>#DIV/0!</v>
      </c>
      <c r="G207" s="10" t="e">
        <f t="shared" si="118"/>
        <v>#DIV/0!</v>
      </c>
      <c r="H207" s="10" t="e">
        <f t="shared" si="118"/>
        <v>#DIV/0!</v>
      </c>
    </row>
    <row r="208" spans="1:8" ht="14.25" hidden="1" customHeight="1" x14ac:dyDescent="0.25">
      <c r="A208" s="5" t="s">
        <v>1794</v>
      </c>
      <c r="B208" s="2" t="s">
        <v>1801</v>
      </c>
      <c r="D208" s="10">
        <f t="shared" ref="D208:H208" si="119">5.7*SQRT(29000/D$11)</f>
        <v>137.27417819823216</v>
      </c>
      <c r="E208" s="10">
        <f t="shared" si="119"/>
        <v>137.27417819823216</v>
      </c>
      <c r="F208" s="10" t="e">
        <f t="shared" si="119"/>
        <v>#DIV/0!</v>
      </c>
      <c r="G208" s="10" t="e">
        <f t="shared" si="119"/>
        <v>#DIV/0!</v>
      </c>
      <c r="H208" s="10" t="e">
        <f t="shared" si="119"/>
        <v>#DIV/0!</v>
      </c>
    </row>
    <row r="209" spans="1:8" ht="14.25" x14ac:dyDescent="0.25">
      <c r="A209" s="5" t="s">
        <v>1872</v>
      </c>
      <c r="B209" s="2" t="s">
        <v>919</v>
      </c>
      <c r="C209" s="3" t="s">
        <v>403</v>
      </c>
      <c r="D209" s="6">
        <f t="shared" ref="D209:F210" si="120">D254/12</f>
        <v>6.8524700883047354</v>
      </c>
      <c r="E209" s="6">
        <f t="shared" si="120"/>
        <v>6.8524700883047354</v>
      </c>
      <c r="F209" s="6" t="e">
        <f t="shared" si="120"/>
        <v>#DIV/0!</v>
      </c>
      <c r="G209" s="6" t="e">
        <f t="shared" ref="G209:H209" si="121">G254/12</f>
        <v>#DIV/0!</v>
      </c>
      <c r="H209" s="6" t="e">
        <f t="shared" si="121"/>
        <v>#DIV/0!</v>
      </c>
    </row>
    <row r="210" spans="1:8" ht="14.25" x14ac:dyDescent="0.25">
      <c r="A210" s="5" t="s">
        <v>1873</v>
      </c>
      <c r="B210" s="2" t="s">
        <v>920</v>
      </c>
      <c r="C210" s="3" t="s">
        <v>403</v>
      </c>
      <c r="D210" s="6">
        <f t="shared" si="120"/>
        <v>21.124789662662522</v>
      </c>
      <c r="E210" s="6">
        <f t="shared" si="120"/>
        <v>21.124789662662522</v>
      </c>
      <c r="F210" s="6" t="e">
        <f t="shared" si="120"/>
        <v>#DIV/0!</v>
      </c>
      <c r="G210" s="6" t="e">
        <f t="shared" ref="G210:H210" si="122">G255/12</f>
        <v>#DIV/0!</v>
      </c>
      <c r="H210" s="6" t="e">
        <f t="shared" si="122"/>
        <v>#DIV/0!</v>
      </c>
    </row>
    <row r="211" spans="1:8" x14ac:dyDescent="0.2">
      <c r="A211" s="5" t="s">
        <v>1908</v>
      </c>
      <c r="D211" s="113" t="str">
        <f t="shared" ref="D211:F212" si="123">IF(D201&lt;D203,"Nonslender","Slender")</f>
        <v>Nonslender</v>
      </c>
      <c r="E211" s="113" t="str">
        <f t="shared" si="123"/>
        <v>Nonslender</v>
      </c>
      <c r="F211" s="113" t="e">
        <f t="shared" si="123"/>
        <v>#DIV/0!</v>
      </c>
      <c r="G211" s="113" t="e">
        <f t="shared" ref="G211:H211" si="124">IF(G201&lt;G203,"Nonslender","Slender")</f>
        <v>#DIV/0!</v>
      </c>
      <c r="H211" s="113" t="e">
        <f t="shared" si="124"/>
        <v>#DIV/0!</v>
      </c>
    </row>
    <row r="212" spans="1:8" x14ac:dyDescent="0.2">
      <c r="A212" s="5" t="s">
        <v>1907</v>
      </c>
      <c r="D212" s="113" t="str">
        <f t="shared" si="123"/>
        <v>Nonslender</v>
      </c>
      <c r="E212" s="113" t="str">
        <f t="shared" si="123"/>
        <v>Nonslender</v>
      </c>
      <c r="F212" s="113" t="e">
        <f t="shared" si="123"/>
        <v>#DIV/0!</v>
      </c>
      <c r="G212" s="113" t="e">
        <f t="shared" ref="G212:H212" si="125">IF(G202&lt;G204,"Nonslender","Slender")</f>
        <v>#DIV/0!</v>
      </c>
      <c r="H212" s="113" t="e">
        <f t="shared" si="125"/>
        <v>#DIV/0!</v>
      </c>
    </row>
    <row r="213" spans="1:8" x14ac:dyDescent="0.2">
      <c r="A213" s="5" t="s">
        <v>1910</v>
      </c>
      <c r="D213" s="113" t="str">
        <f>IF(D201&lt;D205,"Compact",IF(D201&gt;D206,"Slender","Noncompact"))</f>
        <v>Compact</v>
      </c>
      <c r="E213" s="113" t="str">
        <f>IF(E201&lt;E205,"Compact",IF(E201&gt;E206,"Slender","Noncompact"))</f>
        <v>Compact</v>
      </c>
      <c r="F213" s="113" t="e">
        <f>IF(F201&lt;F205,"Compact",IF(F201&gt;F206,"Slender","Noncompact"))</f>
        <v>#DIV/0!</v>
      </c>
      <c r="G213" s="113" t="e">
        <f>IF(G201&lt;G205,"Compact",IF(G201&gt;G206,"Slender","Noncompact"))</f>
        <v>#DIV/0!</v>
      </c>
      <c r="H213" s="113" t="e">
        <f>IF(H201&lt;H205,"Compact",IF(H201&gt;H206,"Slender","Noncompact"))</f>
        <v>#DIV/0!</v>
      </c>
    </row>
    <row r="214" spans="1:8" x14ac:dyDescent="0.2">
      <c r="A214" s="5" t="s">
        <v>1911</v>
      </c>
      <c r="D214" s="113" t="str">
        <f>IF(D202&lt;D207,"Compact",IF(D202&gt;D208,"Slender","Noncompact"))</f>
        <v>Compact</v>
      </c>
      <c r="E214" s="113" t="str">
        <f>IF(E202&lt;E207,"Compact",IF(E202&gt;E208,"Slender","Noncompact"))</f>
        <v>Compact</v>
      </c>
      <c r="F214" s="113" t="e">
        <f>IF(F202&lt;F207,"Compact",IF(F202&gt;F208,"Slender","Noncompact"))</f>
        <v>#DIV/0!</v>
      </c>
      <c r="G214" s="113" t="e">
        <f>IF(G202&lt;G207,"Compact",IF(G202&gt;G208,"Slender","Noncompact"))</f>
        <v>#DIV/0!</v>
      </c>
      <c r="H214" s="113" t="e">
        <f>IF(H202&lt;H207,"Compact",IF(H202&gt;H208,"Slender","Noncompact"))</f>
        <v>#DIV/0!</v>
      </c>
    </row>
    <row r="215" spans="1:8" hidden="1" x14ac:dyDescent="0.2"/>
    <row r="216" spans="1:8" hidden="1" x14ac:dyDescent="0.2">
      <c r="A216" s="31" t="s">
        <v>862</v>
      </c>
      <c r="D216" s="10"/>
      <c r="E216" s="10"/>
      <c r="F216" s="10"/>
      <c r="G216" s="10"/>
      <c r="H216" s="10"/>
    </row>
    <row r="217" spans="1:8" hidden="1" x14ac:dyDescent="0.2">
      <c r="A217" s="16" t="s">
        <v>1010</v>
      </c>
      <c r="B217" s="4"/>
      <c r="C217" s="4"/>
      <c r="D217" s="10"/>
      <c r="E217" s="10"/>
      <c r="F217" s="10"/>
      <c r="G217" s="10"/>
      <c r="H217" s="10"/>
    </row>
    <row r="218" spans="1:8" ht="14.25" hidden="1" x14ac:dyDescent="0.25">
      <c r="A218" s="5" t="s">
        <v>863</v>
      </c>
      <c r="B218" s="2" t="s">
        <v>1138</v>
      </c>
      <c r="C218" s="3" t="s">
        <v>407</v>
      </c>
      <c r="D218" s="28">
        <f t="shared" ref="D218:H218" si="126">((1728*5*(D$48+IF(D$8="ASCE 7-16",D$49,IF(D$8="ASCE 7-22",0.7*D$49))+D$50+0.6*D$51)*D$13^4)/(384*29000*D$185))</f>
        <v>1.0061723014714141</v>
      </c>
      <c r="E218" s="28">
        <f t="shared" si="126"/>
        <v>1.0061723014714141</v>
      </c>
      <c r="F218" s="28">
        <f t="shared" si="126"/>
        <v>0</v>
      </c>
      <c r="G218" s="28">
        <f t="shared" si="126"/>
        <v>0</v>
      </c>
      <c r="H218" s="28">
        <f t="shared" si="126"/>
        <v>0</v>
      </c>
    </row>
    <row r="219" spans="1:8" ht="14.25" hidden="1" x14ac:dyDescent="0.25">
      <c r="A219" s="5" t="s">
        <v>870</v>
      </c>
      <c r="B219" s="2" t="s">
        <v>1139</v>
      </c>
      <c r="C219" s="3" t="s">
        <v>407</v>
      </c>
      <c r="D219" s="28">
        <f t="shared" ref="D219:H219" si="127">((1728*5*(D$47+D$48+IF(D$8="ASCE 7-16",D$49,IF(D$8="ASCE 7-22",0.7*D$49))+D$50+0.6*D$51)*D$13^4)/(384*29000*D$185))</f>
        <v>1.1738676850499832</v>
      </c>
      <c r="E219" s="28">
        <f t="shared" si="127"/>
        <v>1.1738676850499832</v>
      </c>
      <c r="F219" s="28">
        <f t="shared" si="127"/>
        <v>0</v>
      </c>
      <c r="G219" s="28">
        <f t="shared" si="127"/>
        <v>0</v>
      </c>
      <c r="H219" s="28">
        <f t="shared" si="127"/>
        <v>0</v>
      </c>
    </row>
    <row r="220" spans="1:8" hidden="1" x14ac:dyDescent="0.2">
      <c r="A220" s="16" t="s">
        <v>1011</v>
      </c>
      <c r="D220" s="10"/>
      <c r="E220" s="10"/>
      <c r="F220" s="10"/>
      <c r="G220" s="10"/>
      <c r="H220" s="10"/>
    </row>
    <row r="221" spans="1:8" ht="14.25" hidden="1" x14ac:dyDescent="0.25">
      <c r="A221" s="5" t="s">
        <v>863</v>
      </c>
      <c r="B221" s="2" t="s">
        <v>1138</v>
      </c>
      <c r="C221" s="3" t="s">
        <v>407</v>
      </c>
      <c r="D221" s="28">
        <f t="shared" ref="D221:H221" si="128">((1728*(D$65+IF(D$8="ASCE 7-16",D$66,IF(D$8="ASCE 7-22",0.7*D$66))+D$67+0.6*D$68)*D$13^3)/(48*29000*D$185))</f>
        <v>0</v>
      </c>
      <c r="E221" s="28">
        <f t="shared" si="128"/>
        <v>0</v>
      </c>
      <c r="F221" s="28">
        <f t="shared" si="128"/>
        <v>0</v>
      </c>
      <c r="G221" s="28">
        <f t="shared" si="128"/>
        <v>0</v>
      </c>
      <c r="H221" s="28">
        <f t="shared" si="128"/>
        <v>0</v>
      </c>
    </row>
    <row r="222" spans="1:8" ht="14.25" hidden="1" x14ac:dyDescent="0.25">
      <c r="A222" s="5" t="s">
        <v>870</v>
      </c>
      <c r="B222" s="2" t="s">
        <v>1139</v>
      </c>
      <c r="C222" s="3" t="s">
        <v>407</v>
      </c>
      <c r="D222" s="28">
        <f t="shared" ref="D222:H222" si="129">((1728*(D$64+D$65+IF(D$8="ASCE 7-16",D$66,IF(D$8="ASCE 7-22",0.7*D$66))+D$67+0.6*D$68)*D$13^3)/(48*29000*D$185))</f>
        <v>0</v>
      </c>
      <c r="E222" s="28">
        <f t="shared" si="129"/>
        <v>0</v>
      </c>
      <c r="F222" s="28">
        <f t="shared" si="129"/>
        <v>0</v>
      </c>
      <c r="G222" s="28">
        <f t="shared" si="129"/>
        <v>0</v>
      </c>
      <c r="H222" s="28">
        <f t="shared" si="129"/>
        <v>0</v>
      </c>
    </row>
    <row r="223" spans="1:8" hidden="1" x14ac:dyDescent="0.2">
      <c r="A223" s="16" t="s">
        <v>1012</v>
      </c>
      <c r="B223" s="4"/>
      <c r="C223" s="4"/>
      <c r="D223" s="10"/>
      <c r="E223" s="10"/>
      <c r="F223" s="10"/>
      <c r="G223" s="10"/>
      <c r="H223" s="10"/>
    </row>
    <row r="224" spans="1:8" ht="14.25" hidden="1" x14ac:dyDescent="0.25">
      <c r="A224" s="5" t="s">
        <v>863</v>
      </c>
      <c r="B224" s="2" t="s">
        <v>1138</v>
      </c>
      <c r="C224" s="3" t="s">
        <v>407</v>
      </c>
      <c r="D224" s="28">
        <f t="shared" ref="D224:H224" si="130">((1728*(D$83+IF(D$8="ASCE 7-16",D$84,IF(D$8="ASCE 7-22",0.7*D$84))+D$85+0.6*D$86)*D$81)/(24*29000*D$185))*((3*D$13^2)-(4*D$81^2))</f>
        <v>0</v>
      </c>
      <c r="E224" s="28">
        <f t="shared" si="130"/>
        <v>0</v>
      </c>
      <c r="F224" s="28">
        <f t="shared" si="130"/>
        <v>0</v>
      </c>
      <c r="G224" s="28">
        <f t="shared" si="130"/>
        <v>0</v>
      </c>
      <c r="H224" s="28">
        <f t="shared" si="130"/>
        <v>0</v>
      </c>
    </row>
    <row r="225" spans="1:8" ht="14.25" hidden="1" x14ac:dyDescent="0.25">
      <c r="A225" s="5" t="s">
        <v>870</v>
      </c>
      <c r="B225" s="2" t="s">
        <v>1139</v>
      </c>
      <c r="C225" s="3" t="s">
        <v>407</v>
      </c>
      <c r="D225" s="28">
        <f t="shared" ref="D225:H225" si="131">((1728*(D$82+D$83+IF(D$8="ASCE 7-16",D$84,IF(D$8="ASCE 7-22",0.7*D$84))+D$85+0.6*D$86)*D$81)/(24*29000*D$185))*((3*D$13^2)-(4*D$81^2))</f>
        <v>0</v>
      </c>
      <c r="E225" s="28">
        <f t="shared" si="131"/>
        <v>0</v>
      </c>
      <c r="F225" s="28">
        <f t="shared" si="131"/>
        <v>0</v>
      </c>
      <c r="G225" s="28">
        <f t="shared" si="131"/>
        <v>0</v>
      </c>
      <c r="H225" s="28">
        <f t="shared" si="131"/>
        <v>0</v>
      </c>
    </row>
    <row r="226" spans="1:8" hidden="1" x14ac:dyDescent="0.2">
      <c r="A226" s="16" t="s">
        <v>1618</v>
      </c>
      <c r="D226" s="10"/>
      <c r="E226" s="10"/>
      <c r="F226" s="10"/>
      <c r="G226" s="10"/>
      <c r="H226" s="10"/>
    </row>
    <row r="227" spans="1:8" ht="14.25" x14ac:dyDescent="0.25">
      <c r="A227" s="5" t="s">
        <v>1145</v>
      </c>
      <c r="B227" s="2" t="s">
        <v>1138</v>
      </c>
      <c r="C227" s="3" t="s">
        <v>407</v>
      </c>
      <c r="D227" s="114">
        <f t="shared" ref="D227:F228" si="132">D218+D221+D224</f>
        <v>1.0061723014714141</v>
      </c>
      <c r="E227" s="114">
        <f t="shared" si="132"/>
        <v>1.0061723014714141</v>
      </c>
      <c r="F227" s="114">
        <f t="shared" si="132"/>
        <v>0</v>
      </c>
      <c r="G227" s="114">
        <f t="shared" ref="G227:H227" si="133">G218+G221+G224</f>
        <v>0</v>
      </c>
      <c r="H227" s="114">
        <f t="shared" si="133"/>
        <v>0</v>
      </c>
    </row>
    <row r="228" spans="1:8" ht="14.25" x14ac:dyDescent="0.25">
      <c r="A228" s="5" t="s">
        <v>1144</v>
      </c>
      <c r="B228" s="2" t="s">
        <v>1139</v>
      </c>
      <c r="C228" s="3" t="s">
        <v>407</v>
      </c>
      <c r="D228" s="115">
        <f t="shared" si="132"/>
        <v>1.1738676850499832</v>
      </c>
      <c r="E228" s="115">
        <f t="shared" si="132"/>
        <v>1.1738676850499832</v>
      </c>
      <c r="F228" s="115">
        <f t="shared" si="132"/>
        <v>0</v>
      </c>
      <c r="G228" s="115">
        <f t="shared" ref="G228:H228" si="134">G219+G222+G225</f>
        <v>0</v>
      </c>
      <c r="H228" s="115">
        <f t="shared" si="134"/>
        <v>0</v>
      </c>
    </row>
    <row r="229" spans="1:8" x14ac:dyDescent="0.2">
      <c r="A229" s="5" t="s">
        <v>1651</v>
      </c>
      <c r="B229" s="2" t="s">
        <v>1915</v>
      </c>
      <c r="C229" s="4"/>
      <c r="D229" s="116">
        <f t="shared" ref="D229:H229" si="135">(D$13*12)/D$227</f>
        <v>286.23328189300412</v>
      </c>
      <c r="E229" s="116">
        <f t="shared" si="135"/>
        <v>286.23328189300412</v>
      </c>
      <c r="F229" s="116" t="e">
        <f t="shared" si="135"/>
        <v>#DIV/0!</v>
      </c>
      <c r="G229" s="116" t="e">
        <f t="shared" si="135"/>
        <v>#DIV/0!</v>
      </c>
      <c r="H229" s="116" t="e">
        <f t="shared" si="135"/>
        <v>#DIV/0!</v>
      </c>
    </row>
    <row r="230" spans="1:8" x14ac:dyDescent="0.2">
      <c r="A230" s="5" t="s">
        <v>1652</v>
      </c>
      <c r="B230" s="2" t="s">
        <v>1915</v>
      </c>
      <c r="C230" s="4"/>
      <c r="D230" s="116">
        <f t="shared" ref="D230:H230" si="136">(D$13*12)/D$228</f>
        <v>245.34281305114638</v>
      </c>
      <c r="E230" s="116">
        <f t="shared" si="136"/>
        <v>245.34281305114638</v>
      </c>
      <c r="F230" s="116" t="e">
        <f t="shared" si="136"/>
        <v>#DIV/0!</v>
      </c>
      <c r="G230" s="116" t="e">
        <f t="shared" si="136"/>
        <v>#DIV/0!</v>
      </c>
      <c r="H230" s="116" t="e">
        <f t="shared" si="136"/>
        <v>#DIV/0!</v>
      </c>
    </row>
    <row r="231" spans="1:8" hidden="1" x14ac:dyDescent="0.2">
      <c r="D231" s="10"/>
      <c r="E231" s="10"/>
      <c r="F231" s="10"/>
      <c r="G231" s="10"/>
      <c r="H231" s="10"/>
    </row>
    <row r="232" spans="1:8" x14ac:dyDescent="0.2">
      <c r="A232" s="5" t="s">
        <v>2158</v>
      </c>
      <c r="B232" s="2" t="str">
        <f>IF(D$7="ASD","Vn-x/Ω",IF(D$7="LRFD","φVn-x"))</f>
        <v>φVn-x</v>
      </c>
      <c r="C232" s="3" t="s">
        <v>419</v>
      </c>
      <c r="D232" s="24">
        <f t="shared" ref="D232:H232" si="137">IF(D$7="ASD",D$236/D$239,IF(D$7="LRFD",D$242*D$236))</f>
        <v>105.315</v>
      </c>
      <c r="E232" s="24">
        <f t="shared" si="137"/>
        <v>70.209999999999994</v>
      </c>
      <c r="F232" s="24" t="e">
        <f t="shared" si="137"/>
        <v>#DIV/0!</v>
      </c>
      <c r="G232" s="24" t="e">
        <f t="shared" si="137"/>
        <v>#DIV/0!</v>
      </c>
      <c r="H232" s="24" t="e">
        <f t="shared" si="137"/>
        <v>#DIV/0!</v>
      </c>
    </row>
    <row r="233" spans="1:8" hidden="1" x14ac:dyDescent="0.2">
      <c r="A233" s="5" t="s">
        <v>848</v>
      </c>
      <c r="D233" s="10">
        <f t="shared" ref="D233:H233" si="138">2.24*SQRT(29000/D$11)</f>
        <v>53.946343712989488</v>
      </c>
      <c r="E233" s="10">
        <f t="shared" si="138"/>
        <v>53.946343712989488</v>
      </c>
      <c r="F233" s="10" t="e">
        <f t="shared" si="138"/>
        <v>#DIV/0!</v>
      </c>
      <c r="G233" s="10" t="e">
        <f t="shared" si="138"/>
        <v>#DIV/0!</v>
      </c>
      <c r="H233" s="10" t="e">
        <f t="shared" si="138"/>
        <v>#DIV/0!</v>
      </c>
    </row>
    <row r="234" spans="1:8" hidden="1" x14ac:dyDescent="0.2">
      <c r="A234" s="5" t="s">
        <v>849</v>
      </c>
      <c r="D234" s="10">
        <f t="shared" ref="D234:H234" si="139">1.1*SQRT((5.34*29000)/D$11)</f>
        <v>61.217742526166383</v>
      </c>
      <c r="E234" s="10">
        <f t="shared" si="139"/>
        <v>61.217742526166383</v>
      </c>
      <c r="F234" s="10" t="e">
        <f t="shared" si="139"/>
        <v>#DIV/0!</v>
      </c>
      <c r="G234" s="10" t="e">
        <f t="shared" si="139"/>
        <v>#DIV/0!</v>
      </c>
      <c r="H234" s="10" t="e">
        <f t="shared" si="139"/>
        <v>#DIV/0!</v>
      </c>
    </row>
    <row r="235" spans="1:8" ht="14.25" hidden="1" x14ac:dyDescent="0.25">
      <c r="A235" s="5" t="s">
        <v>2161</v>
      </c>
      <c r="B235" s="2" t="s">
        <v>918</v>
      </c>
      <c r="C235" s="3" t="s">
        <v>2163</v>
      </c>
      <c r="D235" s="10">
        <f t="shared" ref="D235:H235" si="140">IF(D$202&lt;=D$234,1,D$234/D$202)</f>
        <v>1</v>
      </c>
      <c r="E235" s="10">
        <f t="shared" si="140"/>
        <v>1</v>
      </c>
      <c r="F235" s="10" t="e">
        <f t="shared" si="140"/>
        <v>#DIV/0!</v>
      </c>
      <c r="G235" s="10" t="e">
        <f t="shared" si="140"/>
        <v>#DIV/0!</v>
      </c>
      <c r="H235" s="10" t="e">
        <f t="shared" si="140"/>
        <v>#DIV/0!</v>
      </c>
    </row>
    <row r="236" spans="1:8" ht="14.25" hidden="1" x14ac:dyDescent="0.25">
      <c r="A236" s="5" t="s">
        <v>2159</v>
      </c>
      <c r="B236" s="2" t="s">
        <v>2165</v>
      </c>
      <c r="D236" s="6">
        <f t="shared" ref="D236:H236" si="141">0.6*D$11*D$180*D$182*D$235</f>
        <v>105.315</v>
      </c>
      <c r="E236" s="6">
        <f t="shared" si="141"/>
        <v>105.315</v>
      </c>
      <c r="F236" s="6" t="e">
        <f t="shared" si="141"/>
        <v>#DIV/0!</v>
      </c>
      <c r="G236" s="6" t="e">
        <f t="shared" si="141"/>
        <v>#DIV/0!</v>
      </c>
      <c r="H236" s="6" t="e">
        <f t="shared" si="141"/>
        <v>#DIV/0!</v>
      </c>
    </row>
    <row r="237" spans="1:8" ht="14.25" hidden="1" x14ac:dyDescent="0.25">
      <c r="A237" s="5" t="s">
        <v>1609</v>
      </c>
      <c r="B237" s="2" t="s">
        <v>1610</v>
      </c>
      <c r="D237" s="10">
        <f t="shared" ref="D237:H237" si="142">IF(D$202&lt;=D$233,1.5,1.67)</f>
        <v>1.5</v>
      </c>
      <c r="E237" s="10">
        <f t="shared" si="142"/>
        <v>1.5</v>
      </c>
      <c r="F237" s="10" t="e">
        <f t="shared" si="142"/>
        <v>#DIV/0!</v>
      </c>
      <c r="G237" s="10" t="e">
        <f t="shared" si="142"/>
        <v>#DIV/0!</v>
      </c>
      <c r="H237" s="10" t="e">
        <f t="shared" si="142"/>
        <v>#DIV/0!</v>
      </c>
    </row>
    <row r="238" spans="1:8" ht="15" hidden="1" x14ac:dyDescent="0.25">
      <c r="A238" s="5" t="s">
        <v>1608</v>
      </c>
      <c r="B238" s="2" t="s">
        <v>1611</v>
      </c>
      <c r="D238" s="10">
        <f t="shared" ref="D238:H238" si="143">IF(D$178="C",1.67,IF(D$178="MC",1.67,1.5))</f>
        <v>1.5</v>
      </c>
      <c r="E238" s="10">
        <f t="shared" si="143"/>
        <v>1.5</v>
      </c>
      <c r="F238" s="10">
        <f t="shared" si="143"/>
        <v>1.5</v>
      </c>
      <c r="G238" s="10">
        <f t="shared" si="143"/>
        <v>1.5</v>
      </c>
      <c r="H238" s="10">
        <f t="shared" si="143"/>
        <v>1.5</v>
      </c>
    </row>
    <row r="239" spans="1:8" hidden="1" x14ac:dyDescent="0.2">
      <c r="A239" s="37" t="s">
        <v>1612</v>
      </c>
      <c r="B239" s="40" t="s">
        <v>850</v>
      </c>
      <c r="D239" s="38">
        <f t="shared" ref="D239:H239" si="144">IF(D$178="C",D$238,IF(D$178="MC",D$238,D$237))</f>
        <v>1.5</v>
      </c>
      <c r="E239" s="38">
        <f t="shared" si="144"/>
        <v>1.5</v>
      </c>
      <c r="F239" s="38" t="e">
        <f t="shared" si="144"/>
        <v>#DIV/0!</v>
      </c>
      <c r="G239" s="38" t="e">
        <f t="shared" si="144"/>
        <v>#DIV/0!</v>
      </c>
      <c r="H239" s="38" t="e">
        <f t="shared" si="144"/>
        <v>#DIV/0!</v>
      </c>
    </row>
    <row r="240" spans="1:8" ht="15" hidden="1" x14ac:dyDescent="0.25">
      <c r="A240" s="5" t="s">
        <v>1615</v>
      </c>
      <c r="B240" s="34" t="s">
        <v>1617</v>
      </c>
      <c r="D240" s="10">
        <f t="shared" ref="D240:H240" si="145">IF(D$202&lt;=D$233,1,0.9)</f>
        <v>1</v>
      </c>
      <c r="E240" s="10">
        <f t="shared" si="145"/>
        <v>1</v>
      </c>
      <c r="F240" s="10" t="e">
        <f t="shared" si="145"/>
        <v>#DIV/0!</v>
      </c>
      <c r="G240" s="10" t="e">
        <f t="shared" si="145"/>
        <v>#DIV/0!</v>
      </c>
      <c r="H240" s="10" t="e">
        <f t="shared" si="145"/>
        <v>#DIV/0!</v>
      </c>
    </row>
    <row r="241" spans="1:8" ht="14.25" hidden="1" x14ac:dyDescent="0.25">
      <c r="A241" s="5" t="s">
        <v>1614</v>
      </c>
      <c r="B241" s="34" t="s">
        <v>1616</v>
      </c>
      <c r="D241" s="10">
        <f t="shared" ref="D241:H241" si="146">IF(D$178="C",0.9,IF(D$178="MC",0.9,1))</f>
        <v>1</v>
      </c>
      <c r="E241" s="10">
        <f t="shared" si="146"/>
        <v>1</v>
      </c>
      <c r="F241" s="10">
        <f t="shared" si="146"/>
        <v>1</v>
      </c>
      <c r="G241" s="10">
        <f t="shared" si="146"/>
        <v>1</v>
      </c>
      <c r="H241" s="10">
        <f t="shared" si="146"/>
        <v>1</v>
      </c>
    </row>
    <row r="242" spans="1:8" hidden="1" x14ac:dyDescent="0.2">
      <c r="A242" s="37" t="s">
        <v>1613</v>
      </c>
      <c r="B242" s="117" t="s">
        <v>1120</v>
      </c>
      <c r="D242" s="38">
        <f t="shared" ref="D242:H242" si="147">IF(D$178="C",D$241,IF(D$178="MC",D$241,D$240))</f>
        <v>1</v>
      </c>
      <c r="E242" s="38">
        <f t="shared" si="147"/>
        <v>1</v>
      </c>
      <c r="F242" s="38" t="e">
        <f t="shared" si="147"/>
        <v>#DIV/0!</v>
      </c>
      <c r="G242" s="38" t="e">
        <f t="shared" si="147"/>
        <v>#DIV/0!</v>
      </c>
      <c r="H242" s="38" t="e">
        <f t="shared" si="147"/>
        <v>#DIV/0!</v>
      </c>
    </row>
    <row r="243" spans="1:8" hidden="1" x14ac:dyDescent="0.2"/>
    <row r="244" spans="1:8" x14ac:dyDescent="0.2">
      <c r="A244" s="5" t="s">
        <v>2157</v>
      </c>
      <c r="B244" s="2" t="str">
        <f>IF(D$7="ASD","Vn-y/Ω",IF(D$7="LRFD","φVn-y"))</f>
        <v>φVn-y</v>
      </c>
      <c r="C244" s="3" t="s">
        <v>419</v>
      </c>
      <c r="D244" s="24">
        <f t="shared" ref="D244:H244" si="148">IF(D$7="ASD",D$248/1.67,IF(D$7="LRFD",0.9*D$248))</f>
        <v>222.75809999999998</v>
      </c>
      <c r="E244" s="24">
        <f t="shared" si="148"/>
        <v>148.20898203592813</v>
      </c>
      <c r="F244" s="24" t="e">
        <f t="shared" si="148"/>
        <v>#DIV/0!</v>
      </c>
      <c r="G244" s="24" t="e">
        <f t="shared" si="148"/>
        <v>#DIV/0!</v>
      </c>
      <c r="H244" s="24" t="e">
        <f t="shared" si="148"/>
        <v>#DIV/0!</v>
      </c>
    </row>
    <row r="245" spans="1:8" hidden="1" x14ac:dyDescent="0.2">
      <c r="A245" s="5" t="s">
        <v>849</v>
      </c>
      <c r="D245" s="9">
        <f>1.1*SQRT((1.2*29000)/D$11)</f>
        <v>29.019993108200424</v>
      </c>
      <c r="E245" s="9">
        <f>1.1*SQRT((1.2*29000)/E$11)</f>
        <v>29.019993108200424</v>
      </c>
      <c r="F245" s="9" t="e">
        <f>1.1*SQRT((1.2*29000)/F$11)</f>
        <v>#DIV/0!</v>
      </c>
      <c r="G245" s="9" t="e">
        <f>1.1*SQRT((1.2*29000)/G$11)</f>
        <v>#DIV/0!</v>
      </c>
      <c r="H245" s="9" t="e">
        <f>1.1*SQRT((1.2*29000)/H$11)</f>
        <v>#DIV/0!</v>
      </c>
    </row>
    <row r="246" spans="1:8" hidden="1" x14ac:dyDescent="0.2">
      <c r="A246" s="5" t="s">
        <v>2156</v>
      </c>
      <c r="D246" s="9">
        <f>1.37*SQRT((1.2*29000)/D$11)</f>
        <v>36.143082325667805</v>
      </c>
      <c r="E246" s="9">
        <f>1.37*SQRT((1.2*29000)/E$11)</f>
        <v>36.143082325667805</v>
      </c>
      <c r="F246" s="9" t="e">
        <f>1.37*SQRT((1.2*29000)/F$11)</f>
        <v>#DIV/0!</v>
      </c>
      <c r="G246" s="9" t="e">
        <f>1.37*SQRT((1.2*29000)/G$11)</f>
        <v>#DIV/0!</v>
      </c>
      <c r="H246" s="9" t="e">
        <f>1.37*SQRT((1.2*29000)/H$11)</f>
        <v>#DIV/0!</v>
      </c>
    </row>
    <row r="247" spans="1:8" ht="14.25" hidden="1" x14ac:dyDescent="0.25">
      <c r="A247" s="5" t="s">
        <v>2171</v>
      </c>
      <c r="B247" s="2" t="s">
        <v>2155</v>
      </c>
      <c r="C247" s="3" t="s">
        <v>2162</v>
      </c>
      <c r="D247" s="10">
        <f>IF(D201&lt;=D245,1,IF(D201&gt;D246,(1.51*1.2*29000)/(D$11*D201^2),D245/D201))</f>
        <v>1</v>
      </c>
      <c r="E247" s="10">
        <f>IF(E201&lt;=E245,1,IF(E201&gt;E246,(1.51*1.2*29000)/(E$11*E201^2),E245/E201))</f>
        <v>1</v>
      </c>
      <c r="F247" s="10" t="e">
        <f>IF(F201&lt;=F245,1,IF(F201&gt;F246,(1.51*1.2*29000)/(F$11*F201^2),F245/F201))</f>
        <v>#DIV/0!</v>
      </c>
      <c r="G247" s="10" t="e">
        <f>IF(G201&lt;=G245,1,IF(G201&gt;G246,(1.51*1.2*29000)/(G$11*G201^2),G245/G201))</f>
        <v>#DIV/0!</v>
      </c>
      <c r="H247" s="10" t="e">
        <f>IF(H201&lt;=H245,1,IF(H201&gt;H246,(1.51*1.2*29000)/(H$11*H201^2),H245/H201))</f>
        <v>#DIV/0!</v>
      </c>
    </row>
    <row r="248" spans="1:8" ht="14.25" hidden="1" x14ac:dyDescent="0.25">
      <c r="A248" s="5" t="s">
        <v>2166</v>
      </c>
      <c r="B248" s="2" t="s">
        <v>2164</v>
      </c>
      <c r="D248" s="6">
        <f>2*(0.6*D$11*D181*D183*D247)</f>
        <v>247.50899999999999</v>
      </c>
      <c r="E248" s="6">
        <f>2*(0.6*E$11*E181*E183*E247)</f>
        <v>247.50899999999999</v>
      </c>
      <c r="F248" s="6" t="e">
        <f>2*(0.6*F$11*F181*F183*F247)</f>
        <v>#DIV/0!</v>
      </c>
      <c r="G248" s="6" t="e">
        <f>2*(0.6*G$11*G181*G183*G247)</f>
        <v>#DIV/0!</v>
      </c>
      <c r="H248" s="6" t="e">
        <f>2*(0.6*H$11*H181*H183*H247)</f>
        <v>#DIV/0!</v>
      </c>
    </row>
    <row r="249" spans="1:8" hidden="1" x14ac:dyDescent="0.2"/>
    <row r="250" spans="1:8" x14ac:dyDescent="0.2">
      <c r="A250" s="5" t="s">
        <v>1156</v>
      </c>
      <c r="B250" s="2" t="str">
        <f>IF(D$7="ASD","Mn-x/Ω",IF(D$7="LRFD","φMn-x"))</f>
        <v>φMn-x</v>
      </c>
      <c r="C250" s="3" t="s">
        <v>406</v>
      </c>
      <c r="D250" s="24">
        <f t="shared" ref="D250:H250" si="149">IF(D$7="ASD",D$272/1.67,IF(D$7="LRFD",0.9*D$272))</f>
        <v>185.4152351721352</v>
      </c>
      <c r="E250" s="24">
        <f t="shared" si="149"/>
        <v>123.36342992158031</v>
      </c>
      <c r="F250" s="24" t="e">
        <f t="shared" si="149"/>
        <v>#DIV/0!</v>
      </c>
      <c r="G250" s="24" t="e">
        <f t="shared" si="149"/>
        <v>#DIV/0!</v>
      </c>
      <c r="H250" s="24" t="e">
        <f t="shared" si="149"/>
        <v>#DIV/0!</v>
      </c>
    </row>
    <row r="251" spans="1:8" hidden="1" x14ac:dyDescent="0.2">
      <c r="A251" s="118" t="s">
        <v>1208</v>
      </c>
      <c r="D251" s="9"/>
      <c r="E251" s="9"/>
      <c r="F251" s="9"/>
      <c r="G251" s="9"/>
      <c r="H251" s="9"/>
    </row>
    <row r="252" spans="1:8" hidden="1" x14ac:dyDescent="0.2">
      <c r="A252" s="5" t="s">
        <v>1601</v>
      </c>
      <c r="B252" s="2" t="s">
        <v>1179</v>
      </c>
      <c r="D252" s="10">
        <f t="shared" ref="D252:H252" si="150">IF(D$178="C",(D$196/2)*SQRT(D$189/D$194),IF(D$178="MC",(D$196/2)*SQRT(D$189/D$194),1))</f>
        <v>1</v>
      </c>
      <c r="E252" s="10">
        <f t="shared" si="150"/>
        <v>1</v>
      </c>
      <c r="F252" s="10">
        <f t="shared" si="150"/>
        <v>1</v>
      </c>
      <c r="G252" s="10">
        <f t="shared" si="150"/>
        <v>1</v>
      </c>
      <c r="H252" s="10">
        <f t="shared" si="150"/>
        <v>1</v>
      </c>
    </row>
    <row r="253" spans="1:8" ht="14.25" hidden="1" x14ac:dyDescent="0.25">
      <c r="A253" s="5" t="s">
        <v>428</v>
      </c>
      <c r="B253" s="2" t="s">
        <v>896</v>
      </c>
      <c r="C253" s="3" t="s">
        <v>407</v>
      </c>
      <c r="D253" s="2">
        <f t="shared" ref="D253:H253" si="151">D$15*12</f>
        <v>144</v>
      </c>
      <c r="E253" s="2">
        <f t="shared" si="151"/>
        <v>144</v>
      </c>
      <c r="F253" s="2">
        <f t="shared" si="151"/>
        <v>0</v>
      </c>
      <c r="G253" s="2">
        <f t="shared" si="151"/>
        <v>0</v>
      </c>
      <c r="H253" s="2">
        <f t="shared" si="151"/>
        <v>0</v>
      </c>
    </row>
    <row r="254" spans="1:8" ht="14.25" hidden="1" x14ac:dyDescent="0.25">
      <c r="A254" s="5" t="s">
        <v>1180</v>
      </c>
      <c r="B254" s="2" t="s">
        <v>919</v>
      </c>
      <c r="C254" s="3" t="s">
        <v>407</v>
      </c>
      <c r="D254" s="10">
        <f t="shared" ref="D254:H254" si="152">1.76*D$192*SQRT(29000/D$11)</f>
        <v>82.229641059656828</v>
      </c>
      <c r="E254" s="10">
        <f t="shared" si="152"/>
        <v>82.229641059656828</v>
      </c>
      <c r="F254" s="10" t="e">
        <f t="shared" si="152"/>
        <v>#DIV/0!</v>
      </c>
      <c r="G254" s="10" t="e">
        <f t="shared" si="152"/>
        <v>#DIV/0!</v>
      </c>
      <c r="H254" s="10" t="e">
        <f t="shared" si="152"/>
        <v>#DIV/0!</v>
      </c>
    </row>
    <row r="255" spans="1:8" ht="14.25" hidden="1" x14ac:dyDescent="0.25">
      <c r="A255" s="5" t="s">
        <v>1181</v>
      </c>
      <c r="B255" s="2" t="s">
        <v>920</v>
      </c>
      <c r="C255" s="3" t="s">
        <v>407</v>
      </c>
      <c r="D255" s="10">
        <f t="shared" ref="D255:H255" si="153">1.95*D$195*(29000/(0.7*D$11))*SQRT(((D$193*D$252)/(D$187*D$196))+SQRT((((D$193*D$252)/(D$187*D$196))^2)+6.76*((0.7*D$11)/29000)^2))</f>
        <v>253.49747595195026</v>
      </c>
      <c r="E255" s="10">
        <f t="shared" si="153"/>
        <v>253.49747595195026</v>
      </c>
      <c r="F255" s="10" t="e">
        <f t="shared" si="153"/>
        <v>#DIV/0!</v>
      </c>
      <c r="G255" s="10" t="e">
        <f t="shared" si="153"/>
        <v>#DIV/0!</v>
      </c>
      <c r="H255" s="10" t="e">
        <f t="shared" si="153"/>
        <v>#DIV/0!</v>
      </c>
    </row>
    <row r="256" spans="1:8" ht="14.25" hidden="1" x14ac:dyDescent="0.25">
      <c r="A256" s="5" t="s">
        <v>1176</v>
      </c>
      <c r="B256" s="2" t="s">
        <v>931</v>
      </c>
      <c r="C256" s="3" t="s">
        <v>405</v>
      </c>
      <c r="D256" s="10">
        <f t="shared" ref="D256:H256" si="154">((((D$20*PI()^2)*29000)/(D$253/D$195)^2)*(SQRT(1+(0.078*((D$193*D$252)/(D$187*D$196))*(D$253/D$195)^2))))</f>
        <v>82.869487874930712</v>
      </c>
      <c r="E256" s="10">
        <f t="shared" si="154"/>
        <v>82.869487874930712</v>
      </c>
      <c r="F256" s="10" t="e">
        <f t="shared" si="154"/>
        <v>#DIV/0!</v>
      </c>
      <c r="G256" s="10" t="e">
        <f t="shared" si="154"/>
        <v>#DIV/0!</v>
      </c>
      <c r="H256" s="10" t="e">
        <f t="shared" si="154"/>
        <v>#DIV/0!</v>
      </c>
    </row>
    <row r="257" spans="1:8" hidden="1" x14ac:dyDescent="0.2">
      <c r="A257" s="119" t="s">
        <v>1206</v>
      </c>
      <c r="D257" s="10"/>
      <c r="E257" s="10"/>
      <c r="F257" s="10"/>
      <c r="G257" s="10"/>
      <c r="H257" s="10"/>
    </row>
    <row r="258" spans="1:8" ht="14.25" hidden="1" x14ac:dyDescent="0.25">
      <c r="A258" s="13" t="s">
        <v>1177</v>
      </c>
      <c r="B258" s="2" t="s">
        <v>921</v>
      </c>
      <c r="C258" s="3" t="s">
        <v>408</v>
      </c>
      <c r="D258" s="6">
        <f t="shared" ref="D258:H258" si="155">(D$11*D$186)</f>
        <v>2850</v>
      </c>
      <c r="E258" s="6">
        <f t="shared" si="155"/>
        <v>2850</v>
      </c>
      <c r="F258" s="6">
        <f t="shared" si="155"/>
        <v>0</v>
      </c>
      <c r="G258" s="6">
        <f t="shared" si="155"/>
        <v>0</v>
      </c>
      <c r="H258" s="6">
        <f t="shared" si="155"/>
        <v>0</v>
      </c>
    </row>
    <row r="259" spans="1:8" hidden="1" x14ac:dyDescent="0.2">
      <c r="A259" s="119" t="s">
        <v>1876</v>
      </c>
      <c r="D259" s="10"/>
      <c r="E259" s="10"/>
      <c r="F259" s="10"/>
      <c r="G259" s="10"/>
      <c r="H259" s="10"/>
    </row>
    <row r="260" spans="1:8" ht="14.25" hidden="1" x14ac:dyDescent="0.25">
      <c r="A260" s="13" t="s">
        <v>1875</v>
      </c>
      <c r="B260" s="2" t="s">
        <v>922</v>
      </c>
      <c r="C260" s="3" t="s">
        <v>408</v>
      </c>
      <c r="D260" s="10">
        <f t="shared" ref="D260:H260" si="156">MIN(D$20*(D$258-((D$258-(0.7*D$11*D$187))*((D$253-D$254)/(D$255-D$254)))),D$258)</f>
        <v>2472.2031356284692</v>
      </c>
      <c r="E260" s="10">
        <f t="shared" si="156"/>
        <v>2472.2031356284692</v>
      </c>
      <c r="F260" s="10" t="e">
        <f t="shared" si="156"/>
        <v>#DIV/0!</v>
      </c>
      <c r="G260" s="10" t="e">
        <f t="shared" si="156"/>
        <v>#DIV/0!</v>
      </c>
      <c r="H260" s="10" t="e">
        <f t="shared" si="156"/>
        <v>#DIV/0!</v>
      </c>
    </row>
    <row r="261" spans="1:8" ht="14.25" hidden="1" x14ac:dyDescent="0.25">
      <c r="A261" s="13" t="s">
        <v>1878</v>
      </c>
      <c r="B261" s="2" t="s">
        <v>923</v>
      </c>
      <c r="C261" s="3" t="s">
        <v>408</v>
      </c>
      <c r="D261" s="10">
        <f t="shared" ref="D261:H261" si="157">MIN((D$256*D$187),D$258)</f>
        <v>2850</v>
      </c>
      <c r="E261" s="10">
        <f t="shared" si="157"/>
        <v>2850</v>
      </c>
      <c r="F261" s="10" t="e">
        <f t="shared" si="157"/>
        <v>#DIV/0!</v>
      </c>
      <c r="G261" s="10" t="e">
        <f t="shared" si="157"/>
        <v>#DIV/0!</v>
      </c>
      <c r="H261" s="10" t="e">
        <f t="shared" si="157"/>
        <v>#DIV/0!</v>
      </c>
    </row>
    <row r="262" spans="1:8" ht="14.25" hidden="1" x14ac:dyDescent="0.25">
      <c r="A262" s="13" t="s">
        <v>1178</v>
      </c>
      <c r="B262" s="14" t="s">
        <v>1214</v>
      </c>
      <c r="C262" s="86" t="s">
        <v>408</v>
      </c>
      <c r="D262" s="120">
        <f>(IF(D$253&lt;=D$254,D$258,IF(D$253&gt;D$255,D$261,D$260)))</f>
        <v>2472.2031356284692</v>
      </c>
      <c r="E262" s="120">
        <f>(IF(E$253&lt;=E$254,E$258,IF(E$253&gt;E$255,E$261,E$260)))</f>
        <v>2472.2031356284692</v>
      </c>
      <c r="F262" s="120" t="e">
        <f>(IF(F$253&lt;=F$254,F$258,IF(F$253&gt;F$255,F$261,F$260)))</f>
        <v>#DIV/0!</v>
      </c>
      <c r="G262" s="120" t="e">
        <f>(IF(G$253&lt;=G$254,G$258,IF(G$253&gt;G$255,G$261,G$260)))</f>
        <v>#DIV/0!</v>
      </c>
      <c r="H262" s="120" t="e">
        <f>(IF(H$253&lt;=H$254,H$258,IF(H$253&gt;H$255,H$261,H$260)))</f>
        <v>#DIV/0!</v>
      </c>
    </row>
    <row r="263" spans="1:8" hidden="1" x14ac:dyDescent="0.2">
      <c r="A263" s="118" t="s">
        <v>1207</v>
      </c>
      <c r="D263" s="10"/>
      <c r="E263" s="10"/>
      <c r="F263" s="10"/>
      <c r="G263" s="10"/>
      <c r="H263" s="10"/>
    </row>
    <row r="264" spans="1:8" ht="14.25" hidden="1" x14ac:dyDescent="0.25">
      <c r="A264" s="5" t="s">
        <v>1182</v>
      </c>
      <c r="B264" s="2" t="s">
        <v>925</v>
      </c>
      <c r="D264" s="10">
        <f>IF(4/SQRT(D$202)&gt;0.76,0.76,IF(4/SQRT(D$202)&lt;0.35,0.35,4/SQRT(D$202)))</f>
        <v>0.69006555934235414</v>
      </c>
      <c r="E264" s="10">
        <f>IF(4/SQRT(E$202)&gt;0.76,0.76,IF(4/SQRT(E$202)&lt;0.35,0.35,4/SQRT(E$202)))</f>
        <v>0.69006555934235414</v>
      </c>
      <c r="F264" s="10">
        <f>IF(4/SQRT(F$202)&gt;0.76,0.76,IF(4/SQRT(F$202)&lt;0.35,0.35,4/SQRT(F$202)))</f>
        <v>0.7315169559594551</v>
      </c>
      <c r="G264" s="10">
        <f>IF(4/SQRT(G$202)&gt;0.76,0.76,IF(4/SQRT(G$202)&lt;0.35,0.35,4/SQRT(G$202)))</f>
        <v>0.7315169559594551</v>
      </c>
      <c r="H264" s="10">
        <f>IF(4/SQRT(H$202)&gt;0.76,0.76,IF(4/SQRT(H$202)&lt;0.35,0.35,4/SQRT(H$202)))</f>
        <v>0.7315169559594551</v>
      </c>
    </row>
    <row r="265" spans="1:8" hidden="1" x14ac:dyDescent="0.2">
      <c r="A265" s="119" t="s">
        <v>1877</v>
      </c>
      <c r="B265" s="4"/>
      <c r="C265" s="4"/>
      <c r="D265" s="4"/>
      <c r="E265" s="4"/>
      <c r="F265" s="4"/>
      <c r="G265" s="4"/>
      <c r="H265" s="4"/>
    </row>
    <row r="266" spans="1:8" hidden="1" x14ac:dyDescent="0.2">
      <c r="A266" s="13" t="s">
        <v>1211</v>
      </c>
      <c r="B266" s="4"/>
      <c r="C266" s="4"/>
      <c r="D266" s="4"/>
      <c r="E266" s="4"/>
      <c r="F266" s="4"/>
      <c r="G266" s="4"/>
      <c r="H266" s="4"/>
    </row>
    <row r="267" spans="1:8" hidden="1" x14ac:dyDescent="0.2">
      <c r="A267" s="119" t="s">
        <v>1209</v>
      </c>
      <c r="B267" s="4"/>
      <c r="C267" s="4"/>
      <c r="D267" s="4"/>
      <c r="E267" s="4"/>
      <c r="F267" s="4"/>
      <c r="G267" s="4"/>
      <c r="H267" s="4"/>
    </row>
    <row r="268" spans="1:8" ht="14.25" hidden="1" x14ac:dyDescent="0.25">
      <c r="A268" s="13" t="s">
        <v>1183</v>
      </c>
      <c r="B268" s="2" t="s">
        <v>922</v>
      </c>
      <c r="C268" s="3" t="s">
        <v>408</v>
      </c>
      <c r="D268" s="10">
        <f t="shared" ref="D268:H268" si="158">D$258-(D$258-(0.7*D$11*D$187))*((D$201-D$205)/(D$206-D$205))</f>
        <v>2946.9246863382432</v>
      </c>
      <c r="E268" s="10">
        <f t="shared" si="158"/>
        <v>2946.9246863382432</v>
      </c>
      <c r="F268" s="10" t="e">
        <f t="shared" si="158"/>
        <v>#DIV/0!</v>
      </c>
      <c r="G268" s="10" t="e">
        <f t="shared" si="158"/>
        <v>#DIV/0!</v>
      </c>
      <c r="H268" s="10" t="e">
        <f t="shared" si="158"/>
        <v>#DIV/0!</v>
      </c>
    </row>
    <row r="269" spans="1:8" ht="14.25" hidden="1" x14ac:dyDescent="0.25">
      <c r="A269" s="13" t="s">
        <v>1184</v>
      </c>
      <c r="B269" s="2" t="s">
        <v>923</v>
      </c>
      <c r="C269" s="3" t="s">
        <v>408</v>
      </c>
      <c r="D269" s="10">
        <f t="shared" ref="D269:H269" si="159">(0.9*29000*D$264*D$187)/D$201^2</f>
        <v>15363.708246415617</v>
      </c>
      <c r="E269" s="10">
        <f t="shared" si="159"/>
        <v>15363.708246415617</v>
      </c>
      <c r="F269" s="10">
        <f t="shared" si="159"/>
        <v>4591.7077135909967</v>
      </c>
      <c r="G269" s="10">
        <f t="shared" si="159"/>
        <v>4591.7077135909967</v>
      </c>
      <c r="H269" s="10">
        <f t="shared" si="159"/>
        <v>4591.7077135909967</v>
      </c>
    </row>
    <row r="270" spans="1:8" ht="14.25" hidden="1" x14ac:dyDescent="0.25">
      <c r="A270" s="13" t="s">
        <v>1185</v>
      </c>
      <c r="B270" s="14" t="s">
        <v>1213</v>
      </c>
      <c r="C270" s="86" t="s">
        <v>408</v>
      </c>
      <c r="D270" s="120">
        <f t="shared" ref="D270:H270" si="160">IF(D$213="Noncompact",D$268,IF(D$213="Slender",D$269,D$262))</f>
        <v>2472.2031356284692</v>
      </c>
      <c r="E270" s="120">
        <f t="shared" si="160"/>
        <v>2472.2031356284692</v>
      </c>
      <c r="F270" s="120" t="e">
        <f t="shared" si="160"/>
        <v>#DIV/0!</v>
      </c>
      <c r="G270" s="120" t="e">
        <f t="shared" si="160"/>
        <v>#DIV/0!</v>
      </c>
      <c r="H270" s="120" t="e">
        <f t="shared" si="160"/>
        <v>#DIV/0!</v>
      </c>
    </row>
    <row r="271" spans="1:8" hidden="1" x14ac:dyDescent="0.2">
      <c r="A271" s="118" t="s">
        <v>1210</v>
      </c>
      <c r="D271" s="10"/>
      <c r="E271" s="10"/>
      <c r="F271" s="10"/>
      <c r="G271" s="10"/>
      <c r="H271" s="10"/>
    </row>
    <row r="272" spans="1:8" ht="14.25" hidden="1" x14ac:dyDescent="0.25">
      <c r="A272" s="121" t="s">
        <v>1186</v>
      </c>
      <c r="B272" s="39" t="s">
        <v>1212</v>
      </c>
      <c r="C272" s="122" t="s">
        <v>406</v>
      </c>
      <c r="D272" s="123">
        <f t="shared" ref="D272:H272" si="161">MIN(D$262,D$270)/12</f>
        <v>206.0169279690391</v>
      </c>
      <c r="E272" s="123">
        <f t="shared" si="161"/>
        <v>206.0169279690391</v>
      </c>
      <c r="F272" s="123" t="e">
        <f t="shared" si="161"/>
        <v>#DIV/0!</v>
      </c>
      <c r="G272" s="123" t="e">
        <f t="shared" si="161"/>
        <v>#DIV/0!</v>
      </c>
      <c r="H272" s="123" t="e">
        <f t="shared" si="161"/>
        <v>#DIV/0!</v>
      </c>
    </row>
    <row r="273" spans="1:8" hidden="1" x14ac:dyDescent="0.2"/>
    <row r="274" spans="1:8" x14ac:dyDescent="0.2">
      <c r="A274" s="5" t="s">
        <v>1157</v>
      </c>
      <c r="B274" s="2" t="str">
        <f>IF(D$7="ASD","Mn-y/Ω",IF(D$7="LRFD","φMn-y"))</f>
        <v>φMn-y</v>
      </c>
      <c r="C274" s="3" t="s">
        <v>406</v>
      </c>
      <c r="D274" s="24">
        <f t="shared" ref="D274:H274" si="162">IF(D$7="ASD",D$278/1.67,IF(D$7="LRFD",0.9*D$278))</f>
        <v>63</v>
      </c>
      <c r="E274" s="24">
        <f t="shared" si="162"/>
        <v>41.91616766467066</v>
      </c>
      <c r="F274" s="24" t="e">
        <f t="shared" si="162"/>
        <v>#DIV/0!</v>
      </c>
      <c r="G274" s="24" t="e">
        <f t="shared" si="162"/>
        <v>#DIV/0!</v>
      </c>
      <c r="H274" s="24" t="e">
        <f t="shared" si="162"/>
        <v>#DIV/0!</v>
      </c>
    </row>
    <row r="275" spans="1:8" ht="14.25" hidden="1" x14ac:dyDescent="0.25">
      <c r="A275" s="5" t="s">
        <v>1173</v>
      </c>
      <c r="B275" s="2" t="s">
        <v>921</v>
      </c>
      <c r="C275" s="3" t="s">
        <v>408</v>
      </c>
      <c r="D275" s="10">
        <f t="shared" ref="D275:H275" si="163">MIN(D$11*D$190,1.6*D$11*D$191)</f>
        <v>840</v>
      </c>
      <c r="E275" s="10">
        <f t="shared" si="163"/>
        <v>840</v>
      </c>
      <c r="F275" s="10">
        <f t="shared" si="163"/>
        <v>0</v>
      </c>
      <c r="G275" s="10">
        <f t="shared" si="163"/>
        <v>0</v>
      </c>
      <c r="H275" s="10">
        <f t="shared" si="163"/>
        <v>0</v>
      </c>
    </row>
    <row r="276" spans="1:8" ht="14.25" hidden="1" x14ac:dyDescent="0.25">
      <c r="A276" s="5" t="s">
        <v>1175</v>
      </c>
      <c r="B276" s="2" t="s">
        <v>922</v>
      </c>
      <c r="C276" s="3" t="s">
        <v>408</v>
      </c>
      <c r="D276" s="10">
        <f t="shared" ref="D276:H276" si="164">D$275-(D$275-0.7*D$11*D$191)*(D$201-D$205)/(D$206-D$205)</f>
        <v>882.10093774119389</v>
      </c>
      <c r="E276" s="10">
        <f t="shared" si="164"/>
        <v>882.10093774119389</v>
      </c>
      <c r="F276" s="10" t="e">
        <f t="shared" si="164"/>
        <v>#DIV/0!</v>
      </c>
      <c r="G276" s="10" t="e">
        <f t="shared" si="164"/>
        <v>#DIV/0!</v>
      </c>
      <c r="H276" s="10" t="e">
        <f t="shared" si="164"/>
        <v>#DIV/0!</v>
      </c>
    </row>
    <row r="277" spans="1:8" ht="14.25" hidden="1" x14ac:dyDescent="0.25">
      <c r="A277" s="5" t="s">
        <v>1174</v>
      </c>
      <c r="B277" s="2" t="s">
        <v>923</v>
      </c>
      <c r="C277" s="3" t="s">
        <v>408</v>
      </c>
      <c r="D277" s="10">
        <f t="shared" ref="D277:H277" si="165">((0.69*29000)/D$201^2)*D$191</f>
        <v>3645.8410975785496</v>
      </c>
      <c r="E277" s="10">
        <f t="shared" si="165"/>
        <v>3645.8410975785496</v>
      </c>
      <c r="F277" s="10">
        <f t="shared" si="165"/>
        <v>962.46825679363951</v>
      </c>
      <c r="G277" s="10">
        <f t="shared" si="165"/>
        <v>962.46825679363951</v>
      </c>
      <c r="H277" s="10">
        <f t="shared" si="165"/>
        <v>962.46825679363951</v>
      </c>
    </row>
    <row r="278" spans="1:8" ht="14.25" hidden="1" x14ac:dyDescent="0.25">
      <c r="A278" s="5" t="s">
        <v>424</v>
      </c>
      <c r="B278" s="2" t="s">
        <v>927</v>
      </c>
      <c r="C278" s="3" t="s">
        <v>406</v>
      </c>
      <c r="D278" s="6">
        <f t="shared" ref="D278:H278" si="166">IF(D$213="Compact",D$275,IF(D$213="Noncompact",D$276,IF(D$213="Slender",D$277,"")))/12</f>
        <v>70</v>
      </c>
      <c r="E278" s="6">
        <f t="shared" si="166"/>
        <v>70</v>
      </c>
      <c r="F278" s="6" t="e">
        <f t="shared" si="166"/>
        <v>#DIV/0!</v>
      </c>
      <c r="G278" s="6" t="e">
        <f t="shared" si="166"/>
        <v>#DIV/0!</v>
      </c>
      <c r="H278" s="6" t="e">
        <f t="shared" si="166"/>
        <v>#DIV/0!</v>
      </c>
    </row>
    <row r="279" spans="1:8" hidden="1" x14ac:dyDescent="0.2"/>
    <row r="280" spans="1:8" x14ac:dyDescent="0.2">
      <c r="A280" s="5" t="s">
        <v>1778</v>
      </c>
      <c r="B280" s="2" t="str">
        <f>IF(D$7="ASD","Pn-c/Ω",IF(D$7="LRFD","φPn-c"))</f>
        <v>φPn-c</v>
      </c>
      <c r="C280" s="3" t="s">
        <v>419</v>
      </c>
      <c r="D280" s="24">
        <f t="shared" ref="D280:H280" si="167">IF(D$7="ASD",D$332/1.67,IF(D$7="LRFD",0.9*D$332))</f>
        <v>351.91971646925754</v>
      </c>
      <c r="E280" s="24">
        <f t="shared" si="167"/>
        <v>234.14485460363107</v>
      </c>
      <c r="F280" s="24" t="e">
        <f t="shared" si="167"/>
        <v>#DIV/0!</v>
      </c>
      <c r="G280" s="24" t="e">
        <f t="shared" si="167"/>
        <v>#DIV/0!</v>
      </c>
      <c r="H280" s="24" t="e">
        <f t="shared" si="167"/>
        <v>#DIV/0!</v>
      </c>
    </row>
    <row r="281" spans="1:8" hidden="1" x14ac:dyDescent="0.2">
      <c r="A281" s="118" t="s">
        <v>1626</v>
      </c>
    </row>
    <row r="282" spans="1:8" ht="14.25" hidden="1" x14ac:dyDescent="0.25">
      <c r="A282" s="5" t="s">
        <v>427</v>
      </c>
      <c r="B282" s="2" t="s">
        <v>928</v>
      </c>
      <c r="D282" s="10">
        <f t="shared" ref="D282:H282" si="168">D$19*D$16*12/D$188</f>
        <v>56.140350877192986</v>
      </c>
      <c r="E282" s="10">
        <f t="shared" si="168"/>
        <v>56.140350877192986</v>
      </c>
      <c r="F282" s="10">
        <f t="shared" si="168"/>
        <v>0</v>
      </c>
      <c r="G282" s="10">
        <f t="shared" si="168"/>
        <v>0</v>
      </c>
      <c r="H282" s="10">
        <f t="shared" si="168"/>
        <v>0</v>
      </c>
    </row>
    <row r="283" spans="1:8" ht="14.25" hidden="1" x14ac:dyDescent="0.25">
      <c r="A283" s="5" t="s">
        <v>426</v>
      </c>
      <c r="B283" s="2" t="s">
        <v>929</v>
      </c>
      <c r="D283" s="10">
        <f t="shared" ref="D283:H283" si="169">D$19*D$17*12/D$192</f>
        <v>74.226804123711347</v>
      </c>
      <c r="E283" s="10">
        <f t="shared" si="169"/>
        <v>74.226804123711347</v>
      </c>
      <c r="F283" s="10">
        <f t="shared" si="169"/>
        <v>0</v>
      </c>
      <c r="G283" s="10">
        <f t="shared" si="169"/>
        <v>0</v>
      </c>
      <c r="H283" s="10">
        <f t="shared" si="169"/>
        <v>0</v>
      </c>
    </row>
    <row r="284" spans="1:8" ht="14.25" hidden="1" x14ac:dyDescent="0.25">
      <c r="A284" s="5" t="s">
        <v>1170</v>
      </c>
      <c r="B284" s="2" t="s">
        <v>930</v>
      </c>
      <c r="C284" s="3" t="s">
        <v>405</v>
      </c>
      <c r="D284" s="10">
        <f t="shared" ref="D284:H284" si="170">(PI()^2*29000)/MAX(D$282,D$283)^2</f>
        <v>51.948883612763169</v>
      </c>
      <c r="E284" s="10">
        <f t="shared" si="170"/>
        <v>51.948883612763169</v>
      </c>
      <c r="F284" s="10" t="e">
        <f t="shared" si="170"/>
        <v>#DIV/0!</v>
      </c>
      <c r="G284" s="10" t="e">
        <f t="shared" si="170"/>
        <v>#DIV/0!</v>
      </c>
      <c r="H284" s="10" t="e">
        <f t="shared" si="170"/>
        <v>#DIV/0!</v>
      </c>
    </row>
    <row r="285" spans="1:8" ht="14.25" hidden="1" x14ac:dyDescent="0.25">
      <c r="A285" s="5" t="s">
        <v>1171</v>
      </c>
      <c r="B285" s="2" t="s">
        <v>931</v>
      </c>
      <c r="C285" s="3" t="s">
        <v>405</v>
      </c>
      <c r="D285" s="10">
        <f t="shared" ref="D285:H285" si="171">IF(D$11/D$284&lt;=2.25,(0.658^(D$11/D$284))*D$11,0.877*D$284)</f>
        <v>33.420675828039649</v>
      </c>
      <c r="E285" s="10">
        <f t="shared" si="171"/>
        <v>33.420675828039649</v>
      </c>
      <c r="F285" s="10" t="e">
        <f t="shared" si="171"/>
        <v>#DIV/0!</v>
      </c>
      <c r="G285" s="10" t="e">
        <f t="shared" si="171"/>
        <v>#DIV/0!</v>
      </c>
      <c r="H285" s="10" t="e">
        <f t="shared" si="171"/>
        <v>#DIV/0!</v>
      </c>
    </row>
    <row r="286" spans="1:8" ht="14.25" hidden="1" x14ac:dyDescent="0.25">
      <c r="A286" s="5" t="s">
        <v>1172</v>
      </c>
      <c r="B286" s="2" t="s">
        <v>932</v>
      </c>
      <c r="C286" s="3" t="s">
        <v>419</v>
      </c>
      <c r="D286" s="6">
        <f t="shared" ref="D286:H286" si="172">D$285*D$179</f>
        <v>391.02190718806389</v>
      </c>
      <c r="E286" s="6">
        <f t="shared" si="172"/>
        <v>391.02190718806389</v>
      </c>
      <c r="F286" s="6" t="e">
        <f t="shared" si="172"/>
        <v>#DIV/0!</v>
      </c>
      <c r="G286" s="6" t="e">
        <f t="shared" si="172"/>
        <v>#DIV/0!</v>
      </c>
      <c r="H286" s="6" t="e">
        <f t="shared" si="172"/>
        <v>#DIV/0!</v>
      </c>
    </row>
    <row r="287" spans="1:8" hidden="1" x14ac:dyDescent="0.2">
      <c r="A287" s="118" t="s">
        <v>1627</v>
      </c>
    </row>
    <row r="288" spans="1:8" ht="15.75" hidden="1" x14ac:dyDescent="0.25">
      <c r="A288" s="5" t="s">
        <v>1600</v>
      </c>
      <c r="B288" s="2" t="s">
        <v>1679</v>
      </c>
      <c r="C288" s="3" t="s">
        <v>900</v>
      </c>
      <c r="D288" s="10">
        <f t="shared" ref="D288:E288" si="173">IF(D$178="C",D$198,IF(D$178="MC",D$198,(D185+D189)/D179))</f>
        <v>30.008547008547012</v>
      </c>
      <c r="E288" s="10">
        <f t="shared" si="173"/>
        <v>30.008547008547012</v>
      </c>
      <c r="F288" s="10">
        <f t="shared" ref="F288:G288" si="174">IF(F$178="C",F$198,IF(F$178="MC",F$198,(F185+F189)/F179))</f>
        <v>13.283269961977188</v>
      </c>
      <c r="G288" s="10">
        <f t="shared" si="174"/>
        <v>13.283269961977188</v>
      </c>
      <c r="H288" s="10">
        <f t="shared" ref="H288" si="175">IF(H$178="C",H$198,IF(H$178="MC",H$198,(H185+H189)/H179))</f>
        <v>13.283269961977188</v>
      </c>
    </row>
    <row r="289" spans="1:8" hidden="1" x14ac:dyDescent="0.2">
      <c r="A289" s="5" t="s">
        <v>1680</v>
      </c>
      <c r="B289" s="2" t="s">
        <v>1311</v>
      </c>
      <c r="D289" s="10">
        <f t="shared" ref="D289:H289" si="176">IF(D$178="C",D$199,IF(D$178="MC",D$199,1))</f>
        <v>1</v>
      </c>
      <c r="E289" s="10">
        <f t="shared" si="176"/>
        <v>1</v>
      </c>
      <c r="F289" s="10">
        <f t="shared" si="176"/>
        <v>1</v>
      </c>
      <c r="G289" s="10">
        <f t="shared" si="176"/>
        <v>1</v>
      </c>
      <c r="H289" s="10">
        <f t="shared" si="176"/>
        <v>1</v>
      </c>
    </row>
    <row r="290" spans="1:8" ht="14.25" hidden="1" x14ac:dyDescent="0.25">
      <c r="A290" s="5" t="s">
        <v>1639</v>
      </c>
      <c r="D290" s="10">
        <f t="shared" ref="D290:H290" si="177">(((29000*D$194*PI()^2)/(12*D$19*D$18)^2)+(11200*D$193))</f>
        <v>30023.486641082734</v>
      </c>
      <c r="E290" s="10">
        <f t="shared" si="177"/>
        <v>30023.486641082734</v>
      </c>
      <c r="F290" s="10" t="e">
        <f t="shared" si="177"/>
        <v>#DIV/0!</v>
      </c>
      <c r="G290" s="10" t="e">
        <f t="shared" si="177"/>
        <v>#DIV/0!</v>
      </c>
      <c r="H290" s="10" t="e">
        <f t="shared" si="177"/>
        <v>#DIV/0!</v>
      </c>
    </row>
    <row r="291" spans="1:8" ht="14.25" hidden="1" x14ac:dyDescent="0.25">
      <c r="A291" s="5" t="s">
        <v>1640</v>
      </c>
      <c r="B291" s="2" t="s">
        <v>1621</v>
      </c>
      <c r="C291" s="3" t="s">
        <v>405</v>
      </c>
      <c r="D291" s="10">
        <f t="shared" ref="D291:H291" si="178">(29000*PI()^2)/(D$282^2)</f>
        <v>90.812890261234401</v>
      </c>
      <c r="E291" s="10">
        <f t="shared" si="178"/>
        <v>90.812890261234401</v>
      </c>
      <c r="F291" s="10" t="e">
        <f t="shared" si="178"/>
        <v>#DIV/0!</v>
      </c>
      <c r="G291" s="10" t="e">
        <f t="shared" si="178"/>
        <v>#DIV/0!</v>
      </c>
      <c r="H291" s="10" t="e">
        <f t="shared" si="178"/>
        <v>#DIV/0!</v>
      </c>
    </row>
    <row r="292" spans="1:8" ht="14.25" hidden="1" x14ac:dyDescent="0.25">
      <c r="A292" s="5" t="s">
        <v>1641</v>
      </c>
      <c r="B292" s="2" t="s">
        <v>1623</v>
      </c>
      <c r="C292" s="3" t="s">
        <v>405</v>
      </c>
      <c r="D292" s="10">
        <f t="shared" ref="D292:H292" si="179">(29000*PI()^2)/(D$283^2)</f>
        <v>51.948883612763169</v>
      </c>
      <c r="E292" s="10">
        <f t="shared" si="179"/>
        <v>51.948883612763169</v>
      </c>
      <c r="F292" s="10" t="e">
        <f t="shared" si="179"/>
        <v>#DIV/0!</v>
      </c>
      <c r="G292" s="10" t="e">
        <f t="shared" si="179"/>
        <v>#DIV/0!</v>
      </c>
      <c r="H292" s="10" t="e">
        <f t="shared" si="179"/>
        <v>#DIV/0!</v>
      </c>
    </row>
    <row r="293" spans="1:8" ht="14.25" hidden="1" x14ac:dyDescent="0.25">
      <c r="A293" s="5" t="s">
        <v>1642</v>
      </c>
      <c r="B293" s="2" t="s">
        <v>1622</v>
      </c>
      <c r="C293" s="3" t="s">
        <v>405</v>
      </c>
      <c r="D293" s="10">
        <f t="shared" ref="D293:H293" si="180">D$290*(1/(D$179*D$288))</f>
        <v>85.512636402969903</v>
      </c>
      <c r="E293" s="10">
        <f t="shared" si="180"/>
        <v>85.512636402969903</v>
      </c>
      <c r="F293" s="10" t="e">
        <f t="shared" si="180"/>
        <v>#DIV/0!</v>
      </c>
      <c r="G293" s="10" t="e">
        <f t="shared" si="180"/>
        <v>#DIV/0!</v>
      </c>
      <c r="H293" s="10" t="e">
        <f t="shared" si="180"/>
        <v>#DIV/0!</v>
      </c>
    </row>
    <row r="294" spans="1:8" ht="14.25" hidden="1" x14ac:dyDescent="0.25">
      <c r="A294" s="5" t="s">
        <v>1635</v>
      </c>
      <c r="B294" s="2" t="s">
        <v>1624</v>
      </c>
      <c r="C294" s="3" t="s">
        <v>405</v>
      </c>
      <c r="D294" s="10">
        <f t="shared" ref="D294:H294" si="181">D$290*(1/(D$185+D$189))</f>
        <v>85.512636402969903</v>
      </c>
      <c r="E294" s="10">
        <f t="shared" si="181"/>
        <v>85.512636402969903</v>
      </c>
      <c r="F294" s="10" t="e">
        <f t="shared" si="181"/>
        <v>#DIV/0!</v>
      </c>
      <c r="G294" s="10" t="e">
        <f t="shared" si="181"/>
        <v>#DIV/0!</v>
      </c>
      <c r="H294" s="10" t="e">
        <f t="shared" si="181"/>
        <v>#DIV/0!</v>
      </c>
    </row>
    <row r="295" spans="1:8" ht="14.25" hidden="1" x14ac:dyDescent="0.25">
      <c r="A295" s="5" t="s">
        <v>1657</v>
      </c>
      <c r="B295" s="2" t="s">
        <v>1655</v>
      </c>
      <c r="C295" s="3" t="s">
        <v>405</v>
      </c>
      <c r="D295" s="10">
        <f t="shared" ref="D295:H295" si="182">((D$292+D$293)/(2*D$289))*(1-SQRT(1-((4*D$292*D$293*D$289)/(D$292+D$293)^2)))</f>
        <v>51.948883612763176</v>
      </c>
      <c r="E295" s="10">
        <f t="shared" si="182"/>
        <v>51.948883612763176</v>
      </c>
      <c r="F295" s="10" t="e">
        <f t="shared" si="182"/>
        <v>#DIV/0!</v>
      </c>
      <c r="G295" s="10" t="e">
        <f t="shared" si="182"/>
        <v>#DIV/0!</v>
      </c>
      <c r="H295" s="10" t="e">
        <f t="shared" si="182"/>
        <v>#DIV/0!</v>
      </c>
    </row>
    <row r="296" spans="1:8" ht="14.25" hidden="1" x14ac:dyDescent="0.25">
      <c r="A296" s="5" t="s">
        <v>1658</v>
      </c>
      <c r="B296" s="2" t="s">
        <v>1654</v>
      </c>
      <c r="C296" s="3" t="s">
        <v>405</v>
      </c>
      <c r="D296" s="10">
        <f t="shared" ref="D296:H296" si="183">((D$291+D$293)/(2*D$289))*(1-SQRT(1-((4*D$291*D$293*D$289)/(D$291+D$293)^2)))</f>
        <v>85.512636402970287</v>
      </c>
      <c r="E296" s="10">
        <f t="shared" si="183"/>
        <v>85.512636402970287</v>
      </c>
      <c r="F296" s="10" t="e">
        <f t="shared" si="183"/>
        <v>#DIV/0!</v>
      </c>
      <c r="G296" s="10" t="e">
        <f t="shared" si="183"/>
        <v>#DIV/0!</v>
      </c>
      <c r="H296" s="10" t="e">
        <f t="shared" si="183"/>
        <v>#DIV/0!</v>
      </c>
    </row>
    <row r="297" spans="1:8" ht="14.25" hidden="1" x14ac:dyDescent="0.25">
      <c r="A297" s="5" t="s">
        <v>1656</v>
      </c>
      <c r="B297" s="2" t="s">
        <v>1625</v>
      </c>
      <c r="C297" s="3" t="s">
        <v>405</v>
      </c>
      <c r="D297" s="10">
        <f>IF(D$178="C",D296,IF(D$178="MC",D296,D295))</f>
        <v>51.948883612763176</v>
      </c>
      <c r="E297" s="10">
        <f>IF(E$178="C",E296,IF(E$178="MC",E296,E295))</f>
        <v>51.948883612763176</v>
      </c>
      <c r="F297" s="10" t="e">
        <f>IF(F$178="C",F296,IF(F$178="MC",F296,F295))</f>
        <v>#DIV/0!</v>
      </c>
      <c r="G297" s="10" t="e">
        <f>IF(G$178="C",G296,IF(G$178="MC",G296,G295))</f>
        <v>#DIV/0!</v>
      </c>
      <c r="H297" s="10" t="e">
        <f>IF(H$178="C",H296,IF(H$178="MC",H296,H295))</f>
        <v>#DIV/0!</v>
      </c>
    </row>
    <row r="298" spans="1:8" ht="14.25" hidden="1" x14ac:dyDescent="0.25">
      <c r="A298" s="5" t="s">
        <v>1638</v>
      </c>
      <c r="B298" s="2" t="s">
        <v>1148</v>
      </c>
      <c r="C298" s="3" t="s">
        <v>405</v>
      </c>
      <c r="D298" s="10">
        <f t="shared" ref="D298:H298" si="184">IF(D$11/D$294&lt;=2.25,(0.658^(D$11/D$294))*D$11,0.877*D$294)</f>
        <v>39.145790328979317</v>
      </c>
      <c r="E298" s="10">
        <f t="shared" si="184"/>
        <v>39.145790328979317</v>
      </c>
      <c r="F298" s="10" t="e">
        <f t="shared" si="184"/>
        <v>#DIV/0!</v>
      </c>
      <c r="G298" s="10" t="e">
        <f t="shared" si="184"/>
        <v>#DIV/0!</v>
      </c>
      <c r="H298" s="10" t="e">
        <f t="shared" si="184"/>
        <v>#DIV/0!</v>
      </c>
    </row>
    <row r="299" spans="1:8" ht="14.25" hidden="1" x14ac:dyDescent="0.25">
      <c r="A299" s="5" t="s">
        <v>1653</v>
      </c>
      <c r="B299" s="2" t="s">
        <v>1149</v>
      </c>
      <c r="C299" s="3" t="s">
        <v>405</v>
      </c>
      <c r="D299" s="10">
        <f t="shared" ref="D299:H299" si="185">IF(D$11/D$297&lt;=2.25,(0.658^(D$11/D$297))*D$11,0.877*D$297)</f>
        <v>33.420675828039649</v>
      </c>
      <c r="E299" s="10">
        <f t="shared" si="185"/>
        <v>33.420675828039649</v>
      </c>
      <c r="F299" s="10" t="e">
        <f t="shared" si="185"/>
        <v>#DIV/0!</v>
      </c>
      <c r="G299" s="10" t="e">
        <f t="shared" si="185"/>
        <v>#DIV/0!</v>
      </c>
      <c r="H299" s="10" t="e">
        <f t="shared" si="185"/>
        <v>#DIV/0!</v>
      </c>
    </row>
    <row r="300" spans="1:8" ht="14.25" hidden="1" x14ac:dyDescent="0.25">
      <c r="A300" s="5" t="s">
        <v>1637</v>
      </c>
      <c r="B300" s="2" t="s">
        <v>1629</v>
      </c>
      <c r="C300" s="3" t="s">
        <v>419</v>
      </c>
      <c r="D300" s="10">
        <f t="shared" ref="D300:H300" si="186">D$298*D$179</f>
        <v>458.00574684905797</v>
      </c>
      <c r="E300" s="10">
        <f t="shared" si="186"/>
        <v>458.00574684905797</v>
      </c>
      <c r="F300" s="10" t="e">
        <f t="shared" si="186"/>
        <v>#DIV/0!</v>
      </c>
      <c r="G300" s="10" t="e">
        <f t="shared" si="186"/>
        <v>#DIV/0!</v>
      </c>
      <c r="H300" s="10" t="e">
        <f t="shared" si="186"/>
        <v>#DIV/0!</v>
      </c>
    </row>
    <row r="301" spans="1:8" ht="14.25" hidden="1" x14ac:dyDescent="0.25">
      <c r="A301" s="5" t="s">
        <v>1636</v>
      </c>
      <c r="B301" s="2" t="s">
        <v>1630</v>
      </c>
      <c r="C301" s="3" t="s">
        <v>419</v>
      </c>
      <c r="D301" s="10">
        <f t="shared" ref="D301:H301" si="187">D$299*D$179</f>
        <v>391.02190718806389</v>
      </c>
      <c r="E301" s="10">
        <f t="shared" si="187"/>
        <v>391.02190718806389</v>
      </c>
      <c r="F301" s="10" t="e">
        <f t="shared" si="187"/>
        <v>#DIV/0!</v>
      </c>
      <c r="G301" s="10" t="e">
        <f t="shared" si="187"/>
        <v>#DIV/0!</v>
      </c>
      <c r="H301" s="10" t="e">
        <f t="shared" si="187"/>
        <v>#DIV/0!</v>
      </c>
    </row>
    <row r="302" spans="1:8" ht="14.25" hidden="1" x14ac:dyDescent="0.25">
      <c r="A302" s="5" t="s">
        <v>1634</v>
      </c>
      <c r="B302" s="2" t="s">
        <v>932</v>
      </c>
      <c r="C302" s="3" t="s">
        <v>419</v>
      </c>
      <c r="D302" s="6">
        <f t="shared" ref="D302:E302" si="188">MIN(D300,D301)</f>
        <v>391.02190718806389</v>
      </c>
      <c r="E302" s="6">
        <f t="shared" si="188"/>
        <v>391.02190718806389</v>
      </c>
      <c r="F302" s="6" t="e">
        <f t="shared" ref="F302:G302" si="189">MIN(F300,F301)</f>
        <v>#DIV/0!</v>
      </c>
      <c r="G302" s="6" t="e">
        <f t="shared" si="189"/>
        <v>#DIV/0!</v>
      </c>
      <c r="H302" s="6" t="e">
        <f t="shared" ref="H302" si="190">MIN(H300,H301)</f>
        <v>#DIV/0!</v>
      </c>
    </row>
    <row r="303" spans="1:8" hidden="1" x14ac:dyDescent="0.2">
      <c r="A303" s="118" t="s">
        <v>1628</v>
      </c>
      <c r="D303" s="10"/>
      <c r="E303" s="10"/>
      <c r="F303" s="10"/>
      <c r="G303" s="10"/>
      <c r="H303" s="10"/>
    </row>
    <row r="304" spans="1:8" hidden="1" x14ac:dyDescent="0.2">
      <c r="A304" s="119" t="s">
        <v>1672</v>
      </c>
    </row>
    <row r="305" spans="1:8" ht="14.25" hidden="1" x14ac:dyDescent="0.25">
      <c r="A305" s="5" t="s">
        <v>1672</v>
      </c>
      <c r="B305" s="2" t="s">
        <v>931</v>
      </c>
      <c r="C305" s="3" t="s">
        <v>405</v>
      </c>
      <c r="D305" s="10">
        <f t="shared" ref="D305:E305" si="191">MIN(D285,D298,D299)</f>
        <v>33.420675828039649</v>
      </c>
      <c r="E305" s="10">
        <f t="shared" si="191"/>
        <v>33.420675828039649</v>
      </c>
      <c r="F305" s="10" t="e">
        <f t="shared" ref="F305:G305" si="192">MIN(F285,F298,F299)</f>
        <v>#DIV/0!</v>
      </c>
      <c r="G305" s="10" t="e">
        <f t="shared" si="192"/>
        <v>#DIV/0!</v>
      </c>
      <c r="H305" s="10" t="e">
        <f t="shared" ref="H305" si="193">MIN(H285,H298,H299)</f>
        <v>#DIV/0!</v>
      </c>
    </row>
    <row r="306" spans="1:8" hidden="1" x14ac:dyDescent="0.2">
      <c r="A306" s="119" t="s">
        <v>1659</v>
      </c>
      <c r="D306" s="10"/>
      <c r="E306" s="10"/>
      <c r="F306" s="10"/>
      <c r="G306" s="10"/>
      <c r="H306" s="10"/>
    </row>
    <row r="307" spans="1:8" ht="14.25" hidden="1" x14ac:dyDescent="0.25">
      <c r="A307" s="5" t="s">
        <v>1662</v>
      </c>
      <c r="B307" s="2" t="s">
        <v>1631</v>
      </c>
      <c r="D307" s="10">
        <v>0.18</v>
      </c>
      <c r="E307" s="10">
        <v>0.18</v>
      </c>
      <c r="F307" s="10">
        <v>0.18</v>
      </c>
      <c r="G307" s="10">
        <v>0.18</v>
      </c>
      <c r="H307" s="10">
        <v>0.18</v>
      </c>
    </row>
    <row r="308" spans="1:8" ht="14.25" hidden="1" x14ac:dyDescent="0.25">
      <c r="A308" s="5" t="s">
        <v>1662</v>
      </c>
      <c r="B308" s="2" t="s">
        <v>1632</v>
      </c>
      <c r="D308" s="10">
        <v>1.31</v>
      </c>
      <c r="E308" s="10">
        <v>1.31</v>
      </c>
      <c r="F308" s="10">
        <v>1.31</v>
      </c>
      <c r="G308" s="10">
        <v>1.31</v>
      </c>
      <c r="H308" s="10">
        <v>1.31</v>
      </c>
    </row>
    <row r="309" spans="1:8" hidden="1" x14ac:dyDescent="0.2">
      <c r="A309" s="5" t="s">
        <v>1663</v>
      </c>
      <c r="B309" s="2" t="s">
        <v>1660</v>
      </c>
      <c r="C309" s="4"/>
      <c r="D309" s="10">
        <f t="shared" ref="D309:E309" si="194">D202</f>
        <v>33.6</v>
      </c>
      <c r="E309" s="10">
        <f t="shared" si="194"/>
        <v>33.6</v>
      </c>
      <c r="F309" s="10">
        <f t="shared" ref="F309:G309" si="195">F202</f>
        <v>29.9</v>
      </c>
      <c r="G309" s="10">
        <f t="shared" si="195"/>
        <v>29.9</v>
      </c>
      <c r="H309" s="10">
        <f t="shared" ref="H309" si="196">H202</f>
        <v>29.9</v>
      </c>
    </row>
    <row r="310" spans="1:8" ht="14.25" hidden="1" x14ac:dyDescent="0.25">
      <c r="A310" s="5" t="s">
        <v>1058</v>
      </c>
      <c r="B310" s="2" t="s">
        <v>1057</v>
      </c>
      <c r="D310" s="10">
        <f t="shared" ref="D310:E310" si="197">D204</f>
        <v>35.883951844801039</v>
      </c>
      <c r="E310" s="10">
        <f t="shared" si="197"/>
        <v>35.883951844801039</v>
      </c>
      <c r="F310" s="10" t="e">
        <f t="shared" ref="F310:G310" si="198">F204</f>
        <v>#DIV/0!</v>
      </c>
      <c r="G310" s="10" t="e">
        <f t="shared" si="198"/>
        <v>#DIV/0!</v>
      </c>
      <c r="H310" s="10" t="e">
        <f t="shared" ref="H310" si="199">H204</f>
        <v>#DIV/0!</v>
      </c>
    </row>
    <row r="311" spans="1:8" ht="14.25" hidden="1" x14ac:dyDescent="0.25">
      <c r="A311" s="5" t="s">
        <v>1661</v>
      </c>
      <c r="B311" s="2" t="s">
        <v>1633</v>
      </c>
      <c r="C311" s="3" t="s">
        <v>405</v>
      </c>
      <c r="D311" s="10">
        <f>D$11*(D308*(D310/D309))^2</f>
        <v>97.866615903132072</v>
      </c>
      <c r="E311" s="10">
        <f>E$11*(E308*(E310/E309))^2</f>
        <v>97.866615903132072</v>
      </c>
      <c r="F311" s="10" t="e">
        <f>F$11*(F308*(F310/F309))^2</f>
        <v>#DIV/0!</v>
      </c>
      <c r="G311" s="10" t="e">
        <f>G$11*(G308*(G310/G309))^2</f>
        <v>#DIV/0!</v>
      </c>
      <c r="H311" s="10" t="e">
        <f>H$11*(H308*(H310/H309))^2</f>
        <v>#DIV/0!</v>
      </c>
    </row>
    <row r="312" spans="1:8" hidden="1" x14ac:dyDescent="0.2">
      <c r="A312" s="5" t="s">
        <v>1665</v>
      </c>
      <c r="D312" s="10">
        <f t="shared" ref="D312:E312" si="200">D310*(SQRT(D$11/D305))</f>
        <v>43.891220076817184</v>
      </c>
      <c r="E312" s="10">
        <f t="shared" si="200"/>
        <v>43.891220076817184</v>
      </c>
      <c r="F312" s="10" t="e">
        <f t="shared" ref="F312:G312" si="201">F310*(SQRT(F$11/F305))</f>
        <v>#DIV/0!</v>
      </c>
      <c r="G312" s="10" t="e">
        <f t="shared" si="201"/>
        <v>#DIV/0!</v>
      </c>
      <c r="H312" s="10" t="e">
        <f t="shared" ref="H312" si="202">H310*(SQRT(H$11/H305))</f>
        <v>#DIV/0!</v>
      </c>
    </row>
    <row r="313" spans="1:8" ht="14.25" hidden="1" x14ac:dyDescent="0.25">
      <c r="A313" s="5" t="s">
        <v>1675</v>
      </c>
      <c r="B313" s="2" t="s">
        <v>943</v>
      </c>
      <c r="C313" s="3" t="s">
        <v>407</v>
      </c>
      <c r="D313" s="10">
        <f t="shared" ref="D313:E313" si="203">D180-2*D183</f>
        <v>10.870000000000001</v>
      </c>
      <c r="E313" s="10">
        <f t="shared" si="203"/>
        <v>10.870000000000001</v>
      </c>
      <c r="F313" s="10">
        <f t="shared" ref="F313:G313" si="204">F180-2*F183</f>
        <v>7.48</v>
      </c>
      <c r="G313" s="10">
        <f t="shared" si="204"/>
        <v>7.48</v>
      </c>
      <c r="H313" s="10">
        <f t="shared" ref="H313" si="205">H180-2*H183</f>
        <v>7.48</v>
      </c>
    </row>
    <row r="314" spans="1:8" ht="14.25" hidden="1" x14ac:dyDescent="0.25">
      <c r="A314" s="5" t="s">
        <v>1676</v>
      </c>
      <c r="B314" s="2" t="s">
        <v>2073</v>
      </c>
      <c r="C314" s="3" t="s">
        <v>407</v>
      </c>
      <c r="D314" s="10">
        <f t="shared" ref="D314:E314" si="206">IF(D309&gt;D312,D313*(1-(D307*SQRT(D311/D305)))*(SQRT(D311/D305)),D313)</f>
        <v>10.870000000000001</v>
      </c>
      <c r="E314" s="10">
        <f t="shared" si="206"/>
        <v>10.870000000000001</v>
      </c>
      <c r="F314" s="10" t="e">
        <f t="shared" ref="F314:G314" si="207">IF(F309&gt;F312,F313*(1-(F307*SQRT(F311/F305)))*(SQRT(F311/F305)),F313)</f>
        <v>#DIV/0!</v>
      </c>
      <c r="G314" s="10" t="e">
        <f t="shared" si="207"/>
        <v>#DIV/0!</v>
      </c>
      <c r="H314" s="10" t="e">
        <f t="shared" ref="H314" si="208">IF(H309&gt;H312,H313*(1-(H307*SQRT(H311/H305)))*(SQRT(H311/H305)),H313)</f>
        <v>#DIV/0!</v>
      </c>
    </row>
    <row r="315" spans="1:8" ht="14.25" hidden="1" x14ac:dyDescent="0.25">
      <c r="A315" s="5" t="s">
        <v>411</v>
      </c>
      <c r="B315" s="2" t="s">
        <v>902</v>
      </c>
      <c r="C315" s="3" t="s">
        <v>407</v>
      </c>
      <c r="D315" s="12">
        <f t="shared" ref="D315:E315" si="209">D182</f>
        <v>0.29499999999999998</v>
      </c>
      <c r="E315" s="12">
        <f t="shared" si="209"/>
        <v>0.29499999999999998</v>
      </c>
      <c r="F315" s="12">
        <f t="shared" ref="F315:G315" si="210">F182</f>
        <v>0.23</v>
      </c>
      <c r="G315" s="12">
        <f t="shared" si="210"/>
        <v>0.23</v>
      </c>
      <c r="H315" s="12">
        <f t="shared" ref="H315" si="211">H182</f>
        <v>0.23</v>
      </c>
    </row>
    <row r="316" spans="1:8" ht="15" hidden="1" x14ac:dyDescent="0.25">
      <c r="A316" s="5" t="s">
        <v>1667</v>
      </c>
      <c r="B316" s="2" t="s">
        <v>1669</v>
      </c>
      <c r="C316" s="3" t="s">
        <v>900</v>
      </c>
      <c r="D316" s="10">
        <f t="shared" ref="D316:E316" si="212">D314*D315</f>
        <v>3.2066500000000002</v>
      </c>
      <c r="E316" s="10">
        <f t="shared" si="212"/>
        <v>3.2066500000000002</v>
      </c>
      <c r="F316" s="10" t="e">
        <f t="shared" ref="F316:G316" si="213">F314*F315</f>
        <v>#DIV/0!</v>
      </c>
      <c r="G316" s="10" t="e">
        <f t="shared" si="213"/>
        <v>#DIV/0!</v>
      </c>
      <c r="H316" s="10" t="e">
        <f t="shared" ref="H316" si="214">H314*H315</f>
        <v>#DIV/0!</v>
      </c>
    </row>
    <row r="317" spans="1:8" hidden="1" x14ac:dyDescent="0.2">
      <c r="A317" s="119" t="s">
        <v>1671</v>
      </c>
      <c r="D317" s="10"/>
      <c r="E317" s="10"/>
      <c r="F317" s="10"/>
      <c r="G317" s="10"/>
      <c r="H317" s="10"/>
    </row>
    <row r="318" spans="1:8" ht="14.25" hidden="1" x14ac:dyDescent="0.25">
      <c r="A318" s="5" t="s">
        <v>1662</v>
      </c>
      <c r="B318" s="2" t="s">
        <v>1631</v>
      </c>
      <c r="D318" s="10">
        <v>0.22</v>
      </c>
      <c r="E318" s="10">
        <v>0.22</v>
      </c>
      <c r="F318" s="10">
        <v>0.22</v>
      </c>
      <c r="G318" s="10">
        <v>0.22</v>
      </c>
      <c r="H318" s="10">
        <v>0.22</v>
      </c>
    </row>
    <row r="319" spans="1:8" ht="14.25" hidden="1" x14ac:dyDescent="0.25">
      <c r="A319" s="5" t="s">
        <v>1662</v>
      </c>
      <c r="B319" s="2" t="s">
        <v>1632</v>
      </c>
      <c r="D319" s="10">
        <v>1.49</v>
      </c>
      <c r="E319" s="10">
        <v>1.49</v>
      </c>
      <c r="F319" s="10">
        <v>1.49</v>
      </c>
      <c r="G319" s="10">
        <v>1.49</v>
      </c>
      <c r="H319" s="10">
        <v>1.49</v>
      </c>
    </row>
    <row r="320" spans="1:8" hidden="1" x14ac:dyDescent="0.2">
      <c r="A320" s="5" t="s">
        <v>1663</v>
      </c>
      <c r="B320" s="2" t="s">
        <v>1660</v>
      </c>
      <c r="C320" s="4"/>
      <c r="D320" s="10">
        <f t="shared" ref="D320:E320" si="215">D201</f>
        <v>7.77</v>
      </c>
      <c r="E320" s="10">
        <f t="shared" si="215"/>
        <v>7.77</v>
      </c>
      <c r="F320" s="10">
        <f t="shared" ref="F320:G320" si="216">F201</f>
        <v>7.95</v>
      </c>
      <c r="G320" s="10">
        <f t="shared" si="216"/>
        <v>7.95</v>
      </c>
      <c r="H320" s="10">
        <f t="shared" ref="H320" si="217">H201</f>
        <v>7.95</v>
      </c>
    </row>
    <row r="321" spans="1:8" ht="14.25" hidden="1" x14ac:dyDescent="0.25">
      <c r="A321" s="5" t="s">
        <v>1058</v>
      </c>
      <c r="B321" s="2" t="s">
        <v>1057</v>
      </c>
      <c r="D321" s="10">
        <f t="shared" ref="D321:E321" si="218">D203</f>
        <v>13.486585928247372</v>
      </c>
      <c r="E321" s="10">
        <f t="shared" si="218"/>
        <v>13.486585928247372</v>
      </c>
      <c r="F321" s="10" t="e">
        <f t="shared" ref="F321:G321" si="219">F203</f>
        <v>#DIV/0!</v>
      </c>
      <c r="G321" s="10" t="e">
        <f t="shared" si="219"/>
        <v>#DIV/0!</v>
      </c>
      <c r="H321" s="10" t="e">
        <f t="shared" ref="H321" si="220">H203</f>
        <v>#DIV/0!</v>
      </c>
    </row>
    <row r="322" spans="1:8" ht="14.25" hidden="1" x14ac:dyDescent="0.25">
      <c r="A322" s="5" t="s">
        <v>1661</v>
      </c>
      <c r="B322" s="2" t="s">
        <v>1633</v>
      </c>
      <c r="C322" s="3" t="s">
        <v>405</v>
      </c>
      <c r="D322" s="10">
        <f t="shared" ref="D322:E322" si="221">D$11*(D319*(D321/D320))^2</f>
        <v>334.42947812677556</v>
      </c>
      <c r="E322" s="10">
        <f t="shared" si="221"/>
        <v>334.42947812677556</v>
      </c>
      <c r="F322" s="10" t="e">
        <f t="shared" ref="F322:G322" si="222">F$11*(F319*(F321/F320))^2</f>
        <v>#DIV/0!</v>
      </c>
      <c r="G322" s="10" t="e">
        <f t="shared" si="222"/>
        <v>#DIV/0!</v>
      </c>
      <c r="H322" s="10" t="e">
        <f t="shared" ref="H322" si="223">H$11*(H319*(H321/H320))^2</f>
        <v>#DIV/0!</v>
      </c>
    </row>
    <row r="323" spans="1:8" hidden="1" x14ac:dyDescent="0.2">
      <c r="A323" s="5" t="s">
        <v>1665</v>
      </c>
      <c r="D323" s="10">
        <f t="shared" ref="D323:E323" si="224">D321*(SQRT(D$11/D305))</f>
        <v>16.49602902215948</v>
      </c>
      <c r="E323" s="10">
        <f t="shared" si="224"/>
        <v>16.49602902215948</v>
      </c>
      <c r="F323" s="10" t="e">
        <f t="shared" ref="F323:G323" si="225">F321*(SQRT(F$11/F305))</f>
        <v>#DIV/0!</v>
      </c>
      <c r="G323" s="10" t="e">
        <f t="shared" si="225"/>
        <v>#DIV/0!</v>
      </c>
      <c r="H323" s="10" t="e">
        <f t="shared" ref="H323" si="226">H321*(SQRT(H$11/H305))</f>
        <v>#DIV/0!</v>
      </c>
    </row>
    <row r="324" spans="1:8" ht="14.25" hidden="1" x14ac:dyDescent="0.25">
      <c r="A324" s="5" t="s">
        <v>410</v>
      </c>
      <c r="B324" s="2" t="s">
        <v>901</v>
      </c>
      <c r="C324" s="3" t="s">
        <v>407</v>
      </c>
      <c r="D324" s="10">
        <f t="shared" ref="D324:E324" si="227">D181</f>
        <v>8.01</v>
      </c>
      <c r="E324" s="10">
        <f t="shared" si="227"/>
        <v>8.01</v>
      </c>
      <c r="F324" s="10">
        <f t="shared" ref="F324:G324" si="228">F181</f>
        <v>5.25</v>
      </c>
      <c r="G324" s="10">
        <f t="shared" si="228"/>
        <v>5.25</v>
      </c>
      <c r="H324" s="10">
        <f t="shared" ref="H324" si="229">H181</f>
        <v>5.25</v>
      </c>
    </row>
    <row r="325" spans="1:8" ht="14.25" hidden="1" x14ac:dyDescent="0.25">
      <c r="A325" s="5" t="s">
        <v>1674</v>
      </c>
      <c r="B325" s="2" t="s">
        <v>2078</v>
      </c>
      <c r="C325" s="3" t="s">
        <v>407</v>
      </c>
      <c r="D325" s="10">
        <f t="shared" ref="D325:E325" si="230">IF(D320&gt;D323,D324*(1-(D318*SQRT(D322/D305)))*(SQRT(D322/D305)),D324)</f>
        <v>8.01</v>
      </c>
      <c r="E325" s="10">
        <f t="shared" si="230"/>
        <v>8.01</v>
      </c>
      <c r="F325" s="10" t="e">
        <f t="shared" ref="F325:G325" si="231">IF(F320&gt;F323,F324*(1-(F318*SQRT(F322/F305)))*(SQRT(F322/F305)),F324)</f>
        <v>#DIV/0!</v>
      </c>
      <c r="G325" s="10" t="e">
        <f t="shared" si="231"/>
        <v>#DIV/0!</v>
      </c>
      <c r="H325" s="10" t="e">
        <f t="shared" ref="H325" si="232">IF(H320&gt;H323,H324*(1-(H318*SQRT(H322/H305)))*(SQRT(H322/H305)),H324)</f>
        <v>#DIV/0!</v>
      </c>
    </row>
    <row r="326" spans="1:8" ht="14.25" hidden="1" x14ac:dyDescent="0.25">
      <c r="A326" s="5" t="s">
        <v>412</v>
      </c>
      <c r="B326" s="2" t="s">
        <v>903</v>
      </c>
      <c r="C326" s="3" t="s">
        <v>407</v>
      </c>
      <c r="D326" s="12">
        <f t="shared" ref="D326:E326" si="233">D183</f>
        <v>0.51500000000000001</v>
      </c>
      <c r="E326" s="12">
        <f t="shared" si="233"/>
        <v>0.51500000000000001</v>
      </c>
      <c r="F326" s="12">
        <f t="shared" ref="F326:G326" si="234">F183</f>
        <v>0.33</v>
      </c>
      <c r="G326" s="12">
        <f t="shared" si="234"/>
        <v>0.33</v>
      </c>
      <c r="H326" s="12">
        <f t="shared" ref="H326" si="235">H183</f>
        <v>0.33</v>
      </c>
    </row>
    <row r="327" spans="1:8" ht="15" hidden="1" x14ac:dyDescent="0.25">
      <c r="A327" s="5" t="s">
        <v>1677</v>
      </c>
      <c r="B327" s="2" t="s">
        <v>1678</v>
      </c>
      <c r="C327" s="3" t="s">
        <v>900</v>
      </c>
      <c r="D327" s="10">
        <f t="shared" ref="D327:E327" si="236">D325*D326</f>
        <v>4.1251499999999997</v>
      </c>
      <c r="E327" s="10">
        <f t="shared" si="236"/>
        <v>4.1251499999999997</v>
      </c>
      <c r="F327" s="10" t="e">
        <f t="shared" ref="F327:G327" si="237">F325*F326</f>
        <v>#DIV/0!</v>
      </c>
      <c r="G327" s="10" t="e">
        <f t="shared" si="237"/>
        <v>#DIV/0!</v>
      </c>
      <c r="H327" s="10" t="e">
        <f t="shared" ref="H327" si="238">H325*H326</f>
        <v>#DIV/0!</v>
      </c>
    </row>
    <row r="328" spans="1:8" hidden="1" x14ac:dyDescent="0.2">
      <c r="A328" s="119" t="s">
        <v>1670</v>
      </c>
      <c r="D328" s="10"/>
      <c r="E328" s="10"/>
      <c r="F328" s="10"/>
      <c r="G328" s="10"/>
      <c r="H328" s="10"/>
    </row>
    <row r="329" spans="1:8" ht="15" hidden="1" x14ac:dyDescent="0.25">
      <c r="A329" s="5" t="s">
        <v>1670</v>
      </c>
      <c r="B329" s="2" t="s">
        <v>1666</v>
      </c>
      <c r="C329" s="3" t="s">
        <v>900</v>
      </c>
      <c r="D329" s="10">
        <f t="shared" ref="D329:E329" si="239">MIN(D316+D327+D327+D184,D179)</f>
        <v>11.7</v>
      </c>
      <c r="E329" s="10">
        <f t="shared" si="239"/>
        <v>11.7</v>
      </c>
      <c r="F329" s="10" t="e">
        <f t="shared" ref="F329:G329" si="240">MIN(F316+F327+F327+F184,F179)</f>
        <v>#DIV/0!</v>
      </c>
      <c r="G329" s="10" t="e">
        <f t="shared" si="240"/>
        <v>#DIV/0!</v>
      </c>
      <c r="H329" s="10" t="e">
        <f t="shared" ref="H329" si="241">MIN(H316+H327+H327+H184,H179)</f>
        <v>#DIV/0!</v>
      </c>
    </row>
    <row r="330" spans="1:8" ht="14.25" hidden="1" x14ac:dyDescent="0.25">
      <c r="A330" s="5" t="s">
        <v>1673</v>
      </c>
      <c r="B330" s="2" t="s">
        <v>932</v>
      </c>
      <c r="C330" s="3" t="s">
        <v>419</v>
      </c>
      <c r="D330" s="6">
        <f t="shared" ref="D330:E330" si="242">D305*D329</f>
        <v>391.02190718806389</v>
      </c>
      <c r="E330" s="6">
        <f t="shared" si="242"/>
        <v>391.02190718806389</v>
      </c>
      <c r="F330" s="6" t="e">
        <f t="shared" ref="F330:G330" si="243">F305*F329</f>
        <v>#DIV/0!</v>
      </c>
      <c r="G330" s="6" t="e">
        <f t="shared" si="243"/>
        <v>#DIV/0!</v>
      </c>
      <c r="H330" s="6" t="e">
        <f t="shared" ref="H330" si="244">H305*H329</f>
        <v>#DIV/0!</v>
      </c>
    </row>
    <row r="331" spans="1:8" hidden="1" x14ac:dyDescent="0.2">
      <c r="A331" s="118" t="s">
        <v>1645</v>
      </c>
      <c r="D331" s="10"/>
      <c r="E331" s="10"/>
      <c r="F331" s="10"/>
      <c r="G331" s="10"/>
      <c r="H331" s="10"/>
    </row>
    <row r="332" spans="1:8" ht="14.25" hidden="1" x14ac:dyDescent="0.25">
      <c r="A332" s="121" t="s">
        <v>1643</v>
      </c>
      <c r="B332" s="39" t="s">
        <v>1644</v>
      </c>
      <c r="C332" s="122" t="s">
        <v>419</v>
      </c>
      <c r="D332" s="123">
        <f t="shared" ref="D332:E332" si="245">MIN(D286,D302,D330)</f>
        <v>391.02190718806389</v>
      </c>
      <c r="E332" s="123">
        <f t="shared" si="245"/>
        <v>391.02190718806389</v>
      </c>
      <c r="F332" s="123" t="e">
        <f t="shared" ref="F332:G332" si="246">MIN(F286,F302,F330)</f>
        <v>#DIV/0!</v>
      </c>
      <c r="G332" s="123" t="e">
        <f t="shared" si="246"/>
        <v>#DIV/0!</v>
      </c>
      <c r="H332" s="123" t="e">
        <f t="shared" ref="H332" si="247">MIN(H286,H302,H330)</f>
        <v>#DIV/0!</v>
      </c>
    </row>
    <row r="333" spans="1:8" hidden="1" x14ac:dyDescent="0.2">
      <c r="D333" s="10"/>
      <c r="E333" s="10"/>
      <c r="F333" s="10"/>
      <c r="G333" s="10"/>
      <c r="H333" s="10"/>
    </row>
    <row r="334" spans="1:8" x14ac:dyDescent="0.2">
      <c r="A334" s="5" t="s">
        <v>1123</v>
      </c>
      <c r="B334" s="2" t="str">
        <f>IF(D$7="ASD","Pn-t/Ω",IF(D$7="LRFD","φPn-t"))</f>
        <v>φPn-t</v>
      </c>
      <c r="C334" s="3" t="s">
        <v>419</v>
      </c>
      <c r="D334" s="24">
        <f t="shared" ref="D334:H334" si="248">IF(D$7="ASD",MIN(D$337/1.67,D$338/2),IF(D$7="LRFD",MIN(0.9*D$337,0.75*D$338)))</f>
        <v>526.5</v>
      </c>
      <c r="E334" s="24">
        <f t="shared" si="248"/>
        <v>350.29940119760482</v>
      </c>
      <c r="F334" s="24">
        <f t="shared" si="248"/>
        <v>0</v>
      </c>
      <c r="G334" s="24">
        <f t="shared" si="248"/>
        <v>0</v>
      </c>
      <c r="H334" s="24">
        <f t="shared" si="248"/>
        <v>0</v>
      </c>
    </row>
    <row r="335" spans="1:8" ht="15" hidden="1" x14ac:dyDescent="0.25">
      <c r="A335" s="5" t="s">
        <v>933</v>
      </c>
      <c r="B335" s="2" t="s">
        <v>934</v>
      </c>
      <c r="C335" s="3" t="s">
        <v>900</v>
      </c>
      <c r="D335" s="124">
        <f>D$179</f>
        <v>11.7</v>
      </c>
      <c r="E335" s="124">
        <f>E$179</f>
        <v>11.7</v>
      </c>
      <c r="F335" s="124">
        <f>F$179</f>
        <v>5.26</v>
      </c>
      <c r="G335" s="124">
        <f>G$179</f>
        <v>5.26</v>
      </c>
      <c r="H335" s="124">
        <f>H$179</f>
        <v>5.26</v>
      </c>
    </row>
    <row r="336" spans="1:8" hidden="1" x14ac:dyDescent="0.2">
      <c r="A336" s="5" t="s">
        <v>1167</v>
      </c>
      <c r="B336" s="2" t="s">
        <v>1166</v>
      </c>
      <c r="D336" s="124">
        <v>1</v>
      </c>
      <c r="E336" s="124">
        <v>1</v>
      </c>
      <c r="F336" s="124">
        <v>1</v>
      </c>
      <c r="G336" s="124">
        <v>1</v>
      </c>
      <c r="H336" s="124">
        <v>1</v>
      </c>
    </row>
    <row r="337" spans="1:8" ht="14.25" hidden="1" x14ac:dyDescent="0.25">
      <c r="A337" s="5" t="s">
        <v>1165</v>
      </c>
      <c r="B337" s="2" t="s">
        <v>935</v>
      </c>
      <c r="C337" s="3" t="s">
        <v>419</v>
      </c>
      <c r="D337" s="6">
        <f t="shared" ref="D337:H337" si="249">D$11*D$179</f>
        <v>585</v>
      </c>
      <c r="E337" s="6">
        <f t="shared" si="249"/>
        <v>585</v>
      </c>
      <c r="F337" s="6">
        <f t="shared" si="249"/>
        <v>0</v>
      </c>
      <c r="G337" s="6">
        <f t="shared" si="249"/>
        <v>0</v>
      </c>
      <c r="H337" s="6">
        <f t="shared" si="249"/>
        <v>0</v>
      </c>
    </row>
    <row r="338" spans="1:8" ht="14.25" hidden="1" x14ac:dyDescent="0.25">
      <c r="A338" s="5" t="s">
        <v>1169</v>
      </c>
      <c r="B338" s="2" t="s">
        <v>936</v>
      </c>
      <c r="C338" s="3" t="s">
        <v>419</v>
      </c>
      <c r="D338" s="6">
        <f t="shared" ref="D338:H338" si="250">D$12*D$335*D$336</f>
        <v>760.5</v>
      </c>
      <c r="E338" s="6">
        <f t="shared" si="250"/>
        <v>760.5</v>
      </c>
      <c r="F338" s="6">
        <f t="shared" si="250"/>
        <v>0</v>
      </c>
      <c r="G338" s="6">
        <f t="shared" si="250"/>
        <v>0</v>
      </c>
      <c r="H338" s="6">
        <f t="shared" si="250"/>
        <v>0</v>
      </c>
    </row>
    <row r="339" spans="1:8" hidden="1" x14ac:dyDescent="0.2">
      <c r="D339" s="10"/>
      <c r="E339" s="10"/>
      <c r="F339" s="10"/>
      <c r="G339" s="10"/>
      <c r="H339" s="10"/>
    </row>
    <row r="340" spans="1:8" x14ac:dyDescent="0.2">
      <c r="A340" s="16" t="s">
        <v>2167</v>
      </c>
      <c r="C340" s="3" t="s">
        <v>876</v>
      </c>
      <c r="D340" s="125">
        <f t="shared" ref="D340:H340" si="251">D$148/D$232</f>
        <v>0.2461187864976499</v>
      </c>
      <c r="E340" s="125">
        <f t="shared" si="251"/>
        <v>0.23928215353938184</v>
      </c>
      <c r="F340" s="125" t="e">
        <f t="shared" si="251"/>
        <v>#DIV/0!</v>
      </c>
      <c r="G340" s="125" t="e">
        <f t="shared" si="251"/>
        <v>#DIV/0!</v>
      </c>
      <c r="H340" s="125" t="e">
        <f t="shared" si="251"/>
        <v>#DIV/0!</v>
      </c>
    </row>
    <row r="341" spans="1:8" x14ac:dyDescent="0.2">
      <c r="A341" s="16" t="s">
        <v>2168</v>
      </c>
      <c r="C341" s="3" t="s">
        <v>876</v>
      </c>
      <c r="D341" s="125">
        <f t="shared" ref="D341:H341" si="252">D$149/D$244</f>
        <v>0</v>
      </c>
      <c r="E341" s="125">
        <f t="shared" si="252"/>
        <v>0</v>
      </c>
      <c r="F341" s="125" t="e">
        <f t="shared" si="252"/>
        <v>#DIV/0!</v>
      </c>
      <c r="G341" s="125" t="e">
        <f t="shared" si="252"/>
        <v>#DIV/0!</v>
      </c>
      <c r="H341" s="125" t="e">
        <f t="shared" si="252"/>
        <v>#DIV/0!</v>
      </c>
    </row>
    <row r="342" spans="1:8" x14ac:dyDescent="0.2">
      <c r="A342" s="16" t="s">
        <v>998</v>
      </c>
      <c r="C342" s="3" t="s">
        <v>876</v>
      </c>
      <c r="D342" s="125">
        <f t="shared" ref="D342:H342" si="253">IF(AND(D$345&gt;=0,D$346=0),IF(D$345&gt;=0.2,D$345+(8/9)*(D$343+D$344),0.5*D$345+(D$343+D$344)),IF(AND(D$346&gt;=0,D$345=0),IF(D$346&gt;=0.2,D$346+(8/9)*(D$343+D$344),0.5*D$346+(D$343+D$344))))</f>
        <v>0.83876602618775542</v>
      </c>
      <c r="E342" s="125">
        <f t="shared" si="253"/>
        <v>0.81709790384457182</v>
      </c>
      <c r="F342" s="125" t="e">
        <f t="shared" si="253"/>
        <v>#DIV/0!</v>
      </c>
      <c r="G342" s="125" t="e">
        <f t="shared" si="253"/>
        <v>#DIV/0!</v>
      </c>
      <c r="H342" s="125" t="e">
        <f t="shared" si="253"/>
        <v>#DIV/0!</v>
      </c>
    </row>
    <row r="343" spans="1:8" ht="14.25" hidden="1" x14ac:dyDescent="0.25">
      <c r="A343" s="5" t="s">
        <v>429</v>
      </c>
      <c r="B343" s="2" t="s">
        <v>937</v>
      </c>
      <c r="D343" s="12">
        <f t="shared" ref="D343:H343" si="254">D$150/D$250</f>
        <v>0.83876602618775542</v>
      </c>
      <c r="E343" s="12">
        <f t="shared" si="254"/>
        <v>0.81709790384457182</v>
      </c>
      <c r="F343" s="12" t="e">
        <f t="shared" si="254"/>
        <v>#DIV/0!</v>
      </c>
      <c r="G343" s="12" t="e">
        <f t="shared" si="254"/>
        <v>#DIV/0!</v>
      </c>
      <c r="H343" s="12" t="e">
        <f t="shared" si="254"/>
        <v>#DIV/0!</v>
      </c>
    </row>
    <row r="344" spans="1:8" ht="14.25" hidden="1" x14ac:dyDescent="0.25">
      <c r="A344" s="5" t="s">
        <v>430</v>
      </c>
      <c r="B344" s="2" t="s">
        <v>938</v>
      </c>
      <c r="D344" s="12">
        <f t="shared" ref="D344:H344" si="255">D$151/D$274</f>
        <v>0</v>
      </c>
      <c r="E344" s="12">
        <f t="shared" si="255"/>
        <v>0</v>
      </c>
      <c r="F344" s="12" t="e">
        <f t="shared" si="255"/>
        <v>#DIV/0!</v>
      </c>
      <c r="G344" s="12" t="e">
        <f t="shared" si="255"/>
        <v>#DIV/0!</v>
      </c>
      <c r="H344" s="12" t="e">
        <f t="shared" si="255"/>
        <v>#DIV/0!</v>
      </c>
    </row>
    <row r="345" spans="1:8" ht="14.25" hidden="1" x14ac:dyDescent="0.25">
      <c r="A345" s="5" t="s">
        <v>431</v>
      </c>
      <c r="B345" s="2" t="s">
        <v>939</v>
      </c>
      <c r="D345" s="12">
        <f t="shared" ref="D345:H345" si="256">D$152/D$280</f>
        <v>0</v>
      </c>
      <c r="E345" s="12">
        <f t="shared" si="256"/>
        <v>0</v>
      </c>
      <c r="F345" s="12" t="e">
        <f t="shared" si="256"/>
        <v>#DIV/0!</v>
      </c>
      <c r="G345" s="12" t="e">
        <f t="shared" si="256"/>
        <v>#DIV/0!</v>
      </c>
      <c r="H345" s="12" t="e">
        <f t="shared" si="256"/>
        <v>#DIV/0!</v>
      </c>
    </row>
    <row r="346" spans="1:8" ht="14.25" hidden="1" x14ac:dyDescent="0.25">
      <c r="A346" s="5" t="s">
        <v>845</v>
      </c>
      <c r="B346" s="2" t="s">
        <v>940</v>
      </c>
      <c r="D346" s="12">
        <f t="shared" ref="D346:H346" si="257">D$153/D$334</f>
        <v>0</v>
      </c>
      <c r="E346" s="12">
        <f t="shared" si="257"/>
        <v>0</v>
      </c>
      <c r="F346" s="12" t="e">
        <f t="shared" si="257"/>
        <v>#DIV/0!</v>
      </c>
      <c r="G346" s="12" t="e">
        <f t="shared" si="257"/>
        <v>#DIV/0!</v>
      </c>
      <c r="H346" s="12" t="e">
        <f t="shared" si="257"/>
        <v>#DIV/0!</v>
      </c>
    </row>
    <row r="347" spans="1:8" x14ac:dyDescent="0.2">
      <c r="D347" s="4"/>
      <c r="E347" s="4"/>
      <c r="F347" s="4"/>
      <c r="G347" s="4"/>
      <c r="H347" s="4"/>
    </row>
    <row r="348" spans="1:8" ht="15" x14ac:dyDescent="0.25">
      <c r="A348" s="126" t="s">
        <v>1892</v>
      </c>
      <c r="D348" s="4"/>
      <c r="E348" s="4"/>
      <c r="F348" s="4"/>
      <c r="G348" s="4"/>
      <c r="H348" s="4"/>
    </row>
    <row r="349" spans="1:8" ht="12.75" hidden="1" customHeight="1" x14ac:dyDescent="0.2">
      <c r="A349" s="16" t="s">
        <v>877</v>
      </c>
    </row>
    <row r="350" spans="1:8" ht="12.75" customHeight="1" x14ac:dyDescent="0.2">
      <c r="A350" s="37" t="s">
        <v>409</v>
      </c>
      <c r="B350" s="40" t="s">
        <v>4</v>
      </c>
      <c r="C350" s="41" t="s">
        <v>407</v>
      </c>
      <c r="D350" s="56">
        <f>D$180-(D$183-D$352)-(D$183-D$353)</f>
        <v>11.66825</v>
      </c>
      <c r="E350" s="56">
        <f>E$180-(E$183-E$352)-(E$183-E$353)</f>
        <v>11.66825</v>
      </c>
      <c r="F350" s="56">
        <f>F$180-(F$183-F$352)-(F$183-F$353)</f>
        <v>8.14</v>
      </c>
      <c r="G350" s="56">
        <f>G$180-(G$183-G$352)-(G$183-G$353)</f>
        <v>8.14</v>
      </c>
      <c r="H350" s="56">
        <f>H$180-(H$183-H$352)-(H$183-H$353)</f>
        <v>8.14</v>
      </c>
    </row>
    <row r="351" spans="1:8" ht="14.25" customHeight="1" x14ac:dyDescent="0.25">
      <c r="A351" s="37" t="s">
        <v>411</v>
      </c>
      <c r="B351" s="40" t="s">
        <v>2456</v>
      </c>
      <c r="C351" s="41" t="s">
        <v>407</v>
      </c>
      <c r="D351" s="56">
        <f t="shared" ref="D351:H351" si="258">D$182*(1-D$25)</f>
        <v>0.22125</v>
      </c>
      <c r="E351" s="56">
        <f t="shared" si="258"/>
        <v>0.22125</v>
      </c>
      <c r="F351" s="56">
        <f t="shared" si="258"/>
        <v>0.23</v>
      </c>
      <c r="G351" s="56">
        <f t="shared" si="258"/>
        <v>0.23</v>
      </c>
      <c r="H351" s="56">
        <f t="shared" si="258"/>
        <v>0.23</v>
      </c>
    </row>
    <row r="352" spans="1:8" ht="14.25" customHeight="1" x14ac:dyDescent="0.25">
      <c r="A352" s="37" t="s">
        <v>1808</v>
      </c>
      <c r="B352" s="40" t="s">
        <v>2455</v>
      </c>
      <c r="C352" s="41" t="s">
        <v>407</v>
      </c>
      <c r="D352" s="56">
        <f t="shared" ref="D352:H352" si="259">D$183*(1-D$24)</f>
        <v>0.48924999999999996</v>
      </c>
      <c r="E352" s="56">
        <f t="shared" si="259"/>
        <v>0.48924999999999996</v>
      </c>
      <c r="F352" s="56">
        <f t="shared" si="259"/>
        <v>0.33</v>
      </c>
      <c r="G352" s="56">
        <f t="shared" si="259"/>
        <v>0.33</v>
      </c>
      <c r="H352" s="56">
        <f t="shared" si="259"/>
        <v>0.33</v>
      </c>
    </row>
    <row r="353" spans="1:8" ht="14.25" customHeight="1" x14ac:dyDescent="0.25">
      <c r="A353" s="37" t="s">
        <v>1809</v>
      </c>
      <c r="B353" s="40" t="s">
        <v>2457</v>
      </c>
      <c r="C353" s="41" t="s">
        <v>407</v>
      </c>
      <c r="D353" s="56">
        <f t="shared" ref="D353:H353" si="260">D$183*(1-D$26)</f>
        <v>0.309</v>
      </c>
      <c r="E353" s="56">
        <f t="shared" si="260"/>
        <v>0.309</v>
      </c>
      <c r="F353" s="56">
        <f t="shared" si="260"/>
        <v>0.33</v>
      </c>
      <c r="G353" s="56">
        <f t="shared" si="260"/>
        <v>0.33</v>
      </c>
      <c r="H353" s="56">
        <f t="shared" si="260"/>
        <v>0.33</v>
      </c>
    </row>
    <row r="354" spans="1:8" ht="14.25" customHeight="1" x14ac:dyDescent="0.25">
      <c r="A354" s="37" t="s">
        <v>410</v>
      </c>
      <c r="B354" s="40" t="s">
        <v>2458</v>
      </c>
      <c r="C354" s="41" t="s">
        <v>407</v>
      </c>
      <c r="D354" s="56">
        <f t="shared" ref="D354:H354" si="261">D$181</f>
        <v>8.01</v>
      </c>
      <c r="E354" s="56">
        <f t="shared" si="261"/>
        <v>8.01</v>
      </c>
      <c r="F354" s="56">
        <f t="shared" si="261"/>
        <v>5.25</v>
      </c>
      <c r="G354" s="56">
        <f t="shared" si="261"/>
        <v>5.25</v>
      </c>
      <c r="H354" s="56">
        <f t="shared" si="261"/>
        <v>5.25</v>
      </c>
    </row>
    <row r="355" spans="1:8" ht="14.25" hidden="1" customHeight="1" x14ac:dyDescent="0.25">
      <c r="A355" s="5" t="s">
        <v>885</v>
      </c>
      <c r="B355" s="2" t="s">
        <v>943</v>
      </c>
      <c r="C355" s="3" t="s">
        <v>407</v>
      </c>
      <c r="D355" s="12">
        <f>D350-D352-D353</f>
        <v>10.870000000000001</v>
      </c>
      <c r="E355" s="12">
        <f>E350-E352-E353</f>
        <v>10.870000000000001</v>
      </c>
      <c r="F355" s="12">
        <f>F350-F352-F353</f>
        <v>7.48</v>
      </c>
      <c r="G355" s="12">
        <f>G350-G352-G353</f>
        <v>7.48</v>
      </c>
      <c r="H355" s="12">
        <f>H350-H352-H353</f>
        <v>7.48</v>
      </c>
    </row>
    <row r="356" spans="1:8" ht="15" hidden="1" customHeight="1" x14ac:dyDescent="0.25">
      <c r="A356" s="5" t="s">
        <v>881</v>
      </c>
      <c r="B356" s="2" t="s">
        <v>944</v>
      </c>
      <c r="C356" s="3" t="s">
        <v>900</v>
      </c>
      <c r="D356" s="12">
        <f>D352*D354</f>
        <v>3.9188924999999997</v>
      </c>
      <c r="E356" s="12">
        <f>E352*E354</f>
        <v>3.9188924999999997</v>
      </c>
      <c r="F356" s="12">
        <f>F352*F354</f>
        <v>1.7325000000000002</v>
      </c>
      <c r="G356" s="12">
        <f>G352*G354</f>
        <v>1.7325000000000002</v>
      </c>
      <c r="H356" s="12">
        <f>H352*H354</f>
        <v>1.7325000000000002</v>
      </c>
    </row>
    <row r="357" spans="1:8" ht="15" hidden="1" customHeight="1" x14ac:dyDescent="0.25">
      <c r="A357" s="5" t="s">
        <v>882</v>
      </c>
      <c r="B357" s="2" t="s">
        <v>945</v>
      </c>
      <c r="C357" s="3" t="s">
        <v>900</v>
      </c>
      <c r="D357" s="12">
        <f>D351*D355</f>
        <v>2.4049875000000003</v>
      </c>
      <c r="E357" s="12">
        <f>E351*E355</f>
        <v>2.4049875000000003</v>
      </c>
      <c r="F357" s="12">
        <f>F351*F355</f>
        <v>1.7204000000000002</v>
      </c>
      <c r="G357" s="12">
        <f>G351*G355</f>
        <v>1.7204000000000002</v>
      </c>
      <c r="H357" s="12">
        <f>H351*H355</f>
        <v>1.7204000000000002</v>
      </c>
    </row>
    <row r="358" spans="1:8" ht="15" hidden="1" customHeight="1" x14ac:dyDescent="0.25">
      <c r="A358" s="5" t="s">
        <v>883</v>
      </c>
      <c r="B358" s="2" t="s">
        <v>946</v>
      </c>
      <c r="C358" s="3" t="s">
        <v>900</v>
      </c>
      <c r="D358" s="12">
        <f>D353*D354</f>
        <v>2.4750899999999998</v>
      </c>
      <c r="E358" s="12">
        <f>E353*E354</f>
        <v>2.4750899999999998</v>
      </c>
      <c r="F358" s="12">
        <f>F353*F354</f>
        <v>1.7325000000000002</v>
      </c>
      <c r="G358" s="12">
        <f>G353*G354</f>
        <v>1.7325000000000002</v>
      </c>
      <c r="H358" s="12">
        <f>H353*H354</f>
        <v>1.7325000000000002</v>
      </c>
    </row>
    <row r="359" spans="1:8" ht="15" hidden="1" customHeight="1" x14ac:dyDescent="0.25">
      <c r="A359" s="5" t="s">
        <v>1685</v>
      </c>
      <c r="B359" s="2" t="s">
        <v>904</v>
      </c>
      <c r="C359" s="3" t="s">
        <v>900</v>
      </c>
      <c r="D359" s="12">
        <f t="shared" ref="D359:H359" si="262">D$184*(1-D$25)</f>
        <v>0.18228749999999982</v>
      </c>
      <c r="E359" s="12">
        <f t="shared" si="262"/>
        <v>0.18228749999999982</v>
      </c>
      <c r="F359" s="12">
        <f t="shared" si="262"/>
        <v>7.4599999999999334E-2</v>
      </c>
      <c r="G359" s="12">
        <f t="shared" si="262"/>
        <v>7.4599999999999334E-2</v>
      </c>
      <c r="H359" s="12">
        <f t="shared" si="262"/>
        <v>7.4599999999999334E-2</v>
      </c>
    </row>
    <row r="360" spans="1:8" ht="15" hidden="1" customHeight="1" x14ac:dyDescent="0.25">
      <c r="A360" s="127" t="s">
        <v>884</v>
      </c>
      <c r="B360" s="128" t="s">
        <v>2344</v>
      </c>
      <c r="C360" s="129" t="s">
        <v>2068</v>
      </c>
      <c r="D360" s="56">
        <f>D356+D357+D358+D359</f>
        <v>8.9812574999999999</v>
      </c>
      <c r="E360" s="56">
        <f>E356+E357+E358+E359</f>
        <v>8.9812574999999999</v>
      </c>
      <c r="F360" s="56">
        <f>F356+F357+F358+F359</f>
        <v>5.26</v>
      </c>
      <c r="G360" s="56">
        <f>G356+G357+G358+G359</f>
        <v>5.26</v>
      </c>
      <c r="H360" s="56">
        <f>H356+H357+H358+H359</f>
        <v>5.26</v>
      </c>
    </row>
    <row r="361" spans="1:8" ht="14.25" hidden="1" customHeight="1" x14ac:dyDescent="0.25">
      <c r="A361" s="5" t="s">
        <v>1697</v>
      </c>
      <c r="B361" s="2" t="s">
        <v>1686</v>
      </c>
      <c r="C361" s="3" t="s">
        <v>407</v>
      </c>
      <c r="D361" s="12">
        <f>D353/2</f>
        <v>0.1545</v>
      </c>
      <c r="E361" s="12">
        <f>E353/2</f>
        <v>0.1545</v>
      </c>
      <c r="F361" s="12">
        <f>F353/2</f>
        <v>0.16500000000000001</v>
      </c>
      <c r="G361" s="12">
        <f>G353/2</f>
        <v>0.16500000000000001</v>
      </c>
      <c r="H361" s="12">
        <f>H353/2</f>
        <v>0.16500000000000001</v>
      </c>
    </row>
    <row r="362" spans="1:8" ht="15" hidden="1" customHeight="1" x14ac:dyDescent="0.25">
      <c r="A362" s="5" t="s">
        <v>1691</v>
      </c>
      <c r="B362" s="2" t="s">
        <v>1687</v>
      </c>
      <c r="C362" s="3" t="s">
        <v>407</v>
      </c>
      <c r="D362" s="12">
        <f>D353+SQRT(D359)</f>
        <v>0.73595140238673507</v>
      </c>
      <c r="E362" s="12">
        <f>E353+SQRT(E359)</f>
        <v>0.73595140238673507</v>
      </c>
      <c r="F362" s="12">
        <f>F353+SQRT(F359)</f>
        <v>0.60313000567495201</v>
      </c>
      <c r="G362" s="12">
        <f>G353+SQRT(G359)</f>
        <v>0.60313000567495201</v>
      </c>
      <c r="H362" s="12">
        <f>H353+SQRT(H359)</f>
        <v>0.60313000567495201</v>
      </c>
    </row>
    <row r="363" spans="1:8" ht="15" hidden="1" customHeight="1" x14ac:dyDescent="0.25">
      <c r="A363" s="5" t="s">
        <v>1692</v>
      </c>
      <c r="B363" s="2" t="s">
        <v>1688</v>
      </c>
      <c r="C363" s="3" t="s">
        <v>407</v>
      </c>
      <c r="D363" s="12">
        <f>D353+(D355/2)</f>
        <v>5.7440000000000007</v>
      </c>
      <c r="E363" s="12">
        <f>E353+(E355/2)</f>
        <v>5.7440000000000007</v>
      </c>
      <c r="F363" s="12">
        <f>F353+(F355/2)</f>
        <v>4.07</v>
      </c>
      <c r="G363" s="12">
        <f>G353+(G355/2)</f>
        <v>4.07</v>
      </c>
      <c r="H363" s="12">
        <f>H353+(H355/2)</f>
        <v>4.07</v>
      </c>
    </row>
    <row r="364" spans="1:8" ht="15" hidden="1" customHeight="1" x14ac:dyDescent="0.25">
      <c r="A364" s="5" t="s">
        <v>1693</v>
      </c>
      <c r="B364" s="2" t="s">
        <v>1689</v>
      </c>
      <c r="C364" s="3" t="s">
        <v>407</v>
      </c>
      <c r="D364" s="12">
        <f>D350-D352-SQRT(D359)</f>
        <v>10.752048597613266</v>
      </c>
      <c r="E364" s="12">
        <f>E350-E352-SQRT(E359)</f>
        <v>10.752048597613266</v>
      </c>
      <c r="F364" s="12">
        <f>F350-F352-SQRT(F359)</f>
        <v>7.5368699943250483</v>
      </c>
      <c r="G364" s="12">
        <f>G350-G352-SQRT(G359)</f>
        <v>7.5368699943250483</v>
      </c>
      <c r="H364" s="12">
        <f>H350-H352-SQRT(H359)</f>
        <v>7.5368699943250483</v>
      </c>
    </row>
    <row r="365" spans="1:8" ht="15" hidden="1" customHeight="1" x14ac:dyDescent="0.25">
      <c r="A365" s="5" t="s">
        <v>1696</v>
      </c>
      <c r="B365" s="2" t="s">
        <v>1690</v>
      </c>
      <c r="C365" s="3" t="s">
        <v>407</v>
      </c>
      <c r="D365" s="12">
        <f>D350-(D352/2)</f>
        <v>11.423625000000001</v>
      </c>
      <c r="E365" s="12">
        <f>E350-(E352/2)</f>
        <v>11.423625000000001</v>
      </c>
      <c r="F365" s="12">
        <f>F350-(F352/2)</f>
        <v>7.9750000000000005</v>
      </c>
      <c r="G365" s="12">
        <f>G350-(G352/2)</f>
        <v>7.9750000000000005</v>
      </c>
      <c r="H365" s="12">
        <f>H350-(H352/2)</f>
        <v>7.9750000000000005</v>
      </c>
    </row>
    <row r="366" spans="1:8" ht="15" hidden="1" customHeight="1" x14ac:dyDescent="0.25">
      <c r="A366" s="5" t="s">
        <v>1698</v>
      </c>
      <c r="C366" s="3" t="s">
        <v>906</v>
      </c>
      <c r="D366" s="12">
        <f>D358*D361</f>
        <v>0.38240140499999997</v>
      </c>
      <c r="E366" s="12">
        <f>E358*E361</f>
        <v>0.38240140499999997</v>
      </c>
      <c r="F366" s="12">
        <f>F358*F361</f>
        <v>0.28586250000000002</v>
      </c>
      <c r="G366" s="12">
        <f>G358*G361</f>
        <v>0.28586250000000002</v>
      </c>
      <c r="H366" s="12">
        <f>H358*H361</f>
        <v>0.28586250000000002</v>
      </c>
    </row>
    <row r="367" spans="1:8" ht="15" hidden="1" customHeight="1" x14ac:dyDescent="0.25">
      <c r="A367" s="5" t="s">
        <v>1701</v>
      </c>
      <c r="C367" s="3" t="s">
        <v>906</v>
      </c>
      <c r="D367" s="12">
        <f>0.5*D359*D362</f>
        <v>6.7077370631285924E-2</v>
      </c>
      <c r="E367" s="12">
        <f>0.5*E359*E362</f>
        <v>6.7077370631285924E-2</v>
      </c>
      <c r="F367" s="12">
        <f>0.5*F359*F362</f>
        <v>2.249674921167551E-2</v>
      </c>
      <c r="G367" s="12">
        <f>0.5*G359*G362</f>
        <v>2.249674921167551E-2</v>
      </c>
      <c r="H367" s="12">
        <f>0.5*H359*H362</f>
        <v>2.249674921167551E-2</v>
      </c>
    </row>
    <row r="368" spans="1:8" ht="15" hidden="1" customHeight="1" x14ac:dyDescent="0.25">
      <c r="A368" s="5" t="s">
        <v>1700</v>
      </c>
      <c r="C368" s="3" t="s">
        <v>906</v>
      </c>
      <c r="D368" s="12">
        <f>D357*D363</f>
        <v>13.814248200000003</v>
      </c>
      <c r="E368" s="12">
        <f>E357*E363</f>
        <v>13.814248200000003</v>
      </c>
      <c r="F368" s="12">
        <f>F357*F363</f>
        <v>7.002028000000001</v>
      </c>
      <c r="G368" s="12">
        <f>G357*G363</f>
        <v>7.002028000000001</v>
      </c>
      <c r="H368" s="12">
        <f>H357*H363</f>
        <v>7.002028000000001</v>
      </c>
    </row>
    <row r="369" spans="1:8" ht="15" hidden="1" customHeight="1" x14ac:dyDescent="0.25">
      <c r="A369" s="5" t="s">
        <v>1702</v>
      </c>
      <c r="C369" s="3" t="s">
        <v>906</v>
      </c>
      <c r="D369" s="12">
        <f>0.5*D359*D364</f>
        <v>0.97998202936871315</v>
      </c>
      <c r="E369" s="12">
        <f>0.5*E359*E364</f>
        <v>0.97998202936871315</v>
      </c>
      <c r="F369" s="12">
        <f>0.5*F359*F364</f>
        <v>0.28112525078832179</v>
      </c>
      <c r="G369" s="12">
        <f>0.5*G359*G364</f>
        <v>0.28112525078832179</v>
      </c>
      <c r="H369" s="12">
        <f>0.5*H359*H364</f>
        <v>0.28112525078832179</v>
      </c>
    </row>
    <row r="370" spans="1:8" ht="15" hidden="1" customHeight="1" x14ac:dyDescent="0.25">
      <c r="A370" s="5" t="s">
        <v>1699</v>
      </c>
      <c r="C370" s="3" t="s">
        <v>906</v>
      </c>
      <c r="D370" s="12">
        <f>D356*D365</f>
        <v>44.7679583353125</v>
      </c>
      <c r="E370" s="12">
        <f>E356*E365</f>
        <v>44.7679583353125</v>
      </c>
      <c r="F370" s="12">
        <f>F356*F365</f>
        <v>13.816687500000002</v>
      </c>
      <c r="G370" s="12">
        <f>G356*G365</f>
        <v>13.816687500000002</v>
      </c>
      <c r="H370" s="12">
        <f>H356*H365</f>
        <v>13.816687500000002</v>
      </c>
    </row>
    <row r="371" spans="1:8" ht="15.75" hidden="1" customHeight="1" x14ac:dyDescent="0.25">
      <c r="A371" s="5" t="s">
        <v>1703</v>
      </c>
      <c r="C371" s="3" t="s">
        <v>906</v>
      </c>
      <c r="D371" s="12">
        <f>D366+D367+D368+D369+D370</f>
        <v>60.011667340312499</v>
      </c>
      <c r="E371" s="12">
        <f>E366+E367+E368+E369+E370</f>
        <v>60.011667340312499</v>
      </c>
      <c r="F371" s="12">
        <f>F366+F367+F368+F369+F370</f>
        <v>21.408200000000001</v>
      </c>
      <c r="G371" s="12">
        <f>G366+G367+G368+G369+G370</f>
        <v>21.408200000000001</v>
      </c>
      <c r="H371" s="12">
        <f>H366+H367+H368+H369+H370</f>
        <v>21.408200000000001</v>
      </c>
    </row>
    <row r="372" spans="1:8" ht="14.25" hidden="1" customHeight="1" x14ac:dyDescent="0.25">
      <c r="A372" s="37" t="s">
        <v>1694</v>
      </c>
      <c r="B372" s="40" t="s">
        <v>1776</v>
      </c>
      <c r="C372" s="3" t="s">
        <v>407</v>
      </c>
      <c r="D372" s="44">
        <f>D371/D360</f>
        <v>6.6818780488492289</v>
      </c>
      <c r="E372" s="44">
        <f>E371/E360</f>
        <v>6.6818780488492289</v>
      </c>
      <c r="F372" s="44">
        <f>F371/F360</f>
        <v>4.07</v>
      </c>
      <c r="G372" s="44">
        <f>G371/G360</f>
        <v>4.07</v>
      </c>
      <c r="H372" s="44">
        <f>H371/H360</f>
        <v>4.07</v>
      </c>
    </row>
    <row r="373" spans="1:8" ht="14.25" hidden="1" customHeight="1" x14ac:dyDescent="0.25">
      <c r="A373" s="127" t="s">
        <v>1695</v>
      </c>
      <c r="B373" s="128" t="s">
        <v>1777</v>
      </c>
      <c r="C373" s="129" t="s">
        <v>407</v>
      </c>
      <c r="D373" s="56">
        <f>D350-D372</f>
        <v>4.9863719511507716</v>
      </c>
      <c r="E373" s="56">
        <f>E350-E372</f>
        <v>4.9863719511507716</v>
      </c>
      <c r="F373" s="56">
        <f>F350-F372</f>
        <v>4.07</v>
      </c>
      <c r="G373" s="56">
        <f>G350-G372</f>
        <v>4.07</v>
      </c>
      <c r="H373" s="56">
        <f>H350-H372</f>
        <v>4.07</v>
      </c>
    </row>
    <row r="374" spans="1:8" ht="14.25" hidden="1" customHeight="1" x14ac:dyDescent="0.25">
      <c r="A374" s="5" t="s">
        <v>1735</v>
      </c>
      <c r="B374" s="2" t="s">
        <v>1734</v>
      </c>
      <c r="C374" s="3" t="s">
        <v>407</v>
      </c>
      <c r="D374" s="12">
        <f>D372+D373</f>
        <v>11.66825</v>
      </c>
      <c r="E374" s="12">
        <f>E372+E373</f>
        <v>11.66825</v>
      </c>
      <c r="F374" s="12">
        <f>F372+F373</f>
        <v>8.14</v>
      </c>
      <c r="G374" s="12">
        <f>G372+G373</f>
        <v>8.14</v>
      </c>
      <c r="H374" s="12">
        <f>H372+H373</f>
        <v>8.14</v>
      </c>
    </row>
    <row r="375" spans="1:8" ht="14.25" hidden="1" customHeight="1" x14ac:dyDescent="0.25">
      <c r="A375" s="5" t="s">
        <v>1709</v>
      </c>
      <c r="B375" s="2" t="s">
        <v>1704</v>
      </c>
      <c r="C375" s="3" t="s">
        <v>407</v>
      </c>
      <c r="D375" s="12">
        <f t="shared" ref="D375:E379" si="263">ABS(D$372-D361)</f>
        <v>6.5273780488492292</v>
      </c>
      <c r="E375" s="12">
        <f t="shared" si="263"/>
        <v>6.5273780488492292</v>
      </c>
      <c r="F375" s="12">
        <f t="shared" ref="F375:G375" si="264">ABS(F$372-F361)</f>
        <v>3.9050000000000002</v>
      </c>
      <c r="G375" s="12">
        <f t="shared" si="264"/>
        <v>3.9050000000000002</v>
      </c>
      <c r="H375" s="12">
        <f t="shared" ref="H375" si="265">ABS(H$372-H361)</f>
        <v>3.9050000000000002</v>
      </c>
    </row>
    <row r="376" spans="1:8" ht="15" hidden="1" customHeight="1" x14ac:dyDescent="0.25">
      <c r="A376" s="5" t="s">
        <v>1712</v>
      </c>
      <c r="B376" s="2" t="s">
        <v>1705</v>
      </c>
      <c r="C376" s="3" t="s">
        <v>407</v>
      </c>
      <c r="D376" s="12">
        <f t="shared" si="263"/>
        <v>5.9459266464624942</v>
      </c>
      <c r="E376" s="12">
        <f t="shared" si="263"/>
        <v>5.9459266464624942</v>
      </c>
      <c r="F376" s="12">
        <f t="shared" ref="F376:G376" si="266">ABS(F$372-F362)</f>
        <v>3.4668699943250481</v>
      </c>
      <c r="G376" s="12">
        <f t="shared" si="266"/>
        <v>3.4668699943250481</v>
      </c>
      <c r="H376" s="12">
        <f t="shared" ref="H376" si="267">ABS(H$372-H362)</f>
        <v>3.4668699943250481</v>
      </c>
    </row>
    <row r="377" spans="1:8" ht="15" hidden="1" customHeight="1" x14ac:dyDescent="0.25">
      <c r="A377" s="5" t="s">
        <v>1711</v>
      </c>
      <c r="B377" s="2" t="s">
        <v>1706</v>
      </c>
      <c r="C377" s="3" t="s">
        <v>407</v>
      </c>
      <c r="D377" s="12">
        <f t="shared" si="263"/>
        <v>0.93787804884922821</v>
      </c>
      <c r="E377" s="12">
        <f t="shared" si="263"/>
        <v>0.93787804884922821</v>
      </c>
      <c r="F377" s="12">
        <f t="shared" ref="F377:G377" si="268">ABS(F$372-F363)</f>
        <v>0</v>
      </c>
      <c r="G377" s="12">
        <f t="shared" si="268"/>
        <v>0</v>
      </c>
      <c r="H377" s="12">
        <f t="shared" ref="H377" si="269">ABS(H$372-H363)</f>
        <v>0</v>
      </c>
    </row>
    <row r="378" spans="1:8" ht="15" hidden="1" customHeight="1" x14ac:dyDescent="0.25">
      <c r="A378" s="5" t="s">
        <v>1713</v>
      </c>
      <c r="B378" s="2" t="s">
        <v>1707</v>
      </c>
      <c r="C378" s="3" t="s">
        <v>407</v>
      </c>
      <c r="D378" s="12">
        <f t="shared" si="263"/>
        <v>4.0701705487640369</v>
      </c>
      <c r="E378" s="12">
        <f t="shared" si="263"/>
        <v>4.0701705487640369</v>
      </c>
      <c r="F378" s="12">
        <f t="shared" ref="F378:G378" si="270">ABS(F$372-F364)</f>
        <v>3.4668699943250481</v>
      </c>
      <c r="G378" s="12">
        <f t="shared" si="270"/>
        <v>3.4668699943250481</v>
      </c>
      <c r="H378" s="12">
        <f t="shared" ref="H378" si="271">ABS(H$372-H364)</f>
        <v>3.4668699943250481</v>
      </c>
    </row>
    <row r="379" spans="1:8" ht="15" hidden="1" customHeight="1" x14ac:dyDescent="0.25">
      <c r="A379" s="5" t="s">
        <v>1710</v>
      </c>
      <c r="B379" s="2" t="s">
        <v>1708</v>
      </c>
      <c r="C379" s="3" t="s">
        <v>407</v>
      </c>
      <c r="D379" s="12">
        <f t="shared" si="263"/>
        <v>4.7417469511507724</v>
      </c>
      <c r="E379" s="12">
        <f t="shared" si="263"/>
        <v>4.7417469511507724</v>
      </c>
      <c r="F379" s="12">
        <f t="shared" ref="F379:G379" si="272">ABS(F$372-F365)</f>
        <v>3.9050000000000002</v>
      </c>
      <c r="G379" s="12">
        <f t="shared" si="272"/>
        <v>3.9050000000000002</v>
      </c>
      <c r="H379" s="12">
        <f t="shared" ref="H379" si="273">ABS(H$372-H365)</f>
        <v>3.9050000000000002</v>
      </c>
    </row>
    <row r="380" spans="1:8" ht="15.75" hidden="1" customHeight="1" x14ac:dyDescent="0.25">
      <c r="A380" s="5" t="s">
        <v>1714</v>
      </c>
      <c r="C380" s="3" t="s">
        <v>906</v>
      </c>
      <c r="D380" s="12">
        <f>D358*D375^2</f>
        <v>105.45532847645929</v>
      </c>
      <c r="E380" s="12">
        <f>E358*E375^2</f>
        <v>105.45532847645929</v>
      </c>
      <c r="F380" s="12">
        <f>F358*F375^2</f>
        <v>26.418935812500006</v>
      </c>
      <c r="G380" s="12">
        <f>G358*G375^2</f>
        <v>26.418935812500006</v>
      </c>
      <c r="H380" s="12">
        <f>H358*H375^2</f>
        <v>26.418935812500006</v>
      </c>
    </row>
    <row r="381" spans="1:8" ht="15.75" hidden="1" customHeight="1" x14ac:dyDescent="0.25">
      <c r="A381" s="5" t="s">
        <v>1715</v>
      </c>
      <c r="C381" s="3" t="s">
        <v>906</v>
      </c>
      <c r="D381" s="12">
        <f>0.5*D359*D376^2</f>
        <v>3.2223001191249896</v>
      </c>
      <c r="E381" s="12">
        <f>0.5*E359*E376^2</f>
        <v>3.2223001191249896</v>
      </c>
      <c r="F381" s="12">
        <f>0.5*F359*F376^2</f>
        <v>0.44831569589666165</v>
      </c>
      <c r="G381" s="12">
        <f>0.5*G359*G376^2</f>
        <v>0.44831569589666165</v>
      </c>
      <c r="H381" s="12">
        <f>0.5*H359*H376^2</f>
        <v>0.44831569589666165</v>
      </c>
    </row>
    <row r="382" spans="1:8" ht="15.75" hidden="1" customHeight="1" x14ac:dyDescent="0.25">
      <c r="A382" s="5" t="s">
        <v>1717</v>
      </c>
      <c r="C382" s="3" t="s">
        <v>906</v>
      </c>
      <c r="D382" s="12">
        <f>D357*D377^2</f>
        <v>2.1154636438138996</v>
      </c>
      <c r="E382" s="12">
        <f>E357*E377^2</f>
        <v>2.1154636438138996</v>
      </c>
      <c r="F382" s="12">
        <f>F357*F377^2</f>
        <v>0</v>
      </c>
      <c r="G382" s="12">
        <f>G357*G377^2</f>
        <v>0</v>
      </c>
      <c r="H382" s="12">
        <f>H357*H377^2</f>
        <v>0</v>
      </c>
    </row>
    <row r="383" spans="1:8" ht="15.75" hidden="1" customHeight="1" x14ac:dyDescent="0.25">
      <c r="A383" s="5" t="s">
        <v>1716</v>
      </c>
      <c r="C383" s="3" t="s">
        <v>906</v>
      </c>
      <c r="D383" s="12">
        <f>0.5*D359*D378^2</f>
        <v>1.5099136388809311</v>
      </c>
      <c r="E383" s="12">
        <f>0.5*E359*E378^2</f>
        <v>1.5099136388809311</v>
      </c>
      <c r="F383" s="12">
        <f>0.5*F359*F378^2</f>
        <v>0.44831569589666165</v>
      </c>
      <c r="G383" s="12">
        <f>0.5*G359*G378^2</f>
        <v>0.44831569589666165</v>
      </c>
      <c r="H383" s="12">
        <f>0.5*H359*H378^2</f>
        <v>0.44831569589666165</v>
      </c>
    </row>
    <row r="384" spans="1:8" ht="15.75" hidden="1" customHeight="1" x14ac:dyDescent="0.25">
      <c r="A384" s="5" t="s">
        <v>1718</v>
      </c>
      <c r="C384" s="3" t="s">
        <v>906</v>
      </c>
      <c r="D384" s="12">
        <f>D356*D379^2</f>
        <v>88.11302225129603</v>
      </c>
      <c r="E384" s="12">
        <f>E356*E379^2</f>
        <v>88.11302225129603</v>
      </c>
      <c r="F384" s="12">
        <f>F356*F379^2</f>
        <v>26.418935812500006</v>
      </c>
      <c r="G384" s="12">
        <f>G356*G379^2</f>
        <v>26.418935812500006</v>
      </c>
      <c r="H384" s="12">
        <f>H356*H379^2</f>
        <v>26.418935812500006</v>
      </c>
    </row>
    <row r="385" spans="1:8" ht="15.75" hidden="1" customHeight="1" x14ac:dyDescent="0.25">
      <c r="A385" s="5" t="s">
        <v>1728</v>
      </c>
      <c r="B385" s="2" t="s">
        <v>1719</v>
      </c>
      <c r="C385" s="3" t="s">
        <v>906</v>
      </c>
      <c r="D385" s="12">
        <f>D380+D381+D382+D383+D384</f>
        <v>200.41602812957512</v>
      </c>
      <c r="E385" s="12">
        <f>E380+E381+E382+E383+E384</f>
        <v>200.41602812957512</v>
      </c>
      <c r="F385" s="12">
        <f>F380+F381+F382+F383+F384</f>
        <v>53.734503016793333</v>
      </c>
      <c r="G385" s="12">
        <f>G380+G381+G382+G383+G384</f>
        <v>53.734503016793333</v>
      </c>
      <c r="H385" s="12">
        <f>H380+H381+H382+H383+H384</f>
        <v>53.734503016793333</v>
      </c>
    </row>
    <row r="386" spans="1:8" ht="15" hidden="1" customHeight="1" x14ac:dyDescent="0.25">
      <c r="A386" s="5" t="s">
        <v>888</v>
      </c>
      <c r="B386" s="2" t="s">
        <v>947</v>
      </c>
      <c r="C386" s="3" t="s">
        <v>873</v>
      </c>
      <c r="D386" s="12">
        <f>(1/12)*D354*D353^3</f>
        <v>1.9693672357500001E-2</v>
      </c>
      <c r="E386" s="12">
        <f>(1/12)*E354*E353^3</f>
        <v>1.9693672357500001E-2</v>
      </c>
      <c r="F386" s="12">
        <f>(1/12)*F354*F353^3</f>
        <v>1.5722437500000002E-2</v>
      </c>
      <c r="G386" s="12">
        <f>(1/12)*G354*G353^3</f>
        <v>1.5722437500000002E-2</v>
      </c>
      <c r="H386" s="12">
        <f>(1/12)*H354*H353^3</f>
        <v>1.5722437500000002E-2</v>
      </c>
    </row>
    <row r="387" spans="1:8" ht="15" hidden="1" customHeight="1" x14ac:dyDescent="0.25">
      <c r="A387" s="5" t="s">
        <v>1724</v>
      </c>
      <c r="B387" s="2" t="s">
        <v>1720</v>
      </c>
      <c r="C387" s="3" t="s">
        <v>873</v>
      </c>
      <c r="D387" s="12">
        <f>(1/12)*(SQRT(0.5*D$359))^4</f>
        <v>6.9226526367187357E-4</v>
      </c>
      <c r="E387" s="12">
        <f>(1/12)*(SQRT(0.5*E$359))^4</f>
        <v>6.9226526367187357E-4</v>
      </c>
      <c r="F387" s="12">
        <f>(1/12)*(SQRT(0.5*F$359))^4</f>
        <v>1.1594083333333126E-4</v>
      </c>
      <c r="G387" s="12">
        <f>(1/12)*(SQRT(0.5*G$359))^4</f>
        <v>1.1594083333333126E-4</v>
      </c>
      <c r="H387" s="12">
        <f>(1/12)*(SQRT(0.5*H$359))^4</f>
        <v>1.1594083333333126E-4</v>
      </c>
    </row>
    <row r="388" spans="1:8" ht="15" hidden="1" customHeight="1" x14ac:dyDescent="0.25">
      <c r="A388" s="5" t="s">
        <v>887</v>
      </c>
      <c r="B388" s="2" t="s">
        <v>1721</v>
      </c>
      <c r="C388" s="3" t="s">
        <v>873</v>
      </c>
      <c r="D388" s="12">
        <f>(1/12)*D351*D355^3</f>
        <v>23.680488961562506</v>
      </c>
      <c r="E388" s="12">
        <f>(1/12)*E351*E355^3</f>
        <v>23.680488961562506</v>
      </c>
      <c r="F388" s="12">
        <f>(1/12)*F351*F355^3</f>
        <v>8.0214223466666681</v>
      </c>
      <c r="G388" s="12">
        <f>(1/12)*G351*G355^3</f>
        <v>8.0214223466666681</v>
      </c>
      <c r="H388" s="12">
        <f>(1/12)*H351*H355^3</f>
        <v>8.0214223466666681</v>
      </c>
    </row>
    <row r="389" spans="1:8" ht="15" hidden="1" customHeight="1" x14ac:dyDescent="0.25">
      <c r="A389" s="5" t="s">
        <v>1725</v>
      </c>
      <c r="B389" s="2" t="s">
        <v>1722</v>
      </c>
      <c r="C389" s="3" t="s">
        <v>873</v>
      </c>
      <c r="D389" s="12">
        <f>(1/12)*(SQRT(0.5*D$359))^4</f>
        <v>6.9226526367187357E-4</v>
      </c>
      <c r="E389" s="12">
        <f>(1/12)*(SQRT(0.5*E$359))^4</f>
        <v>6.9226526367187357E-4</v>
      </c>
      <c r="F389" s="12">
        <f>(1/12)*(SQRT(0.5*F$359))^4</f>
        <v>1.1594083333333126E-4</v>
      </c>
      <c r="G389" s="12">
        <f>(1/12)*(SQRT(0.5*G$359))^4</f>
        <v>1.1594083333333126E-4</v>
      </c>
      <c r="H389" s="12">
        <f>(1/12)*(SQRT(0.5*H$359))^4</f>
        <v>1.1594083333333126E-4</v>
      </c>
    </row>
    <row r="390" spans="1:8" ht="15" hidden="1" customHeight="1" x14ac:dyDescent="0.25">
      <c r="A390" s="5" t="s">
        <v>886</v>
      </c>
      <c r="B390" s="2" t="s">
        <v>1723</v>
      </c>
      <c r="C390" s="3" t="s">
        <v>873</v>
      </c>
      <c r="D390" s="12">
        <f>(1/12)*D354*D352^3</f>
        <v>7.8170658969960921E-2</v>
      </c>
      <c r="E390" s="12">
        <f>(1/12)*E354*E352^3</f>
        <v>7.8170658969960921E-2</v>
      </c>
      <c r="F390" s="12">
        <f>(1/12)*F354*F352^3</f>
        <v>1.5722437500000002E-2</v>
      </c>
      <c r="G390" s="12">
        <f>(1/12)*G354*G352^3</f>
        <v>1.5722437500000002E-2</v>
      </c>
      <c r="H390" s="12">
        <f>(1/12)*H354*H352^3</f>
        <v>1.5722437500000002E-2</v>
      </c>
    </row>
    <row r="391" spans="1:8" ht="15.75" hidden="1" customHeight="1" x14ac:dyDescent="0.25">
      <c r="A391" s="5" t="s">
        <v>1728</v>
      </c>
      <c r="B391" s="2" t="s">
        <v>1726</v>
      </c>
      <c r="C391" s="3" t="s">
        <v>1727</v>
      </c>
      <c r="D391" s="12">
        <f>D386+D387+D388+D389+D390</f>
        <v>23.77973782341731</v>
      </c>
      <c r="E391" s="12">
        <f>E386+E387+E388+E389+E390</f>
        <v>23.77973782341731</v>
      </c>
      <c r="F391" s="12">
        <f>F386+F387+F388+F389+F390</f>
        <v>8.0530991033333343</v>
      </c>
      <c r="G391" s="12">
        <f>G386+G387+G388+G389+G390</f>
        <v>8.0530991033333343</v>
      </c>
      <c r="H391" s="12">
        <f>H386+H387+H388+H389+H390</f>
        <v>8.0530991033333343</v>
      </c>
    </row>
    <row r="392" spans="1:8" ht="15" hidden="1" customHeight="1" x14ac:dyDescent="0.25">
      <c r="A392" s="127" t="s">
        <v>866</v>
      </c>
      <c r="B392" s="128" t="s">
        <v>2459</v>
      </c>
      <c r="C392" s="129" t="s">
        <v>2343</v>
      </c>
      <c r="D392" s="56">
        <f>D385+D391</f>
        <v>224.19576595299245</v>
      </c>
      <c r="E392" s="56">
        <f>E385+E391</f>
        <v>224.19576595299245</v>
      </c>
      <c r="F392" s="56">
        <f>F385+F391</f>
        <v>61.787602120126664</v>
      </c>
      <c r="G392" s="56">
        <f>G385+G391</f>
        <v>61.787602120126664</v>
      </c>
      <c r="H392" s="56">
        <f>H385+H391</f>
        <v>61.787602120126664</v>
      </c>
    </row>
    <row r="393" spans="1:8" ht="12.75" hidden="1" customHeight="1" x14ac:dyDescent="0.2">
      <c r="D393" s="12"/>
      <c r="E393" s="12"/>
      <c r="F393" s="12"/>
      <c r="G393" s="12"/>
      <c r="H393" s="12"/>
    </row>
    <row r="394" spans="1:8" ht="15" hidden="1" customHeight="1" x14ac:dyDescent="0.25">
      <c r="A394" s="37" t="s">
        <v>1746</v>
      </c>
      <c r="B394" s="40" t="s">
        <v>1772</v>
      </c>
      <c r="C394" s="3" t="s">
        <v>900</v>
      </c>
      <c r="D394" s="44">
        <f>D360/2</f>
        <v>4.4906287499999999</v>
      </c>
      <c r="E394" s="44">
        <f>E360/2</f>
        <v>4.4906287499999999</v>
      </c>
      <c r="F394" s="44">
        <f>F360/2</f>
        <v>2.63</v>
      </c>
      <c r="G394" s="44">
        <f>G360/2</f>
        <v>2.63</v>
      </c>
      <c r="H394" s="44">
        <f>H360/2</f>
        <v>2.63</v>
      </c>
    </row>
    <row r="395" spans="1:8" ht="15" hidden="1" customHeight="1" x14ac:dyDescent="0.25">
      <c r="A395" s="37" t="s">
        <v>1747</v>
      </c>
      <c r="B395" s="40" t="s">
        <v>1773</v>
      </c>
      <c r="C395" s="3" t="s">
        <v>900</v>
      </c>
      <c r="D395" s="44">
        <f>D360/2</f>
        <v>4.4906287499999999</v>
      </c>
      <c r="E395" s="44">
        <f>E360/2</f>
        <v>4.4906287499999999</v>
      </c>
      <c r="F395" s="44">
        <f>F360/2</f>
        <v>2.63</v>
      </c>
      <c r="G395" s="44">
        <f>G360/2</f>
        <v>2.63</v>
      </c>
      <c r="H395" s="44">
        <f>H360/2</f>
        <v>2.63</v>
      </c>
    </row>
    <row r="396" spans="1:8" ht="15" hidden="1" customHeight="1" x14ac:dyDescent="0.25">
      <c r="A396" s="5" t="s">
        <v>881</v>
      </c>
      <c r="B396" s="2" t="s">
        <v>944</v>
      </c>
      <c r="C396" s="3" t="s">
        <v>900</v>
      </c>
      <c r="D396" s="12">
        <f>D356</f>
        <v>3.9188924999999997</v>
      </c>
      <c r="E396" s="12">
        <f>E356</f>
        <v>3.9188924999999997</v>
      </c>
      <c r="F396" s="12">
        <f>F356</f>
        <v>1.7325000000000002</v>
      </c>
      <c r="G396" s="12">
        <f>G356</f>
        <v>1.7325000000000002</v>
      </c>
      <c r="H396" s="12">
        <f>H356</f>
        <v>1.7325000000000002</v>
      </c>
    </row>
    <row r="397" spans="1:8" ht="15" hidden="1" customHeight="1" x14ac:dyDescent="0.25">
      <c r="A397" s="5" t="s">
        <v>883</v>
      </c>
      <c r="B397" s="2" t="s">
        <v>946</v>
      </c>
      <c r="C397" s="3" t="s">
        <v>900</v>
      </c>
      <c r="D397" s="12">
        <f>D358</f>
        <v>2.4750899999999998</v>
      </c>
      <c r="E397" s="12">
        <f>E358</f>
        <v>2.4750899999999998</v>
      </c>
      <c r="F397" s="12">
        <f>F358</f>
        <v>1.7325000000000002</v>
      </c>
      <c r="G397" s="12">
        <f>G358</f>
        <v>1.7325000000000002</v>
      </c>
      <c r="H397" s="12">
        <f>H358</f>
        <v>1.7325000000000002</v>
      </c>
    </row>
    <row r="398" spans="1:8" ht="12.75" hidden="1" customHeight="1" x14ac:dyDescent="0.2">
      <c r="A398" s="5" t="s">
        <v>1748</v>
      </c>
      <c r="D398" s="44" t="str">
        <f>IF(D394&lt;D396,"Top Flange",IF(D395&lt;D397,"Bottom Flange","Web"))</f>
        <v>Web</v>
      </c>
      <c r="E398" s="44" t="str">
        <f>IF(E394&lt;E396,"Top Flange",IF(E395&lt;E397,"Bottom Flange","Web"))</f>
        <v>Web</v>
      </c>
      <c r="F398" s="44" t="str">
        <f>IF(F394&lt;F396,"Top Flange",IF(F395&lt;F397,"Bottom Flange","Web"))</f>
        <v>Web</v>
      </c>
      <c r="G398" s="44" t="str">
        <f>IF(G394&lt;G396,"Top Flange",IF(G395&lt;G397,"Bottom Flange","Web"))</f>
        <v>Web</v>
      </c>
      <c r="H398" s="44" t="str">
        <f>IF(H394&lt;H396,"Top Flange",IF(H395&lt;H397,"Bottom Flange","Web"))</f>
        <v>Web</v>
      </c>
    </row>
    <row r="399" spans="1:8" ht="12.75" hidden="1" customHeight="1" x14ac:dyDescent="0.2">
      <c r="A399" s="4"/>
      <c r="B399" s="4"/>
      <c r="C399" s="4"/>
      <c r="D399" s="4"/>
      <c r="E399" s="4"/>
      <c r="F399" s="4"/>
      <c r="G399" s="4"/>
      <c r="H399" s="4"/>
    </row>
    <row r="400" spans="1:8" ht="15" hidden="1" customHeight="1" x14ac:dyDescent="0.25">
      <c r="A400" s="5" t="s">
        <v>1758</v>
      </c>
      <c r="B400" s="2" t="s">
        <v>1759</v>
      </c>
      <c r="C400" s="3" t="s">
        <v>900</v>
      </c>
      <c r="D400" s="12">
        <f>IF(D$398="Top Flange",ABS(D394-D396),0)</f>
        <v>0</v>
      </c>
      <c r="E400" s="12">
        <f>IF(E$398="Top Flange",ABS(E394-E396),0)</f>
        <v>0</v>
      </c>
      <c r="F400" s="12">
        <f>IF(F$398="Top Flange",ABS(F394-F396),0)</f>
        <v>0</v>
      </c>
      <c r="G400" s="12">
        <f>IF(G$398="Top Flange",ABS(G394-G396),0)</f>
        <v>0</v>
      </c>
      <c r="H400" s="12">
        <f>IF(H$398="Top Flange",ABS(H394-H396),0)</f>
        <v>0</v>
      </c>
    </row>
    <row r="401" spans="1:8" ht="15" hidden="1" customHeight="1" x14ac:dyDescent="0.25">
      <c r="A401" s="5" t="s">
        <v>1749</v>
      </c>
      <c r="B401" s="2" t="s">
        <v>1751</v>
      </c>
      <c r="C401" s="3" t="s">
        <v>900</v>
      </c>
      <c r="D401" s="12">
        <f>D396-D400</f>
        <v>3.9188924999999997</v>
      </c>
      <c r="E401" s="12">
        <f>E396-E400</f>
        <v>3.9188924999999997</v>
      </c>
      <c r="F401" s="12">
        <f>F396-F400</f>
        <v>1.7325000000000002</v>
      </c>
      <c r="G401" s="12">
        <f>G396-G400</f>
        <v>1.7325000000000002</v>
      </c>
      <c r="H401" s="12">
        <f>H396-H400</f>
        <v>1.7325000000000002</v>
      </c>
    </row>
    <row r="402" spans="1:8" ht="14.25" hidden="1" customHeight="1" x14ac:dyDescent="0.25">
      <c r="A402" s="5" t="s">
        <v>1761</v>
      </c>
      <c r="B402" s="2" t="s">
        <v>1763</v>
      </c>
      <c r="C402" s="3" t="s">
        <v>407</v>
      </c>
      <c r="D402" s="15">
        <f>D400/D$354</f>
        <v>0</v>
      </c>
      <c r="E402" s="15">
        <f>E400/E$354</f>
        <v>0</v>
      </c>
      <c r="F402" s="15">
        <f>F400/F$354</f>
        <v>0</v>
      </c>
      <c r="G402" s="15">
        <f>G400/G$354</f>
        <v>0</v>
      </c>
      <c r="H402" s="15">
        <f>H400/H$354</f>
        <v>0</v>
      </c>
    </row>
    <row r="403" spans="1:8" ht="12.75" hidden="1" customHeight="1" x14ac:dyDescent="0.2">
      <c r="D403" s="12"/>
      <c r="E403" s="12"/>
      <c r="F403" s="12"/>
      <c r="G403" s="12"/>
      <c r="H403" s="12"/>
    </row>
    <row r="404" spans="1:8" ht="15" hidden="1" customHeight="1" x14ac:dyDescent="0.25">
      <c r="A404" s="5" t="s">
        <v>1750</v>
      </c>
      <c r="B404" s="2" t="s">
        <v>1760</v>
      </c>
      <c r="C404" s="3" t="s">
        <v>900</v>
      </c>
      <c r="D404" s="12">
        <f>IF(D$398="Bottom Flange",ABS(D395-D397),0)</f>
        <v>0</v>
      </c>
      <c r="E404" s="12">
        <f>IF(E$398="Bottom Flange",ABS(E395-E397),0)</f>
        <v>0</v>
      </c>
      <c r="F404" s="12">
        <f>IF(F$398="Bottom Flange",ABS(F395-F397),0)</f>
        <v>0</v>
      </c>
      <c r="G404" s="12">
        <f>IF(G$398="Bottom Flange",ABS(G395-G397),0)</f>
        <v>0</v>
      </c>
      <c r="H404" s="12">
        <f>IF(H$398="Bottom Flange",ABS(H395-H397),0)</f>
        <v>0</v>
      </c>
    </row>
    <row r="405" spans="1:8" ht="15" hidden="1" customHeight="1" x14ac:dyDescent="0.25">
      <c r="A405" s="5" t="s">
        <v>1757</v>
      </c>
      <c r="B405" s="2" t="s">
        <v>1752</v>
      </c>
      <c r="C405" s="3" t="s">
        <v>900</v>
      </c>
      <c r="D405" s="12">
        <f>D397-D404</f>
        <v>2.4750899999999998</v>
      </c>
      <c r="E405" s="12">
        <f>E397-E404</f>
        <v>2.4750899999999998</v>
      </c>
      <c r="F405" s="12">
        <f>F397-F404</f>
        <v>1.7325000000000002</v>
      </c>
      <c r="G405" s="12">
        <f>G397-G404</f>
        <v>1.7325000000000002</v>
      </c>
      <c r="H405" s="12">
        <f>H397-H404</f>
        <v>1.7325000000000002</v>
      </c>
    </row>
    <row r="406" spans="1:8" ht="14.25" hidden="1" customHeight="1" x14ac:dyDescent="0.25">
      <c r="A406" s="5" t="s">
        <v>2467</v>
      </c>
      <c r="B406" s="2" t="s">
        <v>1762</v>
      </c>
      <c r="C406" s="3" t="s">
        <v>407</v>
      </c>
      <c r="D406" s="15">
        <f>D404/D$354</f>
        <v>0</v>
      </c>
      <c r="E406" s="15">
        <f>E404/E$354</f>
        <v>0</v>
      </c>
      <c r="F406" s="15">
        <f>F404/F$354</f>
        <v>0</v>
      </c>
      <c r="G406" s="15">
        <f>G404/G$354</f>
        <v>0</v>
      </c>
      <c r="H406" s="15">
        <f>H404/H$354</f>
        <v>0</v>
      </c>
    </row>
    <row r="407" spans="1:8" ht="12.75" hidden="1" customHeight="1" x14ac:dyDescent="0.2"/>
    <row r="408" spans="1:8" ht="15" hidden="1" customHeight="1" x14ac:dyDescent="0.25">
      <c r="A408" s="5" t="s">
        <v>1737</v>
      </c>
      <c r="B408" s="2" t="s">
        <v>1753</v>
      </c>
      <c r="C408" s="3" t="s">
        <v>900</v>
      </c>
      <c r="D408" s="15">
        <f>IF(D398="Web",D394-D396-(0.5*D359),IF(D398="Top Flange",0,D357))</f>
        <v>0.48059250000000037</v>
      </c>
      <c r="E408" s="15">
        <f>IF(E398="Web",E394-E396-(0.5*E359),IF(E398="Top Flange",0,E357))</f>
        <v>0.48059250000000037</v>
      </c>
      <c r="F408" s="15">
        <f>IF(F398="Web",F394-F396-(0.5*F359),IF(F398="Top Flange",0,F357))</f>
        <v>0.86020000000000008</v>
      </c>
      <c r="G408" s="15">
        <f>IF(G398="Web",G394-G396-(0.5*G359),IF(G398="Top Flange",0,G357))</f>
        <v>0.86020000000000008</v>
      </c>
      <c r="H408" s="15">
        <f>IF(H398="Web",H394-H396-(0.5*H359),IF(H398="Top Flange",0,H357))</f>
        <v>0.86020000000000008</v>
      </c>
    </row>
    <row r="409" spans="1:8" ht="14.25" hidden="1" customHeight="1" x14ac:dyDescent="0.25">
      <c r="A409" s="5" t="s">
        <v>1732</v>
      </c>
      <c r="B409" s="2" t="s">
        <v>1754</v>
      </c>
      <c r="C409" s="3" t="s">
        <v>407</v>
      </c>
      <c r="D409" s="15">
        <f>D408/D351</f>
        <v>2.1721694915254255</v>
      </c>
      <c r="E409" s="15">
        <f>E408/E351</f>
        <v>2.1721694915254255</v>
      </c>
      <c r="F409" s="15">
        <f>F408/F351</f>
        <v>3.74</v>
      </c>
      <c r="G409" s="15">
        <f>G408/G351</f>
        <v>3.74</v>
      </c>
      <c r="H409" s="15">
        <f>H408/H351</f>
        <v>3.74</v>
      </c>
    </row>
    <row r="410" spans="1:8" ht="15" hidden="1" customHeight="1" x14ac:dyDescent="0.25">
      <c r="A410" s="5" t="s">
        <v>1736</v>
      </c>
      <c r="B410" s="2" t="s">
        <v>1755</v>
      </c>
      <c r="C410" s="3" t="s">
        <v>900</v>
      </c>
      <c r="D410" s="15">
        <f>IF(D398="Web",D395-D397-(0.5*D359),IF(D398="Bottom Flange",0,D357))</f>
        <v>1.9243950000000003</v>
      </c>
      <c r="E410" s="15">
        <f>IF(E398="Web",E395-E397-(0.5*E359),IF(E398="Bottom Flange",0,E357))</f>
        <v>1.9243950000000003</v>
      </c>
      <c r="F410" s="15">
        <f>IF(F398="Web",F395-F397-(0.5*F359),IF(F398="Bottom Flange",0,F357))</f>
        <v>0.86020000000000008</v>
      </c>
      <c r="G410" s="15">
        <f>IF(G398="Web",G395-G397-(0.5*G359),IF(G398="Bottom Flange",0,G357))</f>
        <v>0.86020000000000008</v>
      </c>
      <c r="H410" s="15">
        <f>IF(H398="Web",H395-H397-(0.5*H359),IF(H398="Bottom Flange",0,H357))</f>
        <v>0.86020000000000008</v>
      </c>
    </row>
    <row r="411" spans="1:8" ht="14.25" hidden="1" customHeight="1" x14ac:dyDescent="0.25">
      <c r="A411" s="5" t="s">
        <v>1731</v>
      </c>
      <c r="B411" s="2" t="s">
        <v>1756</v>
      </c>
      <c r="C411" s="3" t="s">
        <v>407</v>
      </c>
      <c r="D411" s="15">
        <f>D410/D351</f>
        <v>8.6978305084745777</v>
      </c>
      <c r="E411" s="15">
        <f>E410/E351</f>
        <v>8.6978305084745777</v>
      </c>
      <c r="F411" s="15">
        <f>F410/F351</f>
        <v>3.74</v>
      </c>
      <c r="G411" s="15">
        <f>G410/G351</f>
        <v>3.74</v>
      </c>
      <c r="H411" s="15">
        <f>H410/H351</f>
        <v>3.74</v>
      </c>
    </row>
    <row r="412" spans="1:8" ht="12.75" hidden="1" customHeight="1" x14ac:dyDescent="0.2">
      <c r="D412" s="15"/>
      <c r="E412" s="15"/>
      <c r="F412" s="15"/>
      <c r="G412" s="15"/>
      <c r="H412" s="15"/>
    </row>
    <row r="413" spans="1:8" ht="14.25" hidden="1" customHeight="1" x14ac:dyDescent="0.25">
      <c r="A413" s="127" t="s">
        <v>1730</v>
      </c>
      <c r="B413" s="128" t="s">
        <v>1774</v>
      </c>
      <c r="C413" s="129" t="s">
        <v>407</v>
      </c>
      <c r="D413" s="56">
        <f>D352+D409-D402+D406</f>
        <v>2.6614194915254252</v>
      </c>
      <c r="E413" s="56">
        <f>E352+E409-E402+E406</f>
        <v>2.6614194915254252</v>
      </c>
      <c r="F413" s="56">
        <f>F352+F409-F402+F406</f>
        <v>4.07</v>
      </c>
      <c r="G413" s="56">
        <f>G352+G409-G402+G406</f>
        <v>4.07</v>
      </c>
      <c r="H413" s="56">
        <f>H352+H409-H402+H406</f>
        <v>4.07</v>
      </c>
    </row>
    <row r="414" spans="1:8" ht="14.25" hidden="1" customHeight="1" x14ac:dyDescent="0.25">
      <c r="A414" s="37" t="s">
        <v>1729</v>
      </c>
      <c r="B414" s="40" t="s">
        <v>1775</v>
      </c>
      <c r="C414" s="3" t="s">
        <v>407</v>
      </c>
      <c r="D414" s="44">
        <f>D353+D411-D406+D402</f>
        <v>9.006830508474577</v>
      </c>
      <c r="E414" s="44">
        <f>E353+E411-E406+E402</f>
        <v>9.006830508474577</v>
      </c>
      <c r="F414" s="44">
        <f>F353+F411-F406+F402</f>
        <v>4.07</v>
      </c>
      <c r="G414" s="44">
        <f>G353+G411-G406+G402</f>
        <v>4.07</v>
      </c>
      <c r="H414" s="44">
        <f>H353+H411-H406+H402</f>
        <v>4.07</v>
      </c>
    </row>
    <row r="415" spans="1:8" ht="14.25" hidden="1" customHeight="1" x14ac:dyDescent="0.25">
      <c r="A415" s="5" t="s">
        <v>1733</v>
      </c>
      <c r="B415" s="2" t="s">
        <v>1734</v>
      </c>
      <c r="C415" s="3" t="s">
        <v>407</v>
      </c>
      <c r="D415" s="15">
        <f>D413+D414</f>
        <v>11.668250000000002</v>
      </c>
      <c r="E415" s="15">
        <f>E413+E414</f>
        <v>11.668250000000002</v>
      </c>
      <c r="F415" s="15">
        <f>F413+F414</f>
        <v>8.14</v>
      </c>
      <c r="G415" s="15">
        <f>G413+G414</f>
        <v>8.14</v>
      </c>
      <c r="H415" s="15">
        <f>H413+H414</f>
        <v>8.14</v>
      </c>
    </row>
    <row r="416" spans="1:8" ht="12.75" hidden="1" customHeight="1" x14ac:dyDescent="0.2">
      <c r="D416" s="12"/>
      <c r="E416" s="12"/>
      <c r="F416" s="12"/>
      <c r="G416" s="12"/>
      <c r="H416" s="12"/>
    </row>
    <row r="417" spans="1:8" ht="14.25" hidden="1" customHeight="1" x14ac:dyDescent="0.25">
      <c r="A417" s="5" t="s">
        <v>2448</v>
      </c>
      <c r="B417" s="2" t="s">
        <v>1765</v>
      </c>
      <c r="C417" s="3" t="s">
        <v>407</v>
      </c>
      <c r="D417" s="12">
        <f>D409+(0.5*(D352-D402))</f>
        <v>2.4167944915254256</v>
      </c>
      <c r="E417" s="12">
        <f>E409+(0.5*(E352-E402))</f>
        <v>2.4167944915254256</v>
      </c>
      <c r="F417" s="12">
        <f>F409+(0.5*(F352-F402))</f>
        <v>3.9050000000000002</v>
      </c>
      <c r="G417" s="12">
        <f>G409+(0.5*(G352-G402))</f>
        <v>3.9050000000000002</v>
      </c>
      <c r="H417" s="12">
        <f>H409+(0.5*(H352-H402))</f>
        <v>3.9050000000000002</v>
      </c>
    </row>
    <row r="418" spans="1:8" ht="14.25" hidden="1" customHeight="1" x14ac:dyDescent="0.25">
      <c r="A418" s="5" t="s">
        <v>2449</v>
      </c>
      <c r="B418" s="2" t="s">
        <v>1764</v>
      </c>
      <c r="C418" s="3" t="s">
        <v>407</v>
      </c>
      <c r="D418" s="12">
        <f>D402/2</f>
        <v>0</v>
      </c>
      <c r="E418" s="12">
        <f>E402/2</f>
        <v>0</v>
      </c>
      <c r="F418" s="12">
        <f>F402/2</f>
        <v>0</v>
      </c>
      <c r="G418" s="12">
        <f>G402/2</f>
        <v>0</v>
      </c>
      <c r="H418" s="12">
        <f>H402/2</f>
        <v>0</v>
      </c>
    </row>
    <row r="419" spans="1:8" ht="15" hidden="1" customHeight="1" x14ac:dyDescent="0.25">
      <c r="A419" s="5" t="s">
        <v>2450</v>
      </c>
      <c r="B419" s="2" t="s">
        <v>1687</v>
      </c>
      <c r="C419" s="3" t="s">
        <v>407</v>
      </c>
      <c r="D419" s="12">
        <f>ABS(D413-D352-SQRT(D$359))</f>
        <v>1.7452180891386899</v>
      </c>
      <c r="E419" s="12">
        <f>ABS(E413-E352-SQRT(E$359))</f>
        <v>1.7452180891386899</v>
      </c>
      <c r="F419" s="12">
        <f>ABS(F413-F352-SQRT(F$359))</f>
        <v>3.4668699943250481</v>
      </c>
      <c r="G419" s="12">
        <f>ABS(G413-G352-SQRT(G$359))</f>
        <v>3.4668699943250481</v>
      </c>
      <c r="H419" s="12">
        <f>ABS(H413-H352-SQRT(H$359))</f>
        <v>3.4668699943250481</v>
      </c>
    </row>
    <row r="420" spans="1:8" ht="15" hidden="1" customHeight="1" x14ac:dyDescent="0.25">
      <c r="A420" s="5" t="s">
        <v>2451</v>
      </c>
      <c r="B420" s="2" t="s">
        <v>1688</v>
      </c>
      <c r="C420" s="3" t="s">
        <v>407</v>
      </c>
      <c r="D420" s="12">
        <f>0.5*D409-D406</f>
        <v>1.0860847457627127</v>
      </c>
      <c r="E420" s="12">
        <f>0.5*E409-E406</f>
        <v>1.0860847457627127</v>
      </c>
      <c r="F420" s="12">
        <f>0.5*F409-F406</f>
        <v>1.87</v>
      </c>
      <c r="G420" s="12">
        <f>0.5*G409-G406</f>
        <v>1.87</v>
      </c>
      <c r="H420" s="12">
        <f>0.5*H409-H406</f>
        <v>1.87</v>
      </c>
    </row>
    <row r="421" spans="1:8" ht="15" hidden="1" customHeight="1" x14ac:dyDescent="0.25">
      <c r="A421" s="5" t="s">
        <v>2452</v>
      </c>
      <c r="B421" s="2" t="s">
        <v>1689</v>
      </c>
      <c r="C421" s="3" t="s">
        <v>407</v>
      </c>
      <c r="D421" s="12">
        <f>0.5*D411-D402</f>
        <v>4.3489152542372889</v>
      </c>
      <c r="E421" s="12">
        <f>0.5*E411-E402</f>
        <v>4.3489152542372889</v>
      </c>
      <c r="F421" s="12">
        <f>0.5*F411-F402</f>
        <v>1.87</v>
      </c>
      <c r="G421" s="12">
        <f>0.5*G411-G402</f>
        <v>1.87</v>
      </c>
      <c r="H421" s="12">
        <f>0.5*H411-H402</f>
        <v>1.87</v>
      </c>
    </row>
    <row r="422" spans="1:8" ht="15" hidden="1" customHeight="1" x14ac:dyDescent="0.25">
      <c r="A422" s="5" t="s">
        <v>2453</v>
      </c>
      <c r="B422" s="2" t="s">
        <v>1690</v>
      </c>
      <c r="C422" s="3" t="s">
        <v>407</v>
      </c>
      <c r="D422" s="12">
        <f>ABS(D414-D353-SQRT(D$359))</f>
        <v>8.2708791060878433</v>
      </c>
      <c r="E422" s="12">
        <f>ABS(E414-E353-SQRT(E$359))</f>
        <v>8.2708791060878433</v>
      </c>
      <c r="F422" s="12">
        <f>ABS(F414-F353-SQRT(F$359))</f>
        <v>3.4668699943250481</v>
      </c>
      <c r="G422" s="12">
        <f>ABS(G414-G353-SQRT(G$359))</f>
        <v>3.4668699943250481</v>
      </c>
      <c r="H422" s="12">
        <f>ABS(H414-H353-SQRT(H$359))</f>
        <v>3.4668699943250481</v>
      </c>
    </row>
    <row r="423" spans="1:8" ht="14.25" hidden="1" customHeight="1" x14ac:dyDescent="0.25">
      <c r="A423" s="5" t="s">
        <v>2447</v>
      </c>
      <c r="B423" s="2" t="s">
        <v>1766</v>
      </c>
      <c r="C423" s="3" t="s">
        <v>407</v>
      </c>
      <c r="D423" s="12">
        <f>D406/2</f>
        <v>0</v>
      </c>
      <c r="E423" s="12">
        <f>E406/2</f>
        <v>0</v>
      </c>
      <c r="F423" s="12">
        <f>F406/2</f>
        <v>0</v>
      </c>
      <c r="G423" s="12">
        <f>G406/2</f>
        <v>0</v>
      </c>
      <c r="H423" s="12">
        <f>H406/2</f>
        <v>0</v>
      </c>
    </row>
    <row r="424" spans="1:8" ht="14.25" hidden="1" customHeight="1" x14ac:dyDescent="0.25">
      <c r="A424" s="5" t="s">
        <v>2454</v>
      </c>
      <c r="B424" s="2" t="s">
        <v>1767</v>
      </c>
      <c r="C424" s="3" t="s">
        <v>407</v>
      </c>
      <c r="D424" s="12">
        <f>D411+(0.5*(D353-D406))</f>
        <v>8.8523305084745783</v>
      </c>
      <c r="E424" s="12">
        <f>E411+(0.5*(E353-E406))</f>
        <v>8.8523305084745783</v>
      </c>
      <c r="F424" s="12">
        <f>F411+(0.5*(F353-F406))</f>
        <v>3.9050000000000002</v>
      </c>
      <c r="G424" s="12">
        <f>G411+(0.5*(G353-G406))</f>
        <v>3.9050000000000002</v>
      </c>
      <c r="H424" s="12">
        <f>H411+(0.5*(H353-H406))</f>
        <v>3.9050000000000002</v>
      </c>
    </row>
    <row r="425" spans="1:8" ht="12.75" hidden="1" customHeight="1" x14ac:dyDescent="0.2">
      <c r="D425" s="12"/>
      <c r="E425" s="12"/>
      <c r="F425" s="12"/>
      <c r="G425" s="12"/>
      <c r="H425" s="12"/>
    </row>
    <row r="426" spans="1:8" ht="15" hidden="1" customHeight="1" x14ac:dyDescent="0.25">
      <c r="A426" s="5" t="s">
        <v>1769</v>
      </c>
      <c r="C426" s="3" t="s">
        <v>906</v>
      </c>
      <c r="D426" s="12">
        <f>D401*D417</f>
        <v>9.4711578068803028</v>
      </c>
      <c r="E426" s="12">
        <f>E401*E417</f>
        <v>9.4711578068803028</v>
      </c>
      <c r="F426" s="12">
        <f>F401*F417</f>
        <v>6.7654125000000009</v>
      </c>
      <c r="G426" s="12">
        <f>G401*G417</f>
        <v>6.7654125000000009</v>
      </c>
      <c r="H426" s="12">
        <f>H401*H417</f>
        <v>6.7654125000000009</v>
      </c>
    </row>
    <row r="427" spans="1:8" ht="15" hidden="1" customHeight="1" x14ac:dyDescent="0.25">
      <c r="A427" s="5" t="s">
        <v>1770</v>
      </c>
      <c r="C427" s="3" t="s">
        <v>906</v>
      </c>
      <c r="D427" s="12">
        <f>D404*D423</f>
        <v>0</v>
      </c>
      <c r="E427" s="12">
        <f>E404*E423</f>
        <v>0</v>
      </c>
      <c r="F427" s="12">
        <f>F404*F423</f>
        <v>0</v>
      </c>
      <c r="G427" s="12">
        <f>G404*G423</f>
        <v>0</v>
      </c>
      <c r="H427" s="12">
        <f>H404*H423</f>
        <v>0</v>
      </c>
    </row>
    <row r="428" spans="1:8" ht="15" hidden="1" customHeight="1" x14ac:dyDescent="0.25">
      <c r="A428" s="5" t="s">
        <v>1701</v>
      </c>
      <c r="C428" s="3" t="s">
        <v>906</v>
      </c>
      <c r="D428" s="12">
        <f>0.5*D$359*D419</f>
        <v>0.15906572121193432</v>
      </c>
      <c r="E428" s="12">
        <f>0.5*E$359*E419</f>
        <v>0.15906572121193432</v>
      </c>
      <c r="F428" s="12">
        <f>0.5*F$359*F419</f>
        <v>0.12931425078832315</v>
      </c>
      <c r="G428" s="12">
        <f>0.5*G$359*G419</f>
        <v>0.12931425078832315</v>
      </c>
      <c r="H428" s="12">
        <f>0.5*H$359*H419</f>
        <v>0.12931425078832315</v>
      </c>
    </row>
    <row r="429" spans="1:8" ht="15" hidden="1" customHeight="1" x14ac:dyDescent="0.25">
      <c r="A429" s="5" t="s">
        <v>1739</v>
      </c>
      <c r="C429" s="3" t="s">
        <v>906</v>
      </c>
      <c r="D429" s="12">
        <f>D408*D420</f>
        <v>0.52196418317796689</v>
      </c>
      <c r="E429" s="12">
        <f>E408*E420</f>
        <v>0.52196418317796689</v>
      </c>
      <c r="F429" s="12">
        <f>F408*F420</f>
        <v>1.6085740000000002</v>
      </c>
      <c r="G429" s="12">
        <f>G408*G420</f>
        <v>1.6085740000000002</v>
      </c>
      <c r="H429" s="12">
        <f>H408*H420</f>
        <v>1.6085740000000002</v>
      </c>
    </row>
    <row r="430" spans="1:8" ht="15.75" hidden="1" customHeight="1" x14ac:dyDescent="0.25">
      <c r="A430" s="37" t="s">
        <v>2445</v>
      </c>
      <c r="C430" s="3" t="s">
        <v>906</v>
      </c>
      <c r="D430" s="44">
        <f>D426+D427+D428+D429</f>
        <v>10.152187711270205</v>
      </c>
      <c r="E430" s="44">
        <f>E426+E427+E428+E429</f>
        <v>10.152187711270205</v>
      </c>
      <c r="F430" s="44">
        <f>F426+F427+F428+F429</f>
        <v>8.5033007507883251</v>
      </c>
      <c r="G430" s="44">
        <f>G426+G427+G428+G429</f>
        <v>8.5033007507883251</v>
      </c>
      <c r="H430" s="44">
        <f>H426+H427+H428+H429</f>
        <v>8.5033007507883251</v>
      </c>
    </row>
    <row r="431" spans="1:8" ht="12.75" hidden="1" customHeight="1" x14ac:dyDescent="0.2"/>
    <row r="432" spans="1:8" ht="15" hidden="1" customHeight="1" x14ac:dyDescent="0.25">
      <c r="A432" s="5" t="s">
        <v>1738</v>
      </c>
      <c r="C432" s="3" t="s">
        <v>906</v>
      </c>
      <c r="D432" s="12">
        <f>D410*D421</f>
        <v>8.3690307706779681</v>
      </c>
      <c r="E432" s="12">
        <f>E410*E421</f>
        <v>8.3690307706779681</v>
      </c>
      <c r="F432" s="12">
        <f>F410*F421</f>
        <v>1.6085740000000002</v>
      </c>
      <c r="G432" s="12">
        <f>G410*G421</f>
        <v>1.6085740000000002</v>
      </c>
      <c r="H432" s="12">
        <f>H410*H421</f>
        <v>1.6085740000000002</v>
      </c>
    </row>
    <row r="433" spans="1:8" ht="15" hidden="1" customHeight="1" x14ac:dyDescent="0.25">
      <c r="A433" s="5" t="s">
        <v>1740</v>
      </c>
      <c r="C433" s="3" t="s">
        <v>906</v>
      </c>
      <c r="D433" s="12">
        <f>0.5*D$359*D422</f>
        <v>0.75383893752549314</v>
      </c>
      <c r="E433" s="12">
        <f>0.5*E$359*E422</f>
        <v>0.75383893752549314</v>
      </c>
      <c r="F433" s="12">
        <f>0.5*F$359*F422</f>
        <v>0.12931425078832315</v>
      </c>
      <c r="G433" s="12">
        <f>0.5*G$359*G422</f>
        <v>0.12931425078832315</v>
      </c>
      <c r="H433" s="12">
        <f>0.5*H$359*H422</f>
        <v>0.12931425078832315</v>
      </c>
    </row>
    <row r="434" spans="1:8" ht="15" hidden="1" customHeight="1" x14ac:dyDescent="0.25">
      <c r="A434" s="5" t="s">
        <v>1771</v>
      </c>
      <c r="C434" s="3" t="s">
        <v>906</v>
      </c>
      <c r="D434" s="12">
        <f>D400*D418</f>
        <v>0</v>
      </c>
      <c r="E434" s="12">
        <f>E400*E418</f>
        <v>0</v>
      </c>
      <c r="F434" s="12">
        <f>F400*F418</f>
        <v>0</v>
      </c>
      <c r="G434" s="12">
        <f>G400*G418</f>
        <v>0</v>
      </c>
      <c r="H434" s="12">
        <f>H400*H418</f>
        <v>0</v>
      </c>
    </row>
    <row r="435" spans="1:8" ht="15" hidden="1" customHeight="1" x14ac:dyDescent="0.25">
      <c r="A435" s="5" t="s">
        <v>1768</v>
      </c>
      <c r="C435" s="3" t="s">
        <v>906</v>
      </c>
      <c r="D435" s="12">
        <f>D405*D424</f>
        <v>21.910314718220341</v>
      </c>
      <c r="E435" s="12">
        <f>E405*E424</f>
        <v>21.910314718220341</v>
      </c>
      <c r="F435" s="12">
        <f>F405*F424</f>
        <v>6.7654125000000009</v>
      </c>
      <c r="G435" s="12">
        <f>G405*G424</f>
        <v>6.7654125000000009</v>
      </c>
      <c r="H435" s="12">
        <f>H405*H424</f>
        <v>6.7654125000000009</v>
      </c>
    </row>
    <row r="436" spans="1:8" ht="15.75" hidden="1" customHeight="1" x14ac:dyDescent="0.25">
      <c r="A436" s="37" t="s">
        <v>2446</v>
      </c>
      <c r="C436" s="3" t="s">
        <v>906</v>
      </c>
      <c r="D436" s="44">
        <f>D432+D433+D434+D435</f>
        <v>31.033184426423801</v>
      </c>
      <c r="E436" s="44">
        <f>E432+E433+E434+E435</f>
        <v>31.033184426423801</v>
      </c>
      <c r="F436" s="44">
        <f>F432+F433+F434+F435</f>
        <v>8.5033007507883234</v>
      </c>
      <c r="G436" s="44">
        <f>G432+G433+G434+G435</f>
        <v>8.5033007507883234</v>
      </c>
      <c r="H436" s="44">
        <f>H432+H433+H434+H435</f>
        <v>8.5033007507883234</v>
      </c>
    </row>
    <row r="437" spans="1:8" ht="12.75" hidden="1" customHeight="1" x14ac:dyDescent="0.2"/>
    <row r="438" spans="1:8" ht="15" hidden="1" customHeight="1" x14ac:dyDescent="0.25">
      <c r="A438" s="127" t="s">
        <v>413</v>
      </c>
      <c r="B438" s="128" t="s">
        <v>2408</v>
      </c>
      <c r="C438" s="129" t="s">
        <v>2359</v>
      </c>
      <c r="D438" s="56">
        <f>D430+D436</f>
        <v>41.185372137694003</v>
      </c>
      <c r="E438" s="56">
        <f>E430+E436</f>
        <v>41.185372137694003</v>
      </c>
      <c r="F438" s="56">
        <f>F430+F436</f>
        <v>17.006601501576647</v>
      </c>
      <c r="G438" s="56">
        <f>G430+G436</f>
        <v>17.006601501576647</v>
      </c>
      <c r="H438" s="56">
        <f>H430+H436</f>
        <v>17.006601501576647</v>
      </c>
    </row>
    <row r="439" spans="1:8" ht="15" hidden="1" customHeight="1" x14ac:dyDescent="0.25">
      <c r="A439" s="127" t="s">
        <v>953</v>
      </c>
      <c r="B439" s="128" t="s">
        <v>2460</v>
      </c>
      <c r="C439" s="129" t="s">
        <v>2359</v>
      </c>
      <c r="D439" s="56">
        <f>D$392/(D$373)</f>
        <v>44.96170124277468</v>
      </c>
      <c r="E439" s="56">
        <f>E$392/(E$373)</f>
        <v>44.96170124277468</v>
      </c>
      <c r="F439" s="56">
        <f>F$392/(F$373)</f>
        <v>15.181229022144143</v>
      </c>
      <c r="G439" s="56">
        <f>G$392/(G$373)</f>
        <v>15.181229022144143</v>
      </c>
      <c r="H439" s="56">
        <f>H$392/(H$373)</f>
        <v>15.181229022144143</v>
      </c>
    </row>
    <row r="440" spans="1:8" ht="15" hidden="1" customHeight="1" x14ac:dyDescent="0.25">
      <c r="A440" s="127" t="s">
        <v>954</v>
      </c>
      <c r="B440" s="128" t="s">
        <v>2461</v>
      </c>
      <c r="C440" s="129" t="s">
        <v>2359</v>
      </c>
      <c r="D440" s="56">
        <f>D$392/D$372</f>
        <v>33.552807206890591</v>
      </c>
      <c r="E440" s="56">
        <f>E$392/E$372</f>
        <v>33.552807206890591</v>
      </c>
      <c r="F440" s="56">
        <f>F$392/F$372</f>
        <v>15.181229022144143</v>
      </c>
      <c r="G440" s="56">
        <f>G$392/G$372</f>
        <v>15.181229022144143</v>
      </c>
      <c r="H440" s="56">
        <f>H$392/H$372</f>
        <v>15.181229022144143</v>
      </c>
    </row>
    <row r="441" spans="1:8" ht="14.25" hidden="1" customHeight="1" x14ac:dyDescent="0.25">
      <c r="A441" s="127" t="s">
        <v>415</v>
      </c>
      <c r="B441" s="128" t="s">
        <v>2462</v>
      </c>
      <c r="C441" s="129" t="s">
        <v>407</v>
      </c>
      <c r="D441" s="56">
        <f>SQRT(D$392/D$360)</f>
        <v>4.99626113495788</v>
      </c>
      <c r="E441" s="56">
        <f>SQRT(E$392/E$360)</f>
        <v>4.99626113495788</v>
      </c>
      <c r="F441" s="56">
        <f>SQRT(F$392/F$360)</f>
        <v>3.4273448058628464</v>
      </c>
      <c r="G441" s="56">
        <f>SQRT(G$392/G$360)</f>
        <v>3.4273448058628464</v>
      </c>
      <c r="H441" s="56">
        <f>SQRT(H$392/H$360)</f>
        <v>3.4273448058628464</v>
      </c>
    </row>
    <row r="442" spans="1:8" ht="15" hidden="1" customHeight="1" x14ac:dyDescent="0.25">
      <c r="A442" s="5" t="s">
        <v>889</v>
      </c>
      <c r="B442" s="2" t="s">
        <v>950</v>
      </c>
      <c r="C442" s="3" t="s">
        <v>873</v>
      </c>
      <c r="D442" s="12">
        <f>(D$352*D$354^3)/12</f>
        <v>20.953044557437501</v>
      </c>
      <c r="E442" s="12">
        <f>(E$352*E$354^3)/12</f>
        <v>20.953044557437501</v>
      </c>
      <c r="F442" s="12">
        <f>(F$352*F$354^3)/12</f>
        <v>3.9793359375000001</v>
      </c>
      <c r="G442" s="12">
        <f>(G$352*G$354^3)/12</f>
        <v>3.9793359375000001</v>
      </c>
      <c r="H442" s="12">
        <f>(H$352*H$354^3)/12</f>
        <v>3.9793359375000001</v>
      </c>
    </row>
    <row r="443" spans="1:8" ht="15" hidden="1" customHeight="1" x14ac:dyDescent="0.25">
      <c r="A443" s="5" t="s">
        <v>890</v>
      </c>
      <c r="B443" s="2" t="s">
        <v>951</v>
      </c>
      <c r="C443" s="3" t="s">
        <v>873</v>
      </c>
      <c r="D443" s="12">
        <f>(D$355*D$351^3)/12</f>
        <v>9.8106579931640635E-3</v>
      </c>
      <c r="E443" s="12">
        <f>(E$355*E$351^3)/12</f>
        <v>9.8106579931640635E-3</v>
      </c>
      <c r="F443" s="12">
        <f>(F$355*F$351^3)/12</f>
        <v>7.5840966666666674E-3</v>
      </c>
      <c r="G443" s="12">
        <f>(G$355*G$351^3)/12</f>
        <v>7.5840966666666674E-3</v>
      </c>
      <c r="H443" s="12">
        <f>(H$355*H$351^3)/12</f>
        <v>7.5840966666666674E-3</v>
      </c>
    </row>
    <row r="444" spans="1:8" ht="15" hidden="1" customHeight="1" x14ac:dyDescent="0.25">
      <c r="A444" s="5" t="s">
        <v>891</v>
      </c>
      <c r="B444" s="2" t="s">
        <v>952</v>
      </c>
      <c r="C444" s="3" t="s">
        <v>873</v>
      </c>
      <c r="D444" s="12">
        <f>(D$353*D$354^3)/12</f>
        <v>13.233501825750002</v>
      </c>
      <c r="E444" s="12">
        <f>(E$353*E$354^3)/12</f>
        <v>13.233501825750002</v>
      </c>
      <c r="F444" s="12">
        <f>(F$353*F$354^3)/12</f>
        <v>3.9793359375000001</v>
      </c>
      <c r="G444" s="12">
        <f>(G$353*G$354^3)/12</f>
        <v>3.9793359375000001</v>
      </c>
      <c r="H444" s="12">
        <f>(H$353*H$354^3)/12</f>
        <v>3.9793359375000001</v>
      </c>
    </row>
    <row r="445" spans="1:8" ht="15" hidden="1" customHeight="1" x14ac:dyDescent="0.25">
      <c r="A445" s="127" t="s">
        <v>867</v>
      </c>
      <c r="B445" s="128" t="s">
        <v>2463</v>
      </c>
      <c r="C445" s="129" t="s">
        <v>2343</v>
      </c>
      <c r="D445" s="56">
        <f>D$442+D$443+D$444</f>
        <v>34.196357041180669</v>
      </c>
      <c r="E445" s="56">
        <f>E$442+E$443+E$444</f>
        <v>34.196357041180669</v>
      </c>
      <c r="F445" s="56">
        <f>F$442+F$443+F$444</f>
        <v>7.9662559716666674</v>
      </c>
      <c r="G445" s="56">
        <f>G$442+G$443+G$444</f>
        <v>7.9662559716666674</v>
      </c>
      <c r="H445" s="56">
        <f>H$442+H$443+H$444</f>
        <v>7.9662559716666674</v>
      </c>
    </row>
    <row r="446" spans="1:8" ht="14.25" hidden="1" customHeight="1" x14ac:dyDescent="0.25">
      <c r="A446" s="5" t="s">
        <v>977</v>
      </c>
      <c r="B446" s="2" t="s">
        <v>976</v>
      </c>
      <c r="C446" s="3" t="s">
        <v>407</v>
      </c>
      <c r="D446" s="2">
        <f>D$354/2</f>
        <v>4.0049999999999999</v>
      </c>
      <c r="E446" s="2">
        <f>E$354/2</f>
        <v>4.0049999999999999</v>
      </c>
      <c r="F446" s="2">
        <f>F$354/2</f>
        <v>2.625</v>
      </c>
      <c r="G446" s="2">
        <f>G$354/2</f>
        <v>2.625</v>
      </c>
      <c r="H446" s="2">
        <f>H$354/2</f>
        <v>2.625</v>
      </c>
    </row>
    <row r="447" spans="1:8" ht="15" hidden="1" customHeight="1" x14ac:dyDescent="0.25">
      <c r="A447" s="5" t="s">
        <v>892</v>
      </c>
      <c r="B447" s="2" t="s">
        <v>975</v>
      </c>
      <c r="C447" s="3" t="s">
        <v>900</v>
      </c>
      <c r="D447" s="12">
        <f t="shared" ref="D447:H448" si="274">(D$356/2)+(D$357/2)+(D$358/2)+(D$359/2)</f>
        <v>4.4906287499999999</v>
      </c>
      <c r="E447" s="12">
        <f t="shared" si="274"/>
        <v>4.4906287499999999</v>
      </c>
      <c r="F447" s="12">
        <f t="shared" si="274"/>
        <v>2.63</v>
      </c>
      <c r="G447" s="12">
        <f t="shared" si="274"/>
        <v>2.63</v>
      </c>
      <c r="H447" s="12">
        <f t="shared" si="274"/>
        <v>2.63</v>
      </c>
    </row>
    <row r="448" spans="1:8" ht="15" hidden="1" customHeight="1" x14ac:dyDescent="0.25">
      <c r="A448" s="5" t="s">
        <v>893</v>
      </c>
      <c r="B448" s="2" t="s">
        <v>974</v>
      </c>
      <c r="C448" s="3" t="s">
        <v>900</v>
      </c>
      <c r="D448" s="12">
        <f t="shared" si="274"/>
        <v>4.4906287499999999</v>
      </c>
      <c r="E448" s="12">
        <f t="shared" si="274"/>
        <v>4.4906287499999999</v>
      </c>
      <c r="F448" s="12">
        <f t="shared" si="274"/>
        <v>2.63</v>
      </c>
      <c r="G448" s="12">
        <f t="shared" si="274"/>
        <v>2.63</v>
      </c>
      <c r="H448" s="12">
        <f t="shared" si="274"/>
        <v>2.63</v>
      </c>
    </row>
    <row r="449" spans="1:8" ht="14.25" hidden="1" customHeight="1" x14ac:dyDescent="0.25">
      <c r="A449" s="13" t="s">
        <v>1745</v>
      </c>
      <c r="B449" s="14" t="s">
        <v>1741</v>
      </c>
      <c r="C449" s="86" t="s">
        <v>407</v>
      </c>
      <c r="D449" s="12">
        <f t="shared" ref="D449:H450" si="275">((D$356/2)*(D$354/4)+(D$357/2)*(D$351/4)+(D$358/2)*(D$354/4)+(D$359/4))/D$447</f>
        <v>1.4505896949668515</v>
      </c>
      <c r="E449" s="12">
        <f t="shared" si="275"/>
        <v>1.4505896949668515</v>
      </c>
      <c r="F449" s="12">
        <f t="shared" si="275"/>
        <v>0.89050104562737653</v>
      </c>
      <c r="G449" s="12">
        <f t="shared" si="275"/>
        <v>0.89050104562737653</v>
      </c>
      <c r="H449" s="12">
        <f t="shared" si="275"/>
        <v>0.89050104562737653</v>
      </c>
    </row>
    <row r="450" spans="1:8" ht="14.25" hidden="1" customHeight="1" x14ac:dyDescent="0.25">
      <c r="A450" s="13" t="s">
        <v>1744</v>
      </c>
      <c r="B450" s="14" t="s">
        <v>1742</v>
      </c>
      <c r="C450" s="86" t="s">
        <v>407</v>
      </c>
      <c r="D450" s="12">
        <f t="shared" si="275"/>
        <v>1.4505896949668515</v>
      </c>
      <c r="E450" s="12">
        <f t="shared" si="275"/>
        <v>1.4505896949668515</v>
      </c>
      <c r="F450" s="12">
        <f t="shared" si="275"/>
        <v>0.89050104562737653</v>
      </c>
      <c r="G450" s="12">
        <f t="shared" si="275"/>
        <v>0.89050104562737653</v>
      </c>
      <c r="H450" s="12">
        <f t="shared" si="275"/>
        <v>0.89050104562737653</v>
      </c>
    </row>
    <row r="451" spans="1:8" ht="15" hidden="1" customHeight="1" x14ac:dyDescent="0.25">
      <c r="A451" s="13"/>
      <c r="B451" s="2" t="s">
        <v>1928</v>
      </c>
      <c r="C451" s="86" t="s">
        <v>948</v>
      </c>
      <c r="D451" s="12">
        <f t="shared" ref="D451:F452" si="276">D447*D449</f>
        <v>6.5140597886718741</v>
      </c>
      <c r="E451" s="12">
        <f t="shared" si="276"/>
        <v>6.5140597886718741</v>
      </c>
      <c r="F451" s="12">
        <f t="shared" si="276"/>
        <v>2.3420177500000001</v>
      </c>
      <c r="G451" s="12">
        <f t="shared" ref="G451:H451" si="277">G447*G449</f>
        <v>2.3420177500000001</v>
      </c>
      <c r="H451" s="12">
        <f t="shared" si="277"/>
        <v>2.3420177500000001</v>
      </c>
    </row>
    <row r="452" spans="1:8" ht="15" hidden="1" customHeight="1" x14ac:dyDescent="0.25">
      <c r="A452" s="13"/>
      <c r="B452" s="2" t="s">
        <v>1743</v>
      </c>
      <c r="C452" s="86" t="s">
        <v>948</v>
      </c>
      <c r="D452" s="12">
        <f t="shared" si="276"/>
        <v>6.5140597886718741</v>
      </c>
      <c r="E452" s="12">
        <f t="shared" si="276"/>
        <v>6.5140597886718741</v>
      </c>
      <c r="F452" s="12">
        <f t="shared" si="276"/>
        <v>2.3420177500000001</v>
      </c>
      <c r="G452" s="12">
        <f t="shared" ref="G452:H452" si="278">G448*G450</f>
        <v>2.3420177500000001</v>
      </c>
      <c r="H452" s="12">
        <f t="shared" si="278"/>
        <v>2.3420177500000001</v>
      </c>
    </row>
    <row r="453" spans="1:8" ht="15" hidden="1" customHeight="1" x14ac:dyDescent="0.25">
      <c r="A453" s="127" t="s">
        <v>416</v>
      </c>
      <c r="B453" s="128" t="s">
        <v>2464</v>
      </c>
      <c r="C453" s="129" t="s">
        <v>2359</v>
      </c>
      <c r="D453" s="56">
        <f>D451+D452</f>
        <v>13.028119577343748</v>
      </c>
      <c r="E453" s="56">
        <f>E451+E452</f>
        <v>13.028119577343748</v>
      </c>
      <c r="F453" s="56">
        <f>F451+F452</f>
        <v>4.6840355000000002</v>
      </c>
      <c r="G453" s="56">
        <f>G451+G452</f>
        <v>4.6840355000000002</v>
      </c>
      <c r="H453" s="56">
        <f>H451+H452</f>
        <v>4.6840355000000002</v>
      </c>
    </row>
    <row r="454" spans="1:8" ht="15" hidden="1" customHeight="1" x14ac:dyDescent="0.25">
      <c r="A454" s="127" t="s">
        <v>417</v>
      </c>
      <c r="B454" s="128" t="s">
        <v>2465</v>
      </c>
      <c r="C454" s="129" t="s">
        <v>2359</v>
      </c>
      <c r="D454" s="56">
        <f t="shared" ref="D454:E454" si="279">D445/(0.5*D354)</f>
        <v>8.5384162399951737</v>
      </c>
      <c r="E454" s="56">
        <f t="shared" si="279"/>
        <v>8.5384162399951737</v>
      </c>
      <c r="F454" s="56">
        <f t="shared" ref="F454:G454" si="280">F445/(0.5*F354)</f>
        <v>3.03476417968254</v>
      </c>
      <c r="G454" s="56">
        <f t="shared" si="280"/>
        <v>3.03476417968254</v>
      </c>
      <c r="H454" s="56">
        <f t="shared" ref="H454" si="281">H445/(0.5*H354)</f>
        <v>3.03476417968254</v>
      </c>
    </row>
    <row r="455" spans="1:8" ht="14.25" hidden="1" customHeight="1" x14ac:dyDescent="0.25">
      <c r="A455" s="127" t="s">
        <v>418</v>
      </c>
      <c r="B455" s="128" t="s">
        <v>2466</v>
      </c>
      <c r="C455" s="129" t="s">
        <v>407</v>
      </c>
      <c r="D455" s="56">
        <f t="shared" ref="D455:E455" si="282">SQRT(D445/D360)</f>
        <v>1.9512878814652792</v>
      </c>
      <c r="E455" s="56">
        <f t="shared" si="282"/>
        <v>1.9512878814652792</v>
      </c>
      <c r="F455" s="56">
        <f t="shared" ref="F455:G455" si="283">SQRT(F445/F360)</f>
        <v>1.2306491510647852</v>
      </c>
      <c r="G455" s="56">
        <f t="shared" si="283"/>
        <v>1.2306491510647852</v>
      </c>
      <c r="H455" s="56">
        <f t="shared" ref="H455" si="284">SQRT(H445/H360)</f>
        <v>1.2306491510647852</v>
      </c>
    </row>
    <row r="456" spans="1:8" ht="12.75" hidden="1" customHeight="1" x14ac:dyDescent="0.2">
      <c r="A456" s="5" t="s">
        <v>1788</v>
      </c>
      <c r="B456" s="2" t="s">
        <v>1787</v>
      </c>
      <c r="C456" s="3" t="s">
        <v>407</v>
      </c>
      <c r="D456" s="12">
        <f>D197-D183</f>
        <v>0.505</v>
      </c>
      <c r="E456" s="12">
        <f>E197-E183</f>
        <v>0.505</v>
      </c>
      <c r="F456" s="12">
        <f>F197-F183</f>
        <v>0.3</v>
      </c>
      <c r="G456" s="12">
        <f>G197-G183</f>
        <v>0.3</v>
      </c>
      <c r="H456" s="12">
        <f>H197-H183</f>
        <v>0.3</v>
      </c>
    </row>
    <row r="457" spans="1:8" ht="14.25" hidden="1" customHeight="1" x14ac:dyDescent="0.25">
      <c r="A457" s="5" t="s">
        <v>1932</v>
      </c>
      <c r="B457" s="2" t="s">
        <v>1789</v>
      </c>
      <c r="C457" s="3" t="s">
        <v>407</v>
      </c>
      <c r="D457" s="12">
        <f>((D$352+D$456)^2+D$351*(D$456+0.25*D$351))/(2*D$456+D$352)</f>
        <v>0.74203915499416373</v>
      </c>
      <c r="E457" s="12">
        <f>((E$352+E$456)^2+E$351*(E$456+0.25*E$351))/(2*E$456+E$352)</f>
        <v>0.74203915499416373</v>
      </c>
      <c r="F457" s="12">
        <f>((F$352+F$456)^2+F$351*(F$456+0.25*F$351))/(2*F$456+F$352)</f>
        <v>0.51518817204301082</v>
      </c>
      <c r="G457" s="12">
        <f>((G$352+G$456)^2+G$351*(G$456+0.25*G$351))/(2*G$456+G$352)</f>
        <v>0.51518817204301082</v>
      </c>
      <c r="H457" s="12">
        <f>((H$352+H$456)^2+H$351*(H$456+0.25*H$351))/(2*H$456+H$352)</f>
        <v>0.51518817204301082</v>
      </c>
    </row>
    <row r="458" spans="1:8" ht="14.25" hidden="1" customHeight="1" x14ac:dyDescent="0.25">
      <c r="A458" s="5" t="s">
        <v>1931</v>
      </c>
      <c r="B458" s="34" t="s">
        <v>2262</v>
      </c>
      <c r="C458" s="3" t="s">
        <v>407</v>
      </c>
      <c r="D458" s="12">
        <f>-0.042+0.22*(D$351/D$352)+0.136*(D$456/D$352)-0.0865*((D$351*D$456)/D$352^2)-0.0725*((D$351^2)/(D$352^2))</f>
        <v>0.14266395868348858</v>
      </c>
      <c r="E458" s="12">
        <f>-0.042+0.22*(E$351/E$352)+0.136*(E$456/E$352)-0.0865*((E$351*E$456)/E$352^2)-0.0725*((E$351^2)/(E$352^2))</f>
        <v>0.14266395868348858</v>
      </c>
      <c r="F458" s="12">
        <f>-0.042+0.22*(F$351/F$352)+0.136*(F$456/F$352)-0.0865*((F$351*F$456)/F$352^2)-0.0725*((F$351^2)/(F$352^2))</f>
        <v>0.14494444444444449</v>
      </c>
      <c r="G458" s="12">
        <f>-0.042+0.22*(G$351/G$352)+0.136*(G$456/G$352)-0.0865*((G$351*G$456)/G$352^2)-0.0725*((G$351^2)/(G$352^2))</f>
        <v>0.14494444444444449</v>
      </c>
      <c r="H458" s="12">
        <f>-0.042+0.22*(H$351/H$352)+0.136*(H$456/H$352)-0.0865*((H$351*H$456)/H$352^2)-0.0725*((H$351^2)/(H$352^2))</f>
        <v>0.14494444444444449</v>
      </c>
    </row>
    <row r="459" spans="1:8" ht="25.5" hidden="1" x14ac:dyDescent="0.25">
      <c r="A459" s="99" t="s">
        <v>1934</v>
      </c>
      <c r="B459" s="34" t="s">
        <v>1933</v>
      </c>
      <c r="C459" s="3" t="s">
        <v>873</v>
      </c>
      <c r="D459" s="12">
        <f>(D355*D351^3)/3+(D354*D352^3)/3+(D354*D353^3)/3</f>
        <v>0.43069995728249993</v>
      </c>
      <c r="E459" s="12">
        <f>(E355*E351^3)/3+(E354*E352^3)/3+(E354*E353^3)/3</f>
        <v>0.43069995728249993</v>
      </c>
      <c r="F459" s="12">
        <f>(F355*F351^3)/3+(F354*F352^3)/3+(F354*F353^3)/3</f>
        <v>0.1561158866666667</v>
      </c>
      <c r="G459" s="12">
        <f>(G355*G351^3)/3+(G354*G352^3)/3+(G354*G353^3)/3</f>
        <v>0.1561158866666667</v>
      </c>
      <c r="H459" s="12">
        <f>(H355*H351^3)/3+(H354*H352^3)/3+(H354*H353^3)/3</f>
        <v>0.1561158866666667</v>
      </c>
    </row>
    <row r="460" spans="1:8" s="102" customFormat="1" ht="25.5" hidden="1" x14ac:dyDescent="0.25">
      <c r="A460" s="130" t="s">
        <v>1935</v>
      </c>
      <c r="B460" s="129" t="s">
        <v>6</v>
      </c>
      <c r="C460" s="129" t="s">
        <v>2343</v>
      </c>
      <c r="D460" s="131">
        <f>IF(D$178="C",D459,IF(D$178="MC",D459,((2*D$354*D$352^3)/3)+((D$351^3*(D$350-2*D$352))/3)+(2*D$458*D$457^4)-(0.42*D$352^4)))</f>
        <v>0.72639996328666034</v>
      </c>
      <c r="E460" s="131">
        <f>IF(E$178="C",E459,IF(E$178="MC",E459,((2*E$354*E$352^3)/3)+((E$351^3*(E$350-2*E$352))/3)+(2*E$458*E$457^4)-(0.42*E$352^4)))</f>
        <v>0.72639996328666034</v>
      </c>
      <c r="F460" s="131">
        <f>IF(F$178="C",F459,IF(F$178="MC",F459,((2*F$354*F$352^3)/3)+((F$351^3*(F$350-2*F$352))/3)+(2*F$458*F$457^4)-(0.42*F$352^4)))</f>
        <v>0.1715568695271302</v>
      </c>
      <c r="G460" s="131">
        <f>IF(G$178="C",G459,IF(G$178="MC",G459,((2*G$354*G$352^3)/3)+((G$351^3*(G$350-2*G$352))/3)+(2*G$458*G$457^4)-(0.42*G$352^4)))</f>
        <v>0.1715568695271302</v>
      </c>
      <c r="H460" s="131">
        <f>IF(H$178="C",H459,IF(H$178="MC",H459,((2*H$354*H$352^3)/3)+((H$351^3*(H$350-2*H$352))/3)+(2*H$458*H$457^4)-(0.42*H$352^4)))</f>
        <v>0.1715568695271302</v>
      </c>
    </row>
    <row r="461" spans="1:8" ht="15" hidden="1" customHeight="1" x14ac:dyDescent="0.2">
      <c r="A461" s="5" t="s">
        <v>1920</v>
      </c>
      <c r="B461" s="34" t="s">
        <v>1918</v>
      </c>
      <c r="D461" s="12">
        <f>1/(1+(D442/D444))</f>
        <v>0.38709677419354843</v>
      </c>
      <c r="E461" s="12">
        <f>1/(1+(E442/E444))</f>
        <v>0.38709677419354843</v>
      </c>
      <c r="F461" s="12">
        <f>1/(1+(F442/F444))</f>
        <v>0.5</v>
      </c>
      <c r="G461" s="12">
        <f>1/(1+(G442/G444))</f>
        <v>0.5</v>
      </c>
      <c r="H461" s="12">
        <f>1/(1+(H442/H444))</f>
        <v>0.5</v>
      </c>
    </row>
    <row r="462" spans="1:8" ht="15" hidden="1" customHeight="1" x14ac:dyDescent="0.25">
      <c r="A462" s="127" t="s">
        <v>1921</v>
      </c>
      <c r="B462" s="128" t="s">
        <v>2367</v>
      </c>
      <c r="C462" s="129" t="s">
        <v>2368</v>
      </c>
      <c r="D462" s="55">
        <f>D461*D442*D465^2</f>
        <v>1030.023376525256</v>
      </c>
      <c r="E462" s="55">
        <f>E461*E442*E465^2</f>
        <v>1030.023376525256</v>
      </c>
      <c r="F462" s="55">
        <f>F461*F442*F465^2</f>
        <v>121.36198638867189</v>
      </c>
      <c r="G462" s="55">
        <f>G461*G442*G465^2</f>
        <v>121.36198638867189</v>
      </c>
      <c r="H462" s="55">
        <f>H461*H442*H465^2</f>
        <v>121.36198638867189</v>
      </c>
    </row>
    <row r="463" spans="1:8" ht="14.25" hidden="1" customHeight="1" x14ac:dyDescent="0.25">
      <c r="A463" s="5" t="s">
        <v>423</v>
      </c>
      <c r="B463" s="2" t="s">
        <v>915</v>
      </c>
      <c r="C463" s="3" t="s">
        <v>407</v>
      </c>
      <c r="D463" s="12">
        <f>((D$445*D$465)/(2*D$439))^0.5</f>
        <v>2.0701349325902338</v>
      </c>
      <c r="E463" s="12">
        <f>((E$445*E$465)/(2*E$439))^0.5</f>
        <v>2.0701349325902338</v>
      </c>
      <c r="F463" s="12">
        <f>((F$445*F$465)/(2*F$439))^0.5</f>
        <v>1.4314763643448518</v>
      </c>
      <c r="G463" s="12">
        <f>((G$445*G$465)/(2*G$439))^0.5</f>
        <v>1.4314763643448518</v>
      </c>
      <c r="H463" s="12">
        <f>((H$445*H$465)/(2*H$439))^0.5</f>
        <v>1.4314763643448518</v>
      </c>
    </row>
    <row r="464" spans="1:8" ht="14.25" hidden="1" customHeight="1" x14ac:dyDescent="0.2">
      <c r="A464" s="5" t="s">
        <v>1917</v>
      </c>
      <c r="B464" s="2" t="s">
        <v>1062</v>
      </c>
      <c r="C464" s="3" t="s">
        <v>407</v>
      </c>
      <c r="D464" s="12">
        <f>D350-2*D197</f>
        <v>9.6282500000000013</v>
      </c>
      <c r="E464" s="12">
        <f>E350-2*E197</f>
        <v>9.6282500000000013</v>
      </c>
      <c r="F464" s="12">
        <f>F350-2*F197</f>
        <v>6.8800000000000008</v>
      </c>
      <c r="G464" s="12">
        <f>G350-2*G197</f>
        <v>6.8800000000000008</v>
      </c>
      <c r="H464" s="12">
        <f>H350-2*H197</f>
        <v>6.8800000000000008</v>
      </c>
    </row>
    <row r="465" spans="1:8" ht="14.25" hidden="1" customHeight="1" x14ac:dyDescent="0.25">
      <c r="A465" s="5" t="s">
        <v>1916</v>
      </c>
      <c r="B465" s="2" t="s">
        <v>916</v>
      </c>
      <c r="C465" s="3" t="s">
        <v>407</v>
      </c>
      <c r="D465" s="12">
        <f>D$350-(D$352/2)-(D$353/2)</f>
        <v>11.269125000000001</v>
      </c>
      <c r="E465" s="12">
        <f>E$350-(E$352/2)-(E$353/2)</f>
        <v>11.269125000000001</v>
      </c>
      <c r="F465" s="12">
        <f>F$350-(F$352/2)-(F$353/2)</f>
        <v>7.8100000000000005</v>
      </c>
      <c r="G465" s="12">
        <f>G$350-(G$352/2)-(G$353/2)</f>
        <v>7.8100000000000005</v>
      </c>
      <c r="H465" s="12">
        <f>H$350-(H$352/2)-(H$353/2)</f>
        <v>7.8100000000000005</v>
      </c>
    </row>
    <row r="466" spans="1:8" ht="14.25" hidden="1" customHeight="1" x14ac:dyDescent="0.25">
      <c r="A466" s="5" t="s">
        <v>971</v>
      </c>
      <c r="B466" s="2" t="s">
        <v>960</v>
      </c>
      <c r="C466" s="3" t="s">
        <v>407</v>
      </c>
      <c r="D466" s="10">
        <f>2*(D$373-D$197)</f>
        <v>7.9327439023015431</v>
      </c>
      <c r="E466" s="10">
        <f>2*(E$373-E$197)</f>
        <v>7.9327439023015431</v>
      </c>
      <c r="F466" s="10">
        <f>2*(F$373-F$197)</f>
        <v>6.8800000000000008</v>
      </c>
      <c r="G466" s="10">
        <f>2*(G$373-G$197)</f>
        <v>6.8800000000000008</v>
      </c>
      <c r="H466" s="10">
        <f>2*(H$373-H$197)</f>
        <v>6.8800000000000008</v>
      </c>
    </row>
    <row r="467" spans="1:8" ht="14.25" hidden="1" customHeight="1" x14ac:dyDescent="0.25">
      <c r="A467" s="5" t="s">
        <v>970</v>
      </c>
      <c r="B467" s="2" t="s">
        <v>969</v>
      </c>
      <c r="C467" s="3" t="s">
        <v>407</v>
      </c>
      <c r="D467" s="10">
        <f>2*(D$413-D$197)</f>
        <v>3.2828389830508504</v>
      </c>
      <c r="E467" s="10">
        <f>2*(E$413-E$197)</f>
        <v>3.2828389830508504</v>
      </c>
      <c r="F467" s="10">
        <f>2*(F$413-F$197)</f>
        <v>6.8800000000000008</v>
      </c>
      <c r="G467" s="10">
        <f>2*(G$413-G$197)</f>
        <v>6.8800000000000008</v>
      </c>
      <c r="H467" s="10">
        <f>2*(H$413-H$197)</f>
        <v>6.8800000000000008</v>
      </c>
    </row>
    <row r="468" spans="1:8" ht="14.25" hidden="1" customHeight="1" x14ac:dyDescent="0.25">
      <c r="A468" s="5" t="s">
        <v>2177</v>
      </c>
      <c r="B468" s="2" t="s">
        <v>2174</v>
      </c>
      <c r="D468" s="10">
        <f>IF(D$178="C",D$354/D$352,IF(D$178="MC",D$354/D$352,D$354/(2*D$352)))</f>
        <v>8.1859989780275928</v>
      </c>
      <c r="E468" s="10">
        <f>IF(E$178="C",E$354/E$352,IF(E$178="MC",E$354/E$352,E$354/(2*E$352)))</f>
        <v>8.1859989780275928</v>
      </c>
      <c r="F468" s="10">
        <f>IF(F$178="C",F$354/F$352,IF(F$178="MC",F$354/F$352,F$354/(2*F$352)))</f>
        <v>7.9545454545454541</v>
      </c>
      <c r="G468" s="10">
        <f>IF(G$178="C",G$354/G$352,IF(G$178="MC",G$354/G$352,G$354/(2*G$352)))</f>
        <v>7.9545454545454541</v>
      </c>
      <c r="H468" s="10">
        <f>IF(H$178="C",H$354/H$352,IF(H$178="MC",H$354/H$352,H$354/(2*H$352)))</f>
        <v>7.9545454545454541</v>
      </c>
    </row>
    <row r="469" spans="1:8" ht="14.25" hidden="1" customHeight="1" x14ac:dyDescent="0.25">
      <c r="A469" s="5" t="s">
        <v>1848</v>
      </c>
      <c r="B469" s="2" t="s">
        <v>1807</v>
      </c>
      <c r="D469" s="10">
        <f>IF(D439=D440,D464/D351,D466/D351)</f>
        <v>35.854209727916576</v>
      </c>
      <c r="E469" s="10">
        <f>IF(E439=E440,E464/E351,E466/E351)</f>
        <v>35.854209727916576</v>
      </c>
      <c r="F469" s="10">
        <f>IF(F439=F440,F464/F351,F466/F351)</f>
        <v>29.913043478260871</v>
      </c>
      <c r="G469" s="10">
        <f>IF(G439=G440,G464/G351,G466/G351)</f>
        <v>29.913043478260871</v>
      </c>
      <c r="H469" s="10">
        <f>IF(H439=H440,H464/H351,H466/H351)</f>
        <v>29.913043478260871</v>
      </c>
    </row>
    <row r="470" spans="1:8" ht="14.25" hidden="1" customHeight="1" x14ac:dyDescent="0.25">
      <c r="A470" s="5" t="s">
        <v>1790</v>
      </c>
      <c r="B470" s="2" t="s">
        <v>1802</v>
      </c>
      <c r="D470" s="10">
        <f>0.56*SQRT(29000/D$11)</f>
        <v>13.486585928247372</v>
      </c>
      <c r="E470" s="10">
        <f>0.56*SQRT(29000/E$11)</f>
        <v>13.486585928247372</v>
      </c>
      <c r="F470" s="10" t="e">
        <f>0.56*SQRT(29000/F$11)</f>
        <v>#DIV/0!</v>
      </c>
      <c r="G470" s="10" t="e">
        <f>0.56*SQRT(29000/G$11)</f>
        <v>#DIV/0!</v>
      </c>
      <c r="H470" s="10" t="e">
        <f>0.56*SQRT(29000/H$11)</f>
        <v>#DIV/0!</v>
      </c>
    </row>
    <row r="471" spans="1:8" ht="14.25" hidden="1" customHeight="1" x14ac:dyDescent="0.25">
      <c r="A471" s="5" t="s">
        <v>1795</v>
      </c>
      <c r="B471" s="2" t="s">
        <v>1803</v>
      </c>
      <c r="D471" s="10">
        <f t="shared" ref="D471:H471" si="285">1.49*SQRT(29000/D$11)</f>
        <v>35.883951844801039</v>
      </c>
      <c r="E471" s="10">
        <f t="shared" si="285"/>
        <v>35.883951844801039</v>
      </c>
      <c r="F471" s="10" t="e">
        <f t="shared" si="285"/>
        <v>#DIV/0!</v>
      </c>
      <c r="G471" s="10" t="e">
        <f t="shared" si="285"/>
        <v>#DIV/0!</v>
      </c>
      <c r="H471" s="10" t="e">
        <f t="shared" si="285"/>
        <v>#DIV/0!</v>
      </c>
    </row>
    <row r="472" spans="1:8" ht="14.25" hidden="1" customHeight="1" x14ac:dyDescent="0.25">
      <c r="A472" s="5" t="s">
        <v>1792</v>
      </c>
      <c r="B472" s="2" t="s">
        <v>1799</v>
      </c>
      <c r="D472" s="10">
        <f>0.38*SQRT(29000/D$11)</f>
        <v>9.1516118798821449</v>
      </c>
      <c r="E472" s="10">
        <f>0.38*SQRT(29000/E$11)</f>
        <v>9.1516118798821449</v>
      </c>
      <c r="F472" s="10" t="e">
        <f>0.38*SQRT(29000/F$11)</f>
        <v>#DIV/0!</v>
      </c>
      <c r="G472" s="10" t="e">
        <f>0.38*SQRT(29000/G$11)</f>
        <v>#DIV/0!</v>
      </c>
      <c r="H472" s="10" t="e">
        <f>0.38*SQRT(29000/H$11)</f>
        <v>#DIV/0!</v>
      </c>
    </row>
    <row r="473" spans="1:8" ht="14.25" hidden="1" customHeight="1" x14ac:dyDescent="0.25">
      <c r="A473" s="5" t="s">
        <v>1791</v>
      </c>
      <c r="B473" s="2" t="s">
        <v>1798</v>
      </c>
      <c r="D473" s="10">
        <f>SQRT(29000/D$11)</f>
        <v>24.083189157584592</v>
      </c>
      <c r="E473" s="10">
        <f>SQRT(29000/E$11)</f>
        <v>24.083189157584592</v>
      </c>
      <c r="F473" s="10" t="e">
        <f>SQRT(29000/F$11)</f>
        <v>#DIV/0!</v>
      </c>
      <c r="G473" s="10" t="e">
        <f>SQRT(29000/G$11)</f>
        <v>#DIV/0!</v>
      </c>
      <c r="H473" s="10" t="e">
        <f>SQRT(29000/H$11)</f>
        <v>#DIV/0!</v>
      </c>
    </row>
    <row r="474" spans="1:8" ht="14.25" hidden="1" customHeight="1" x14ac:dyDescent="0.25">
      <c r="A474" s="5" t="s">
        <v>1793</v>
      </c>
      <c r="B474" s="2" t="s">
        <v>1800</v>
      </c>
      <c r="D474" s="10">
        <f t="shared" ref="D474:E474" si="286">IF(D439=D440,3.76*SQRT(29000/D$11),MIN(((D466/D467)*SQRT(29000/D$11))/(0.54*(D528/MIN(D556,D560))-0.09)^2,D475))</f>
        <v>137.27417819823216</v>
      </c>
      <c r="E474" s="10">
        <f t="shared" si="286"/>
        <v>137.27417819823216</v>
      </c>
      <c r="F474" s="10" t="e">
        <f t="shared" ref="F474:G474" si="287">IF(F439=F440,3.76*SQRT(29000/F$11),MIN(((F466/F467)*SQRT(29000/F$11))/(0.54*(F528/MIN(F556,F560))-0.09)^2,F475))</f>
        <v>#DIV/0!</v>
      </c>
      <c r="G474" s="10" t="e">
        <f t="shared" si="287"/>
        <v>#DIV/0!</v>
      </c>
      <c r="H474" s="10" t="e">
        <f t="shared" ref="H474" si="288">IF(H439=H440,3.76*SQRT(29000/H$11),MIN(((H466/H467)*SQRT(29000/H$11))/(0.54*(H528/MIN(H556,H560))-0.09)^2,H475))</f>
        <v>#DIV/0!</v>
      </c>
    </row>
    <row r="475" spans="1:8" ht="14.25" hidden="1" customHeight="1" x14ac:dyDescent="0.25">
      <c r="A475" s="5" t="s">
        <v>1794</v>
      </c>
      <c r="B475" s="2" t="s">
        <v>1801</v>
      </c>
      <c r="D475" s="10">
        <f t="shared" ref="D475:H475" si="289">5.7*SQRT(29000/D$11)</f>
        <v>137.27417819823216</v>
      </c>
      <c r="E475" s="10">
        <f t="shared" si="289"/>
        <v>137.27417819823216</v>
      </c>
      <c r="F475" s="10" t="e">
        <f t="shared" si="289"/>
        <v>#DIV/0!</v>
      </c>
      <c r="G475" s="10" t="e">
        <f t="shared" si="289"/>
        <v>#DIV/0!</v>
      </c>
      <c r="H475" s="10" t="e">
        <f t="shared" si="289"/>
        <v>#DIV/0!</v>
      </c>
    </row>
    <row r="476" spans="1:8" ht="14.25" customHeight="1" x14ac:dyDescent="0.25">
      <c r="A476" s="5" t="s">
        <v>1872</v>
      </c>
      <c r="B476" s="2" t="s">
        <v>919</v>
      </c>
      <c r="C476" s="3" t="s">
        <v>403</v>
      </c>
      <c r="D476" s="6">
        <f t="shared" ref="D476:E476" si="290">IF(D439=D440,D524/12,D553/12)</f>
        <v>4.9238515775376896</v>
      </c>
      <c r="E476" s="6">
        <f t="shared" si="290"/>
        <v>4.9238515775376896</v>
      </c>
      <c r="F476" s="6" t="e">
        <f t="shared" ref="F476:G476" si="291">IF(F439=F440,F524/12,F553/12)</f>
        <v>#DIV/0!</v>
      </c>
      <c r="G476" s="6" t="e">
        <f t="shared" si="291"/>
        <v>#DIV/0!</v>
      </c>
      <c r="H476" s="6" t="e">
        <f t="shared" ref="H476" si="292">IF(H439=H440,H524/12,H553/12)</f>
        <v>#DIV/0!</v>
      </c>
    </row>
    <row r="477" spans="1:8" ht="14.25" customHeight="1" x14ac:dyDescent="0.25">
      <c r="A477" s="5" t="s">
        <v>1873</v>
      </c>
      <c r="B477" s="2" t="s">
        <v>920</v>
      </c>
      <c r="C477" s="3" t="s">
        <v>403</v>
      </c>
      <c r="D477" s="6">
        <f t="shared" ref="D477:E477" si="293">IF(D481="Slender",D581/12,IF(AND(D439=D440,OR(D481="Compact",D481="Noncompact")),D525/12,D554/12))</f>
        <v>20.986092909064737</v>
      </c>
      <c r="E477" s="6">
        <f t="shared" si="293"/>
        <v>20.986092909064737</v>
      </c>
      <c r="F477" s="6" t="e">
        <f t="shared" ref="F477:G477" si="294">IF(F481="Slender",F581/12,IF(AND(F439=F440,OR(F481="Compact",F481="Noncompact")),F525/12,F554/12))</f>
        <v>#DIV/0!</v>
      </c>
      <c r="G477" s="6" t="e">
        <f t="shared" si="294"/>
        <v>#DIV/0!</v>
      </c>
      <c r="H477" s="6" t="e">
        <f t="shared" ref="H477" si="295">IF(H481="Slender",H581/12,IF(AND(H439=H440,OR(H481="Compact",H481="Noncompact")),H525/12,H554/12))</f>
        <v>#DIV/0!</v>
      </c>
    </row>
    <row r="478" spans="1:8" x14ac:dyDescent="0.2">
      <c r="A478" s="5" t="s">
        <v>1908</v>
      </c>
      <c r="D478" s="113" t="str">
        <f>IF(D468&lt;D470,"Nonslender","Slender")</f>
        <v>Nonslender</v>
      </c>
      <c r="E478" s="113" t="str">
        <f>IF(E468&lt;E470,"Nonslender","Slender")</f>
        <v>Nonslender</v>
      </c>
      <c r="F478" s="113" t="e">
        <f>IF(F468&lt;F470,"Nonslender","Slender")</f>
        <v>#DIV/0!</v>
      </c>
      <c r="G478" s="113" t="e">
        <f>IF(G468&lt;G470,"Nonslender","Slender")</f>
        <v>#DIV/0!</v>
      </c>
      <c r="H478" s="113" t="e">
        <f>IF(H468&lt;H470,"Nonslender","Slender")</f>
        <v>#DIV/0!</v>
      </c>
    </row>
    <row r="479" spans="1:8" x14ac:dyDescent="0.2">
      <c r="A479" s="5" t="s">
        <v>1907</v>
      </c>
      <c r="D479" s="113" t="str">
        <f>IF((D464/D351)&lt;D471,"Nonslender","Slender")</f>
        <v>Slender</v>
      </c>
      <c r="E479" s="113" t="str">
        <f>IF((E464/E351)&lt;E471,"Nonslender","Slender")</f>
        <v>Slender</v>
      </c>
      <c r="F479" s="113" t="e">
        <f>IF((F464/F351)&lt;F471,"Nonslender","Slender")</f>
        <v>#DIV/0!</v>
      </c>
      <c r="G479" s="113" t="e">
        <f>IF((G464/G351)&lt;G471,"Nonslender","Slender")</f>
        <v>#DIV/0!</v>
      </c>
      <c r="H479" s="113" t="e">
        <f>IF((H464/H351)&lt;H471,"Nonslender","Slender")</f>
        <v>#DIV/0!</v>
      </c>
    </row>
    <row r="480" spans="1:8" x14ac:dyDescent="0.2">
      <c r="A480" s="5" t="s">
        <v>1910</v>
      </c>
      <c r="D480" s="113" t="str">
        <f>IF(D468&lt;D472,"Compact",IF(D468&gt;D473,"Slender","Noncompact"))</f>
        <v>Compact</v>
      </c>
      <c r="E480" s="113" t="str">
        <f>IF(E468&lt;E472,"Compact",IF(E468&gt;E473,"Slender","Noncompact"))</f>
        <v>Compact</v>
      </c>
      <c r="F480" s="113" t="e">
        <f>IF(F468&lt;F472,"Compact",IF(F468&gt;F473,"Slender","Noncompact"))</f>
        <v>#DIV/0!</v>
      </c>
      <c r="G480" s="113" t="e">
        <f>IF(G468&lt;G472,"Compact",IF(G468&gt;G473,"Slender","Noncompact"))</f>
        <v>#DIV/0!</v>
      </c>
      <c r="H480" s="113" t="e">
        <f>IF(H468&lt;H472,"Compact",IF(H468&gt;H473,"Slender","Noncompact"))</f>
        <v>#DIV/0!</v>
      </c>
    </row>
    <row r="481" spans="1:8" x14ac:dyDescent="0.2">
      <c r="A481" s="5" t="s">
        <v>1905</v>
      </c>
      <c r="D481" s="113" t="str">
        <f t="shared" ref="D481:E481" si="296">IF(D469&lt;D474,"Compact",IF(D469&gt;D475,"Slender","Noncompact"))</f>
        <v>Compact</v>
      </c>
      <c r="E481" s="113" t="str">
        <f t="shared" si="296"/>
        <v>Compact</v>
      </c>
      <c r="F481" s="113" t="e">
        <f t="shared" ref="F481:G481" si="297">IF(F469&lt;F474,"Compact",IF(F469&gt;F475,"Slender","Noncompact"))</f>
        <v>#DIV/0!</v>
      </c>
      <c r="G481" s="113" t="e">
        <f t="shared" si="297"/>
        <v>#DIV/0!</v>
      </c>
      <c r="H481" s="113" t="e">
        <f t="shared" ref="H481" si="298">IF(H469&lt;H474,"Compact",IF(H469&gt;H475,"Slender","Noncompact"))</f>
        <v>#DIV/0!</v>
      </c>
    </row>
    <row r="482" spans="1:8" hidden="1" x14ac:dyDescent="0.2"/>
    <row r="483" spans="1:8" hidden="1" x14ac:dyDescent="0.2">
      <c r="A483" s="31" t="s">
        <v>862</v>
      </c>
      <c r="D483" s="10"/>
      <c r="E483" s="10"/>
      <c r="F483" s="10"/>
      <c r="G483" s="10"/>
      <c r="H483" s="10"/>
    </row>
    <row r="484" spans="1:8" hidden="1" x14ac:dyDescent="0.2">
      <c r="A484" s="16" t="s">
        <v>1010</v>
      </c>
      <c r="B484" s="4"/>
      <c r="C484" s="4"/>
      <c r="D484" s="4"/>
      <c r="E484" s="4"/>
      <c r="F484" s="4"/>
      <c r="G484" s="4"/>
      <c r="H484" s="4"/>
    </row>
    <row r="485" spans="1:8" ht="14.25" hidden="1" x14ac:dyDescent="0.25">
      <c r="A485" s="5" t="s">
        <v>863</v>
      </c>
      <c r="B485" s="2" t="s">
        <v>1138</v>
      </c>
      <c r="C485" s="3" t="s">
        <v>407</v>
      </c>
      <c r="D485" s="28">
        <f>((1728*5*(D$48+IF(D$8="ASCE 7-16",D$49,IF(D$8="ASCE 7-22",0.7*D$49))+D$50+0.6*D$51)*D$13^4)/(384*29000*D$392))</f>
        <v>1.377790946402131</v>
      </c>
      <c r="E485" s="28">
        <f>((1728*5*(E$48+IF(E$8="ASCE 7-16",E$49,IF(E$8="ASCE 7-22",0.7*E$49))+E$50+0.6*E$51)*E$13^4)/(384*29000*E$392))</f>
        <v>1.377790946402131</v>
      </c>
      <c r="F485" s="28">
        <f>((1728*5*(F$48+IF(F$8="ASCE 7-16",F$49,IF(F$8="ASCE 7-22",0.7*F$49))+F$50+0.6*F$51)*F$13^4)/(384*29000*F$392))</f>
        <v>0</v>
      </c>
      <c r="G485" s="28">
        <f>((1728*5*(G$48+IF(G$8="ASCE 7-16",G$49,IF(G$8="ASCE 7-22",0.7*G$49))+G$50+0.6*G$51)*G$13^4)/(384*29000*G$392))</f>
        <v>0</v>
      </c>
      <c r="H485" s="28">
        <f>((1728*5*(H$48+IF(H$8="ASCE 7-16",H$49,IF(H$8="ASCE 7-22",0.7*H$49))+H$50+0.6*H$51)*H$13^4)/(384*29000*H$392))</f>
        <v>0</v>
      </c>
    </row>
    <row r="486" spans="1:8" ht="14.25" hidden="1" x14ac:dyDescent="0.25">
      <c r="A486" s="5" t="s">
        <v>870</v>
      </c>
      <c r="B486" s="2" t="s">
        <v>1139</v>
      </c>
      <c r="C486" s="3" t="s">
        <v>407</v>
      </c>
      <c r="D486" s="28">
        <f>((1728*5*(D$47+D$48+IF(D$8="ASCE 7-16",D$49,IF(D$8="ASCE 7-22",0.7*D$49))+D$50+0.6*D$51)*D$13^4)/(384*29000*D$392))</f>
        <v>1.6074227708024862</v>
      </c>
      <c r="E486" s="28">
        <f>((1728*5*(E$47+E$48+IF(E$8="ASCE 7-16",E$49,IF(E$8="ASCE 7-22",0.7*E$49))+E$50+0.6*E$51)*E$13^4)/(384*29000*E$392))</f>
        <v>1.6074227708024862</v>
      </c>
      <c r="F486" s="28">
        <f>((1728*5*(F$47+F$48+IF(F$8="ASCE 7-16",F$49,IF(F$8="ASCE 7-22",0.7*F$49))+F$50+0.6*F$51)*F$13^4)/(384*29000*F$392))</f>
        <v>0</v>
      </c>
      <c r="G486" s="28">
        <f>((1728*5*(G$47+G$48+IF(G$8="ASCE 7-16",G$49,IF(G$8="ASCE 7-22",0.7*G$49))+G$50+0.6*G$51)*G$13^4)/(384*29000*G$392))</f>
        <v>0</v>
      </c>
      <c r="H486" s="28">
        <f>((1728*5*(H$47+H$48+IF(H$8="ASCE 7-16",H$49,IF(H$8="ASCE 7-22",0.7*H$49))+H$50+0.6*H$51)*H$13^4)/(384*29000*H$392))</f>
        <v>0</v>
      </c>
    </row>
    <row r="487" spans="1:8" hidden="1" x14ac:dyDescent="0.2">
      <c r="A487" s="16" t="s">
        <v>1011</v>
      </c>
      <c r="D487" s="10"/>
      <c r="E487" s="10"/>
      <c r="F487" s="10"/>
      <c r="G487" s="10"/>
      <c r="H487" s="10"/>
    </row>
    <row r="488" spans="1:8" ht="14.25" hidden="1" x14ac:dyDescent="0.25">
      <c r="A488" s="5" t="s">
        <v>863</v>
      </c>
      <c r="B488" s="2" t="s">
        <v>1138</v>
      </c>
      <c r="C488" s="3" t="s">
        <v>407</v>
      </c>
      <c r="D488" s="28">
        <f>((1728*(D$65+IF(D$8="ASCE 7-16",D$66,IF(D$8="ASCE 7-22",0.7*D$66))+D$67+0.6*D$68)*D$13^3)/(48*29000*D$392))</f>
        <v>0</v>
      </c>
      <c r="E488" s="28">
        <f>((1728*(E$65+IF(E$8="ASCE 7-16",E$66,IF(E$8="ASCE 7-22",0.7*E$66))+E$67+0.6*E$68)*E$13^3)/(48*29000*E$392))</f>
        <v>0</v>
      </c>
      <c r="F488" s="28">
        <f>((1728*(F$65+IF(F$8="ASCE 7-16",F$66,IF(F$8="ASCE 7-22",0.7*F$66))+F$67+0.6*F$68)*F$13^3)/(48*29000*F$392))</f>
        <v>0</v>
      </c>
      <c r="G488" s="28">
        <f>((1728*(G$65+IF(G$8="ASCE 7-16",G$66,IF(G$8="ASCE 7-22",0.7*G$66))+G$67+0.6*G$68)*G$13^3)/(48*29000*G$392))</f>
        <v>0</v>
      </c>
      <c r="H488" s="28">
        <f>((1728*(H$65+IF(H$8="ASCE 7-16",H$66,IF(H$8="ASCE 7-22",0.7*H$66))+H$67+0.6*H$68)*H$13^3)/(48*29000*H$392))</f>
        <v>0</v>
      </c>
    </row>
    <row r="489" spans="1:8" ht="14.25" hidden="1" x14ac:dyDescent="0.25">
      <c r="A489" s="5" t="s">
        <v>870</v>
      </c>
      <c r="B489" s="2" t="s">
        <v>1139</v>
      </c>
      <c r="C489" s="3" t="s">
        <v>407</v>
      </c>
      <c r="D489" s="28">
        <f>((1728*(D$64+D$65+IF(D$8="ASCE 7-16",D$66,IF(D$8="ASCE 7-22",0.7*D$66))+D$67+0.6*D$68)*D$13^3)/(48*29000*D$392))</f>
        <v>0</v>
      </c>
      <c r="E489" s="28">
        <f>((1728*(E$64+E$65+IF(E$8="ASCE 7-16",E$66,IF(E$8="ASCE 7-22",0.7*E$66))+E$67+0.6*E$68)*E$13^3)/(48*29000*E$392))</f>
        <v>0</v>
      </c>
      <c r="F489" s="28">
        <f>((1728*(F$64+F$65+IF(F$8="ASCE 7-16",F$66,IF(F$8="ASCE 7-22",0.7*F$66))+F$67+0.6*F$68)*F$13^3)/(48*29000*F$392))</f>
        <v>0</v>
      </c>
      <c r="G489" s="28">
        <f>((1728*(G$64+G$65+IF(G$8="ASCE 7-16",G$66,IF(G$8="ASCE 7-22",0.7*G$66))+G$67+0.6*G$68)*G$13^3)/(48*29000*G$392))</f>
        <v>0</v>
      </c>
      <c r="H489" s="28">
        <f>((1728*(H$64+H$65+IF(H$8="ASCE 7-16",H$66,IF(H$8="ASCE 7-22",0.7*H$66))+H$67+0.6*H$68)*H$13^3)/(48*29000*H$392))</f>
        <v>0</v>
      </c>
    </row>
    <row r="490" spans="1:8" hidden="1" x14ac:dyDescent="0.2">
      <c r="A490" s="16" t="s">
        <v>1012</v>
      </c>
      <c r="B490" s="4"/>
      <c r="C490" s="4"/>
      <c r="D490" s="10"/>
      <c r="E490" s="10"/>
      <c r="F490" s="10"/>
      <c r="G490" s="10"/>
      <c r="H490" s="10"/>
    </row>
    <row r="491" spans="1:8" ht="14.25" hidden="1" x14ac:dyDescent="0.25">
      <c r="A491" s="5" t="s">
        <v>863</v>
      </c>
      <c r="B491" s="2" t="s">
        <v>1138</v>
      </c>
      <c r="C491" s="3" t="s">
        <v>407</v>
      </c>
      <c r="D491" s="28">
        <f>((1728*(D$83+IF(D$8="ASCE 7-16",D$84,IF(D$8="ASCE 7-22",0.7*D$84))+D$85+0.6*D$86)*D$81)/(24*29000*D$392))*((3*D$13^2)-(4*D$81^2))</f>
        <v>0</v>
      </c>
      <c r="E491" s="28">
        <f>((1728*(E$83+IF(E$8="ASCE 7-16",E$84,IF(E$8="ASCE 7-22",0.7*E$84))+E$85+0.6*E$86)*E$81)/(24*29000*E$392))*((3*E$13^2)-(4*E$81^2))</f>
        <v>0</v>
      </c>
      <c r="F491" s="28">
        <f>((1728*(F$83+IF(F$8="ASCE 7-16",F$84,IF(F$8="ASCE 7-22",0.7*F$84))+F$85+0.6*F$86)*F$81)/(24*29000*F$392))*((3*F$13^2)-(4*F$81^2))</f>
        <v>0</v>
      </c>
      <c r="G491" s="28">
        <f>((1728*(G$83+IF(G$8="ASCE 7-16",G$84,IF(G$8="ASCE 7-22",0.7*G$84))+G$85+0.6*G$86)*G$81)/(24*29000*G$392))*((3*G$13^2)-(4*G$81^2))</f>
        <v>0</v>
      </c>
      <c r="H491" s="28">
        <f>((1728*(H$83+IF(H$8="ASCE 7-16",H$84,IF(H$8="ASCE 7-22",0.7*H$84))+H$85+0.6*H$86)*H$81)/(24*29000*H$392))*((3*H$13^2)-(4*H$81^2))</f>
        <v>0</v>
      </c>
    </row>
    <row r="492" spans="1:8" ht="14.25" hidden="1" x14ac:dyDescent="0.25">
      <c r="A492" s="5" t="s">
        <v>870</v>
      </c>
      <c r="B492" s="2" t="s">
        <v>1139</v>
      </c>
      <c r="C492" s="3" t="s">
        <v>407</v>
      </c>
      <c r="D492" s="28">
        <f>((1728*(D$82+D$83+IF(D$8="ASCE 7-16",D$84,IF(D$8="ASCE 7-22",0.7*D$84))+D$85+0.6*D$86)*D$81)/(24*29000*D$392))*((3*D$13^2)-(4*D$81^2))</f>
        <v>0</v>
      </c>
      <c r="E492" s="28">
        <f>((1728*(E$82+E$83+IF(E$8="ASCE 7-16",E$84,IF(E$8="ASCE 7-22",0.7*E$84))+E$85+0.6*E$86)*E$81)/(24*29000*E$392))*((3*E$13^2)-(4*E$81^2))</f>
        <v>0</v>
      </c>
      <c r="F492" s="28">
        <f>((1728*(F$82+F$83+IF(F$8="ASCE 7-16",F$84,IF(F$8="ASCE 7-22",0.7*F$84))+F$85+0.6*F$86)*F$81)/(24*29000*F$392))*((3*F$13^2)-(4*F$81^2))</f>
        <v>0</v>
      </c>
      <c r="G492" s="28">
        <f>((1728*(G$82+G$83+IF(G$8="ASCE 7-16",G$84,IF(G$8="ASCE 7-22",0.7*G$84))+G$85+0.6*G$86)*G$81)/(24*29000*G$392))*((3*G$13^2)-(4*G$81^2))</f>
        <v>0</v>
      </c>
      <c r="H492" s="28">
        <f>((1728*(H$82+H$83+IF(H$8="ASCE 7-16",H$84,IF(H$8="ASCE 7-22",0.7*H$84))+H$85+0.6*H$86)*H$81)/(24*29000*H$392))*((3*H$13^2)-(4*H$81^2))</f>
        <v>0</v>
      </c>
    </row>
    <row r="493" spans="1:8" hidden="1" x14ac:dyDescent="0.2">
      <c r="A493" s="16" t="s">
        <v>1618</v>
      </c>
      <c r="D493" s="10"/>
      <c r="E493" s="10"/>
      <c r="F493" s="10"/>
      <c r="G493" s="10"/>
      <c r="H493" s="10"/>
    </row>
    <row r="494" spans="1:8" ht="14.25" x14ac:dyDescent="0.25">
      <c r="A494" s="5" t="s">
        <v>1145</v>
      </c>
      <c r="B494" s="2" t="s">
        <v>1138</v>
      </c>
      <c r="C494" s="3" t="s">
        <v>407</v>
      </c>
      <c r="D494" s="114">
        <f t="shared" ref="D494:F495" si="299">D485+D488+D491</f>
        <v>1.377790946402131</v>
      </c>
      <c r="E494" s="114">
        <f t="shared" si="299"/>
        <v>1.377790946402131</v>
      </c>
      <c r="F494" s="114">
        <f t="shared" si="299"/>
        <v>0</v>
      </c>
      <c r="G494" s="114">
        <f t="shared" ref="G494:H494" si="300">G485+G488+G491</f>
        <v>0</v>
      </c>
      <c r="H494" s="114">
        <f t="shared" si="300"/>
        <v>0</v>
      </c>
    </row>
    <row r="495" spans="1:8" ht="14.25" x14ac:dyDescent="0.25">
      <c r="A495" s="5" t="s">
        <v>1144</v>
      </c>
      <c r="B495" s="2" t="s">
        <v>1139</v>
      </c>
      <c r="C495" s="3" t="s">
        <v>407</v>
      </c>
      <c r="D495" s="115">
        <f t="shared" si="299"/>
        <v>1.6074227708024862</v>
      </c>
      <c r="E495" s="115">
        <f t="shared" si="299"/>
        <v>1.6074227708024862</v>
      </c>
      <c r="F495" s="115">
        <f t="shared" si="299"/>
        <v>0</v>
      </c>
      <c r="G495" s="115">
        <f t="shared" ref="G495:H495" si="301">G486+G489+G492</f>
        <v>0</v>
      </c>
      <c r="H495" s="115">
        <f t="shared" si="301"/>
        <v>0</v>
      </c>
    </row>
    <row r="496" spans="1:8" x14ac:dyDescent="0.2">
      <c r="A496" s="5" t="s">
        <v>1651</v>
      </c>
      <c r="B496" s="2" t="s">
        <v>1915</v>
      </c>
      <c r="C496" s="4"/>
      <c r="D496" s="116">
        <f>(D$13*12)/D$494</f>
        <v>209.03026017993767</v>
      </c>
      <c r="E496" s="116">
        <f>(E$13*12)/E$494</f>
        <v>209.03026017993767</v>
      </c>
      <c r="F496" s="116" t="e">
        <f>(F$13*12)/F$494</f>
        <v>#DIV/0!</v>
      </c>
      <c r="G496" s="116" t="e">
        <f>(G$13*12)/G$494</f>
        <v>#DIV/0!</v>
      </c>
      <c r="H496" s="116" t="e">
        <f>(H$13*12)/H$494</f>
        <v>#DIV/0!</v>
      </c>
    </row>
    <row r="497" spans="1:8" x14ac:dyDescent="0.2">
      <c r="A497" s="5" t="s">
        <v>1652</v>
      </c>
      <c r="B497" s="2" t="s">
        <v>1915</v>
      </c>
      <c r="C497" s="4"/>
      <c r="D497" s="116">
        <f>(D$13*12)/D$495</f>
        <v>179.16879443994657</v>
      </c>
      <c r="E497" s="116">
        <f>(E$13*12)/E$495</f>
        <v>179.16879443994657</v>
      </c>
      <c r="F497" s="116" t="e">
        <f>(F$13*12)/F$495</f>
        <v>#DIV/0!</v>
      </c>
      <c r="G497" s="116" t="e">
        <f>(G$13*12)/G$495</f>
        <v>#DIV/0!</v>
      </c>
      <c r="H497" s="116" t="e">
        <f>(H$13*12)/H$495</f>
        <v>#DIV/0!</v>
      </c>
    </row>
    <row r="498" spans="1:8" hidden="1" x14ac:dyDescent="0.2"/>
    <row r="499" spans="1:8" x14ac:dyDescent="0.2">
      <c r="A499" s="5" t="s">
        <v>2158</v>
      </c>
      <c r="B499" s="2" t="str">
        <f>IF(D$7="ASD","Vn-x/Ω",IF(D$7="LRFD","φVn-x"))</f>
        <v>φVn-x</v>
      </c>
      <c r="C499" s="3" t="s">
        <v>419</v>
      </c>
      <c r="D499" s="24">
        <f>IF(D$7="ASD",D$503/D$506,IF(D$7="LRFD",D$509*D$503))</f>
        <v>77.448009374999998</v>
      </c>
      <c r="E499" s="24">
        <f>IF(E$7="ASD",E$503/E$506,IF(E$7="LRFD",E$509*E$503))</f>
        <v>51.632006249999996</v>
      </c>
      <c r="F499" s="24" t="e">
        <f>IF(F$7="ASD",F$503/F$506,IF(F$7="LRFD",F$509*F$503))</f>
        <v>#DIV/0!</v>
      </c>
      <c r="G499" s="24" t="e">
        <f>IF(G$7="ASD",G$503/G$506,IF(G$7="LRFD",G$509*G$503))</f>
        <v>#DIV/0!</v>
      </c>
      <c r="H499" s="24" t="e">
        <f>IF(H$7="ASD",H$503/H$506,IF(H$7="LRFD",H$509*H$503))</f>
        <v>#DIV/0!</v>
      </c>
    </row>
    <row r="500" spans="1:8" hidden="1" x14ac:dyDescent="0.2">
      <c r="A500" s="5" t="s">
        <v>848</v>
      </c>
      <c r="D500" s="10">
        <f t="shared" ref="D500:H500" si="302">2.24*SQRT(29000/D$11)</f>
        <v>53.946343712989488</v>
      </c>
      <c r="E500" s="10">
        <f t="shared" si="302"/>
        <v>53.946343712989488</v>
      </c>
      <c r="F500" s="10" t="e">
        <f t="shared" si="302"/>
        <v>#DIV/0!</v>
      </c>
      <c r="G500" s="10" t="e">
        <f t="shared" si="302"/>
        <v>#DIV/0!</v>
      </c>
      <c r="H500" s="10" t="e">
        <f t="shared" si="302"/>
        <v>#DIV/0!</v>
      </c>
    </row>
    <row r="501" spans="1:8" hidden="1" x14ac:dyDescent="0.2">
      <c r="A501" s="5" t="s">
        <v>849</v>
      </c>
      <c r="D501" s="10">
        <f t="shared" ref="D501:H501" si="303">1.1*SQRT((5.34*29000)/D$11)</f>
        <v>61.217742526166383</v>
      </c>
      <c r="E501" s="10">
        <f t="shared" si="303"/>
        <v>61.217742526166383</v>
      </c>
      <c r="F501" s="10" t="e">
        <f t="shared" si="303"/>
        <v>#DIV/0!</v>
      </c>
      <c r="G501" s="10" t="e">
        <f t="shared" si="303"/>
        <v>#DIV/0!</v>
      </c>
      <c r="H501" s="10" t="e">
        <f t="shared" si="303"/>
        <v>#DIV/0!</v>
      </c>
    </row>
    <row r="502" spans="1:8" ht="14.25" hidden="1" x14ac:dyDescent="0.25">
      <c r="A502" s="5" t="s">
        <v>2161</v>
      </c>
      <c r="B502" s="2" t="s">
        <v>918</v>
      </c>
      <c r="C502" s="3" t="s">
        <v>2163</v>
      </c>
      <c r="D502" s="12">
        <f>IF((D464/D351)&lt;=D$500,1,D$501/(D464/D351))</f>
        <v>1</v>
      </c>
      <c r="E502" s="12">
        <f>IF((E464/E351)&lt;=E$500,1,E$501/(E464/E351))</f>
        <v>1</v>
      </c>
      <c r="F502" s="12" t="e">
        <f>IF((F464/F351)&lt;=F$500,1,F$501/(F464/F351))</f>
        <v>#DIV/0!</v>
      </c>
      <c r="G502" s="12" t="e">
        <f>IF((G464/G351)&lt;=G$500,1,G$501/(G464/G351))</f>
        <v>#DIV/0!</v>
      </c>
      <c r="H502" s="12" t="e">
        <f>IF((H464/H351)&lt;=H$500,1,H$501/(H464/H351))</f>
        <v>#DIV/0!</v>
      </c>
    </row>
    <row r="503" spans="1:8" ht="14.25" hidden="1" x14ac:dyDescent="0.25">
      <c r="A503" s="5" t="s">
        <v>2159</v>
      </c>
      <c r="B503" s="2" t="s">
        <v>2165</v>
      </c>
      <c r="D503" s="6">
        <f>0.6*D$11*D$350*D$351*D$502</f>
        <v>77.448009374999998</v>
      </c>
      <c r="E503" s="6">
        <f>0.6*E$11*E$350*E$351*E$502</f>
        <v>77.448009374999998</v>
      </c>
      <c r="F503" s="6" t="e">
        <f>0.6*F$11*F$350*F$351*F$502</f>
        <v>#DIV/0!</v>
      </c>
      <c r="G503" s="6" t="e">
        <f>0.6*G$11*G$350*G$351*G$502</f>
        <v>#DIV/0!</v>
      </c>
      <c r="H503" s="6" t="e">
        <f>0.6*H$11*H$350*H$351*H$502</f>
        <v>#DIV/0!</v>
      </c>
    </row>
    <row r="504" spans="1:8" ht="14.25" hidden="1" x14ac:dyDescent="0.25">
      <c r="A504" s="5" t="s">
        <v>1609</v>
      </c>
      <c r="B504" s="2" t="s">
        <v>1610</v>
      </c>
      <c r="D504" s="10">
        <f t="shared" ref="D504:H504" si="304">IF(D$469&lt;=D$500,1.5,1.67)</f>
        <v>1.5</v>
      </c>
      <c r="E504" s="10">
        <f t="shared" si="304"/>
        <v>1.5</v>
      </c>
      <c r="F504" s="10" t="e">
        <f t="shared" si="304"/>
        <v>#DIV/0!</v>
      </c>
      <c r="G504" s="10" t="e">
        <f t="shared" si="304"/>
        <v>#DIV/0!</v>
      </c>
      <c r="H504" s="10" t="e">
        <f t="shared" si="304"/>
        <v>#DIV/0!</v>
      </c>
    </row>
    <row r="505" spans="1:8" ht="15" hidden="1" x14ac:dyDescent="0.25">
      <c r="A505" s="5" t="s">
        <v>1608</v>
      </c>
      <c r="B505" s="2" t="s">
        <v>1611</v>
      </c>
      <c r="D505" s="10">
        <f t="shared" ref="D505:H505" si="305">IF(D$178="C",1.67,IF(D$178="MC",1.67,1.5))</f>
        <v>1.5</v>
      </c>
      <c r="E505" s="10">
        <f t="shared" si="305"/>
        <v>1.5</v>
      </c>
      <c r="F505" s="10">
        <f t="shared" si="305"/>
        <v>1.5</v>
      </c>
      <c r="G505" s="10">
        <f t="shared" si="305"/>
        <v>1.5</v>
      </c>
      <c r="H505" s="10">
        <f t="shared" si="305"/>
        <v>1.5</v>
      </c>
    </row>
    <row r="506" spans="1:8" hidden="1" x14ac:dyDescent="0.2">
      <c r="A506" s="37" t="s">
        <v>1612</v>
      </c>
      <c r="B506" s="40" t="s">
        <v>850</v>
      </c>
      <c r="D506" s="38">
        <f>IF(D$178="C",D$505,IF(D$178="MC",D$505,D$504))</f>
        <v>1.5</v>
      </c>
      <c r="E506" s="38">
        <f>IF(E$178="C",E$505,IF(E$178="MC",E$505,E$504))</f>
        <v>1.5</v>
      </c>
      <c r="F506" s="38" t="e">
        <f>IF(F$178="C",F$505,IF(F$178="MC",F$505,F$504))</f>
        <v>#DIV/0!</v>
      </c>
      <c r="G506" s="38" t="e">
        <f>IF(G$178="C",G$505,IF(G$178="MC",G$505,G$504))</f>
        <v>#DIV/0!</v>
      </c>
      <c r="H506" s="38" t="e">
        <f>IF(H$178="C",H$505,IF(H$178="MC",H$505,H$504))</f>
        <v>#DIV/0!</v>
      </c>
    </row>
    <row r="507" spans="1:8" ht="15" hidden="1" x14ac:dyDescent="0.25">
      <c r="A507" s="5" t="s">
        <v>1615</v>
      </c>
      <c r="B507" s="34" t="s">
        <v>1617</v>
      </c>
      <c r="D507" s="10">
        <f t="shared" ref="D507:H507" si="306">IF(D$469&lt;=D$500,1,0.9)</f>
        <v>1</v>
      </c>
      <c r="E507" s="10">
        <f t="shared" si="306"/>
        <v>1</v>
      </c>
      <c r="F507" s="10" t="e">
        <f t="shared" si="306"/>
        <v>#DIV/0!</v>
      </c>
      <c r="G507" s="10" t="e">
        <f t="shared" si="306"/>
        <v>#DIV/0!</v>
      </c>
      <c r="H507" s="10" t="e">
        <f t="shared" si="306"/>
        <v>#DIV/0!</v>
      </c>
    </row>
    <row r="508" spans="1:8" ht="14.25" hidden="1" x14ac:dyDescent="0.25">
      <c r="A508" s="5" t="s">
        <v>1614</v>
      </c>
      <c r="B508" s="34" t="s">
        <v>1616</v>
      </c>
      <c r="D508" s="10">
        <f t="shared" ref="D508:H508" si="307">IF(D$178="C",0.9,IF(D$178="MC",0.9,1))</f>
        <v>1</v>
      </c>
      <c r="E508" s="10">
        <f t="shared" si="307"/>
        <v>1</v>
      </c>
      <c r="F508" s="10">
        <f t="shared" si="307"/>
        <v>1</v>
      </c>
      <c r="G508" s="10">
        <f t="shared" si="307"/>
        <v>1</v>
      </c>
      <c r="H508" s="10">
        <f t="shared" si="307"/>
        <v>1</v>
      </c>
    </row>
    <row r="509" spans="1:8" hidden="1" x14ac:dyDescent="0.2">
      <c r="A509" s="37" t="s">
        <v>1613</v>
      </c>
      <c r="B509" s="117" t="s">
        <v>1120</v>
      </c>
      <c r="D509" s="38">
        <f>IF(D$178="C",D$508,IF(D$178="MC",D$508,D$507))</f>
        <v>1</v>
      </c>
      <c r="E509" s="38">
        <f>IF(E$178="C",E$508,IF(E$178="MC",E$508,E$507))</f>
        <v>1</v>
      </c>
      <c r="F509" s="38" t="e">
        <f>IF(F$178="C",F$508,IF(F$178="MC",F$508,F$507))</f>
        <v>#DIV/0!</v>
      </c>
      <c r="G509" s="38" t="e">
        <f>IF(G$178="C",G$508,IF(G$178="MC",G$508,G$507))</f>
        <v>#DIV/0!</v>
      </c>
      <c r="H509" s="38" t="e">
        <f>IF(H$178="C",H$508,IF(H$178="MC",H$508,H$507))</f>
        <v>#DIV/0!</v>
      </c>
    </row>
    <row r="510" spans="1:8" hidden="1" x14ac:dyDescent="0.2"/>
    <row r="511" spans="1:8" x14ac:dyDescent="0.2">
      <c r="A511" s="5" t="s">
        <v>2157</v>
      </c>
      <c r="B511" s="2" t="str">
        <f>IF(D$7="ASD","Vn-y/Ω",IF(D$7="LRFD","φVn-y"))</f>
        <v>φVn-y</v>
      </c>
      <c r="C511" s="3" t="s">
        <v>419</v>
      </c>
      <c r="D511" s="24">
        <f>IF(D$7="ASD",D518/1.67,IF(D$7="LRFD",0.9*D518))</f>
        <v>172.6375275</v>
      </c>
      <c r="E511" s="24">
        <f>IF(E$7="ASD",E518/1.67,IF(E$7="LRFD",0.9*E518))</f>
        <v>114.86196107784433</v>
      </c>
      <c r="F511" s="24" t="e">
        <f>IF(F$7="ASD",F518/1.67,IF(F$7="LRFD",0.9*F518))</f>
        <v>#DIV/0!</v>
      </c>
      <c r="G511" s="24" t="e">
        <f>IF(G$7="ASD",G518/1.67,IF(G$7="LRFD",0.9*G518))</f>
        <v>#DIV/0!</v>
      </c>
      <c r="H511" s="24" t="e">
        <f>IF(H$7="ASD",H518/1.67,IF(H$7="LRFD",0.9*H518))</f>
        <v>#DIV/0!</v>
      </c>
    </row>
    <row r="512" spans="1:8" ht="14.25" hidden="1" x14ac:dyDescent="0.25">
      <c r="A512" s="5" t="s">
        <v>1850</v>
      </c>
      <c r="B512" s="2" t="s">
        <v>2175</v>
      </c>
      <c r="C512" s="4"/>
      <c r="D512" s="10">
        <f>D468</f>
        <v>8.1859989780275928</v>
      </c>
      <c r="E512" s="10">
        <f>E468</f>
        <v>8.1859989780275928</v>
      </c>
      <c r="F512" s="10">
        <f>F468</f>
        <v>7.9545454545454541</v>
      </c>
      <c r="G512" s="10">
        <f>G468</f>
        <v>7.9545454545454541</v>
      </c>
      <c r="H512" s="10">
        <f>H468</f>
        <v>7.9545454545454541</v>
      </c>
    </row>
    <row r="513" spans="1:8" ht="14.25" hidden="1" x14ac:dyDescent="0.25">
      <c r="A513" s="5" t="s">
        <v>1853</v>
      </c>
      <c r="B513" s="2" t="s">
        <v>2176</v>
      </c>
      <c r="C513" s="4"/>
      <c r="D513" s="10">
        <f>IF(D$178="C",D$354/D$353,IF(D$178="MC",D$354/D$353,D$354/(2*D$353)))</f>
        <v>12.961165048543689</v>
      </c>
      <c r="E513" s="10">
        <f>IF(E$178="C",E$354/E$353,IF(E$178="MC",E$354/E$353,E$354/(2*E$353)))</f>
        <v>12.961165048543689</v>
      </c>
      <c r="F513" s="10">
        <f>IF(F$178="C",F$354/F$353,IF(F$178="MC",F$354/F$353,F$354/(2*F$353)))</f>
        <v>7.9545454545454541</v>
      </c>
      <c r="G513" s="10">
        <f>IF(G$178="C",G$354/G$353,IF(G$178="MC",G$354/G$353,G$354/(2*G$353)))</f>
        <v>7.9545454545454541</v>
      </c>
      <c r="H513" s="10">
        <f>IF(H$178="C",H$354/H$353,IF(H$178="MC",H$354/H$353,H$354/(2*H$353)))</f>
        <v>7.9545454545454541</v>
      </c>
    </row>
    <row r="514" spans="1:8" hidden="1" x14ac:dyDescent="0.2">
      <c r="A514" s="5" t="s">
        <v>849</v>
      </c>
      <c r="D514" s="9">
        <f>1.1*SQRT((1.2*29000)/D$11)</f>
        <v>29.019993108200424</v>
      </c>
      <c r="E514" s="9">
        <f>1.1*SQRT((1.2*29000)/E$11)</f>
        <v>29.019993108200424</v>
      </c>
      <c r="F514" s="9" t="e">
        <f>1.1*SQRT((1.2*29000)/F$11)</f>
        <v>#DIV/0!</v>
      </c>
      <c r="G514" s="9" t="e">
        <f>1.1*SQRT((1.2*29000)/G$11)</f>
        <v>#DIV/0!</v>
      </c>
      <c r="H514" s="9" t="e">
        <f>1.1*SQRT((1.2*29000)/H$11)</f>
        <v>#DIV/0!</v>
      </c>
    </row>
    <row r="515" spans="1:8" hidden="1" x14ac:dyDescent="0.2">
      <c r="A515" s="5" t="s">
        <v>2156</v>
      </c>
      <c r="D515" s="9">
        <f>1.37*SQRT((1.2*29000)/D$11)</f>
        <v>36.143082325667805</v>
      </c>
      <c r="E515" s="9">
        <f>1.37*SQRT((1.2*29000)/E$11)</f>
        <v>36.143082325667805</v>
      </c>
      <c r="F515" s="9" t="e">
        <f>1.37*SQRT((1.2*29000)/F$11)</f>
        <v>#DIV/0!</v>
      </c>
      <c r="G515" s="9" t="e">
        <f>1.37*SQRT((1.2*29000)/G$11)</f>
        <v>#DIV/0!</v>
      </c>
      <c r="H515" s="9" t="e">
        <f>1.37*SQRT((1.2*29000)/H$11)</f>
        <v>#DIV/0!</v>
      </c>
    </row>
    <row r="516" spans="1:8" ht="14.25" hidden="1" x14ac:dyDescent="0.25">
      <c r="A516" s="5" t="s">
        <v>2172</v>
      </c>
      <c r="B516" s="2" t="s">
        <v>2155</v>
      </c>
      <c r="C516" s="3" t="s">
        <v>2162</v>
      </c>
      <c r="D516" s="10">
        <f>IF(D512&lt;=D514,1,IF(D512&gt;D515,(1.51*1.2*29000)/(D$11*D512^2),D514/D512))</f>
        <v>1</v>
      </c>
      <c r="E516" s="10">
        <f>IF(E512&lt;=E514,1,IF(E512&gt;E515,(1.51*1.2*29000)/(E$11*E512^2),E514/E512))</f>
        <v>1</v>
      </c>
      <c r="F516" s="10" t="e">
        <f>IF(F512&lt;=F514,1,IF(F512&gt;F515,(1.51*1.2*29000)/(F$11*F512^2),F514/F512))</f>
        <v>#DIV/0!</v>
      </c>
      <c r="G516" s="10" t="e">
        <f>IF(G512&lt;=G514,1,IF(G512&gt;G515,(1.51*1.2*29000)/(G$11*G512^2),G514/G512))</f>
        <v>#DIV/0!</v>
      </c>
      <c r="H516" s="10" t="e">
        <f>IF(H512&lt;=H514,1,IF(H512&gt;H515,(1.51*1.2*29000)/(H$11*H512^2),H514/H512))</f>
        <v>#DIV/0!</v>
      </c>
    </row>
    <row r="517" spans="1:8" ht="14.25" hidden="1" x14ac:dyDescent="0.25">
      <c r="A517" s="5" t="s">
        <v>2173</v>
      </c>
      <c r="B517" s="2" t="s">
        <v>2155</v>
      </c>
      <c r="C517" s="3" t="s">
        <v>2162</v>
      </c>
      <c r="D517" s="10">
        <f>IF(D513&lt;=D514,1,IF(D513&gt;D515,(1.51*1.2*29000)/(D$11*D513^2),D514/D513))</f>
        <v>1</v>
      </c>
      <c r="E517" s="10">
        <f>IF(E513&lt;=E514,1,IF(E513&gt;E515,(1.51*1.2*29000)/(E$11*E513^2),E514/E513))</f>
        <v>1</v>
      </c>
      <c r="F517" s="10" t="e">
        <f>IF(F513&lt;=F514,1,IF(F513&gt;F515,(1.51*1.2*29000)/(F$11*F513^2),F514/F513))</f>
        <v>#DIV/0!</v>
      </c>
      <c r="G517" s="10" t="e">
        <f>IF(G513&lt;=G514,1,IF(G513&gt;G515,(1.51*1.2*29000)/(G$11*G513^2),G514/G513))</f>
        <v>#DIV/0!</v>
      </c>
      <c r="H517" s="10" t="e">
        <f>IF(H513&lt;=H514,1,IF(H513&gt;H515,(1.51*1.2*29000)/(H$11*H513^2),H514/H513))</f>
        <v>#DIV/0!</v>
      </c>
    </row>
    <row r="518" spans="1:8" ht="14.25" hidden="1" x14ac:dyDescent="0.25">
      <c r="A518" s="5" t="s">
        <v>2166</v>
      </c>
      <c r="B518" s="2" t="s">
        <v>2164</v>
      </c>
      <c r="D518" s="6">
        <f t="shared" ref="D518:E518" si="308">0.6*D$11*(D516*D356+D517*D358)</f>
        <v>191.81947500000001</v>
      </c>
      <c r="E518" s="6">
        <f t="shared" si="308"/>
        <v>191.81947500000001</v>
      </c>
      <c r="F518" s="6" t="e">
        <f t="shared" ref="F518:G518" si="309">0.6*F$11*(F516*F356+F517*F358)</f>
        <v>#DIV/0!</v>
      </c>
      <c r="G518" s="6" t="e">
        <f t="shared" si="309"/>
        <v>#DIV/0!</v>
      </c>
      <c r="H518" s="6" t="e">
        <f t="shared" ref="H518" si="310">0.6*H$11*(H516*H356+H517*H358)</f>
        <v>#DIV/0!</v>
      </c>
    </row>
    <row r="519" spans="1:8" hidden="1" x14ac:dyDescent="0.2"/>
    <row r="520" spans="1:8" x14ac:dyDescent="0.2">
      <c r="A520" s="5" t="s">
        <v>1886</v>
      </c>
      <c r="B520" s="2" t="str">
        <f>IF(D$7="ASD","Mn-x/Ω",IF(D$7="LRFD","φMn-x"))</f>
        <v>φMn-x</v>
      </c>
      <c r="C520" s="3" t="s">
        <v>406</v>
      </c>
      <c r="D520" s="24">
        <f>IF(D$7="ASD",D$602/1.67,IF(D$7="LRFD",0.9*D$602))</f>
        <v>138.40017829992115</v>
      </c>
      <c r="E520" s="24">
        <f>IF(E$7="ASD",E$602/1.67,IF(E$7="LRFD",0.9*E$602))</f>
        <v>92.082620292695381</v>
      </c>
      <c r="F520" s="24" t="e">
        <f>IF(F$7="ASD",F$602/1.67,IF(F$7="LRFD",0.9*F$602))</f>
        <v>#DIV/0!</v>
      </c>
      <c r="G520" s="24" t="e">
        <f>IF(G$7="ASD",G$602/1.67,IF(G$7="LRFD",0.9*G$602))</f>
        <v>#DIV/0!</v>
      </c>
      <c r="H520" s="24" t="e">
        <f>IF(H$7="ASD",H$602/1.67,IF(H$7="LRFD",0.9*H$602))</f>
        <v>#DIV/0!</v>
      </c>
    </row>
    <row r="521" spans="1:8" hidden="1" x14ac:dyDescent="0.2">
      <c r="A521" s="118" t="s">
        <v>1880</v>
      </c>
      <c r="D521" s="9"/>
      <c r="E521" s="9"/>
      <c r="F521" s="9"/>
      <c r="G521" s="9"/>
      <c r="H521" s="9"/>
    </row>
    <row r="522" spans="1:8" hidden="1" x14ac:dyDescent="0.2">
      <c r="A522" s="5" t="s">
        <v>1601</v>
      </c>
      <c r="B522" s="2" t="s">
        <v>1179</v>
      </c>
      <c r="D522" s="10">
        <f>IF(D$178="C",(D$465/2)*SQRT(D$445/D$462),IF(D$178="MC",(D$465/2)*SQRT(D$445/D$462),1))</f>
        <v>1</v>
      </c>
      <c r="E522" s="10">
        <f>IF(E$178="C",(E$465/2)*SQRT(E$445/E$462),IF(E$178="MC",(E$465/2)*SQRT(E$445/E$462),1))</f>
        <v>1</v>
      </c>
      <c r="F522" s="10">
        <f>IF(F$178="C",(F$465/2)*SQRT(F$445/F$462),IF(F$178="MC",(F$465/2)*SQRT(F$445/F$462),1))</f>
        <v>1</v>
      </c>
      <c r="G522" s="10">
        <f>IF(G$178="C",(G$465/2)*SQRT(G$445/G$462),IF(G$178="MC",(G$465/2)*SQRT(G$445/G$462),1))</f>
        <v>1</v>
      </c>
      <c r="H522" s="10">
        <f>IF(H$178="C",(H$465/2)*SQRT(H$445/H$462),IF(H$178="MC",(H$465/2)*SQRT(H$445/H$462),1))</f>
        <v>1</v>
      </c>
    </row>
    <row r="523" spans="1:8" ht="14.25" hidden="1" x14ac:dyDescent="0.25">
      <c r="A523" s="5" t="s">
        <v>428</v>
      </c>
      <c r="B523" s="2" t="s">
        <v>896</v>
      </c>
      <c r="C523" s="3" t="s">
        <v>407</v>
      </c>
      <c r="D523" s="14">
        <f t="shared" ref="D523:H523" si="311">D$15*12</f>
        <v>144</v>
      </c>
      <c r="E523" s="14">
        <f t="shared" si="311"/>
        <v>144</v>
      </c>
      <c r="F523" s="14">
        <f t="shared" si="311"/>
        <v>0</v>
      </c>
      <c r="G523" s="14">
        <f t="shared" si="311"/>
        <v>0</v>
      </c>
      <c r="H523" s="14">
        <f t="shared" si="311"/>
        <v>0</v>
      </c>
    </row>
    <row r="524" spans="1:8" ht="14.25" hidden="1" x14ac:dyDescent="0.25">
      <c r="A524" s="5" t="s">
        <v>1180</v>
      </c>
      <c r="B524" s="2" t="s">
        <v>919</v>
      </c>
      <c r="C524" s="3" t="s">
        <v>407</v>
      </c>
      <c r="D524" s="10">
        <f>1.76*D$455*SQRT(29000/D$11)</f>
        <v>82.708093864406251</v>
      </c>
      <c r="E524" s="10">
        <f>1.76*E$455*SQRT(29000/E$11)</f>
        <v>82.708093864406251</v>
      </c>
      <c r="F524" s="10" t="e">
        <f>1.76*F$455*SQRT(29000/F$11)</f>
        <v>#DIV/0!</v>
      </c>
      <c r="G524" s="10" t="e">
        <f>1.76*G$455*SQRT(29000/G$11)</f>
        <v>#DIV/0!</v>
      </c>
      <c r="H524" s="10" t="e">
        <f>1.76*H$455*SQRT(29000/H$11)</f>
        <v>#DIV/0!</v>
      </c>
    </row>
    <row r="525" spans="1:8" ht="14.25" hidden="1" x14ac:dyDescent="0.25">
      <c r="A525" s="5" t="s">
        <v>1181</v>
      </c>
      <c r="B525" s="2" t="s">
        <v>920</v>
      </c>
      <c r="C525" s="3" t="s">
        <v>407</v>
      </c>
      <c r="D525" s="10">
        <f>1.95*D$463*(29000/(0.7*D$11))*SQRT(((D$460*D$522)/(D$439*D$465))+SQRT((((D$460*D$522)/(D$439*D$465))^2)+6.76*((0.7*D$11)/29000)^2))</f>
        <v>233.73942634668015</v>
      </c>
      <c r="E525" s="10">
        <f>1.95*E$463*(29000/(0.7*E$11))*SQRT(((E$460*E$522)/(E$439*E$465))+SQRT((((E$460*E$522)/(E$439*E$465))^2)+6.76*((0.7*E$11)/29000)^2))</f>
        <v>233.73942634668015</v>
      </c>
      <c r="F525" s="10" t="e">
        <f>1.95*F$463*(29000/(0.7*F$11))*SQRT(((F$460*F$522)/(F$439*F$465))+SQRT((((F$460*F$522)/(F$439*F$465))^2)+6.76*((0.7*F$11)/29000)^2))</f>
        <v>#DIV/0!</v>
      </c>
      <c r="G525" s="10" t="e">
        <f>1.95*G$463*(29000/(0.7*G$11))*SQRT(((G$460*G$522)/(G$439*G$465))+SQRT((((G$460*G$522)/(G$439*G$465))^2)+6.76*((0.7*G$11)/29000)^2))</f>
        <v>#DIV/0!</v>
      </c>
      <c r="H525" s="10" t="e">
        <f>1.95*H$463*(29000/(0.7*H$11))*SQRT(((H$460*H$522)/(H$439*H$465))+SQRT((((H$460*H$522)/(H$439*H$465))^2)+6.76*((0.7*H$11)/29000)^2))</f>
        <v>#DIV/0!</v>
      </c>
    </row>
    <row r="526" spans="1:8" ht="14.25" hidden="1" x14ac:dyDescent="0.25">
      <c r="A526" s="5" t="s">
        <v>1176</v>
      </c>
      <c r="B526" s="2" t="s">
        <v>931</v>
      </c>
      <c r="C526" s="3" t="s">
        <v>405</v>
      </c>
      <c r="D526" s="10">
        <f>((((D$20*PI()^2)*29000)/(D$523/D$463)^2)*(SQRT(1+(0.078*((D$460*D$522)/(D$439*D$465))*(D$523/D$463)^2))))</f>
        <v>73.43165307480713</v>
      </c>
      <c r="E526" s="10">
        <f>((((E$20*PI()^2)*29000)/(E$523/E$463)^2)*(SQRT(1+(0.078*((E$460*E$522)/(E$439*E$465))*(E$523/E$463)^2))))</f>
        <v>73.43165307480713</v>
      </c>
      <c r="F526" s="10" t="e">
        <f>((((F$20*PI()^2)*29000)/(F$523/F$463)^2)*(SQRT(1+(0.078*((F$460*F$522)/(F$439*F$465))*(F$523/F$463)^2))))</f>
        <v>#DIV/0!</v>
      </c>
      <c r="G526" s="10" t="e">
        <f>((((G$20*PI()^2)*29000)/(G$523/G$463)^2)*(SQRT(1+(0.078*((G$460*G$522)/(G$439*G$465))*(G$523/G$463)^2))))</f>
        <v>#DIV/0!</v>
      </c>
      <c r="H526" s="10" t="e">
        <f>((((H$20*PI()^2)*29000)/(H$523/H$463)^2)*(SQRT(1+(0.078*((H$460*H$522)/(H$439*H$465))*(H$523/H$463)^2))))</f>
        <v>#DIV/0!</v>
      </c>
    </row>
    <row r="527" spans="1:8" hidden="1" x14ac:dyDescent="0.2">
      <c r="A527" s="119" t="s">
        <v>1206</v>
      </c>
      <c r="D527" s="10"/>
      <c r="E527" s="10"/>
      <c r="F527" s="10"/>
      <c r="G527" s="10"/>
      <c r="H527" s="10"/>
    </row>
    <row r="528" spans="1:8" ht="14.25" hidden="1" x14ac:dyDescent="0.25">
      <c r="A528" s="13" t="s">
        <v>1177</v>
      </c>
      <c r="B528" s="2" t="s">
        <v>921</v>
      </c>
      <c r="C528" s="3" t="s">
        <v>408</v>
      </c>
      <c r="D528" s="6">
        <f>(D$11*D$438)</f>
        <v>2059.2686068847001</v>
      </c>
      <c r="E528" s="6">
        <f>(E$11*E$438)</f>
        <v>2059.2686068847001</v>
      </c>
      <c r="F528" s="6">
        <f>(F$11*F$438)</f>
        <v>0</v>
      </c>
      <c r="G528" s="6">
        <f>(G$11*G$438)</f>
        <v>0</v>
      </c>
      <c r="H528" s="6">
        <f>(H$11*H$438)</f>
        <v>0</v>
      </c>
    </row>
    <row r="529" spans="1:8" hidden="1" x14ac:dyDescent="0.2">
      <c r="A529" s="119" t="s">
        <v>1876</v>
      </c>
      <c r="D529" s="10"/>
      <c r="E529" s="10"/>
      <c r="F529" s="10"/>
      <c r="G529" s="10"/>
      <c r="H529" s="10"/>
    </row>
    <row r="530" spans="1:8" ht="14.25" hidden="1" x14ac:dyDescent="0.25">
      <c r="A530" s="13" t="s">
        <v>1875</v>
      </c>
      <c r="B530" s="2" t="s">
        <v>922</v>
      </c>
      <c r="C530" s="3" t="s">
        <v>408</v>
      </c>
      <c r="D530" s="10">
        <f>MIN(D$20*(D$528-((D$528-(0.7*D$11*D$439))*((D$523-D$524)/(D$525-D$524)))),D$528)</f>
        <v>1862.1975445921203</v>
      </c>
      <c r="E530" s="10">
        <f>MIN(E$20*(E$528-((E$528-(0.7*E$11*E$439))*((E$523-E$524)/(E$525-E$524)))),E$528)</f>
        <v>1862.1975445921203</v>
      </c>
      <c r="F530" s="10" t="e">
        <f>MIN(F$20*(F$528-((F$528-(0.7*F$11*F$439))*((F$523-F$524)/(F$525-F$524)))),F$528)</f>
        <v>#DIV/0!</v>
      </c>
      <c r="G530" s="10" t="e">
        <f>MIN(G$20*(G$528-((G$528-(0.7*G$11*G$439))*((G$523-G$524)/(G$525-G$524)))),G$528)</f>
        <v>#DIV/0!</v>
      </c>
      <c r="H530" s="10" t="e">
        <f>MIN(H$20*(H$528-((H$528-(0.7*H$11*H$439))*((H$523-H$524)/(H$525-H$524)))),H$528)</f>
        <v>#DIV/0!</v>
      </c>
    </row>
    <row r="531" spans="1:8" ht="14.25" hidden="1" x14ac:dyDescent="0.25">
      <c r="A531" s="13" t="s">
        <v>1878</v>
      </c>
      <c r="B531" s="2" t="s">
        <v>923</v>
      </c>
      <c r="C531" s="3" t="s">
        <v>408</v>
      </c>
      <c r="D531" s="10">
        <f t="shared" ref="D531:H531" si="312">MIN((D$526*D$439),D$528)</f>
        <v>2059.2686068847001</v>
      </c>
      <c r="E531" s="10">
        <f t="shared" si="312"/>
        <v>2059.2686068847001</v>
      </c>
      <c r="F531" s="10" t="e">
        <f t="shared" si="312"/>
        <v>#DIV/0!</v>
      </c>
      <c r="G531" s="10" t="e">
        <f t="shared" si="312"/>
        <v>#DIV/0!</v>
      </c>
      <c r="H531" s="10" t="e">
        <f t="shared" si="312"/>
        <v>#DIV/0!</v>
      </c>
    </row>
    <row r="532" spans="1:8" ht="14.25" hidden="1" x14ac:dyDescent="0.25">
      <c r="A532" s="13" t="s">
        <v>1178</v>
      </c>
      <c r="B532" s="14" t="s">
        <v>1214</v>
      </c>
      <c r="C532" s="86" t="s">
        <v>408</v>
      </c>
      <c r="D532" s="120">
        <f>(IF(D$523&lt;=D$524,D$528,IF(D$523&gt;D$525,D$531,D$530)))</f>
        <v>1862.1975445921203</v>
      </c>
      <c r="E532" s="120">
        <f>(IF(E$523&lt;=E$524,E$528,IF(E$523&gt;E$525,E$531,E$530)))</f>
        <v>1862.1975445921203</v>
      </c>
      <c r="F532" s="120" t="e">
        <f>(IF(F$523&lt;=F$524,F$528,IF(F$523&gt;F$525,F$531,F$530)))</f>
        <v>#DIV/0!</v>
      </c>
      <c r="G532" s="120" t="e">
        <f>(IF(G$523&lt;=G$524,G$528,IF(G$523&gt;G$525,G$531,G$530)))</f>
        <v>#DIV/0!</v>
      </c>
      <c r="H532" s="120" t="e">
        <f>(IF(H$523&lt;=H$524,H$528,IF(H$523&gt;H$525,H$531,H$530)))</f>
        <v>#DIV/0!</v>
      </c>
    </row>
    <row r="533" spans="1:8" hidden="1" x14ac:dyDescent="0.2">
      <c r="A533" s="118" t="s">
        <v>1881</v>
      </c>
      <c r="D533" s="10"/>
      <c r="E533" s="10"/>
      <c r="F533" s="10"/>
      <c r="G533" s="10"/>
      <c r="H533" s="10"/>
    </row>
    <row r="534" spans="1:8" ht="14.25" hidden="1" x14ac:dyDescent="0.25">
      <c r="A534" s="5" t="s">
        <v>1182</v>
      </c>
      <c r="B534" s="2" t="s">
        <v>925</v>
      </c>
      <c r="D534" s="10">
        <f>IF(4/SQRT(D464/D351)&gt;0.76,0.76,IF(4/SQRT(D464/D351)&lt;0.35,0.35,4/SQRT(D464/D351)))</f>
        <v>0.60635638046905938</v>
      </c>
      <c r="E534" s="10">
        <f>IF(4/SQRT(E464/E351)&gt;0.76,0.76,IF(4/SQRT(E464/E351)&lt;0.35,0.35,4/SQRT(E464/E351)))</f>
        <v>0.60635638046905938</v>
      </c>
      <c r="F534" s="10">
        <f>IF(4/SQRT(F464/F351)&gt;0.76,0.76,IF(4/SQRT(F464/F351)&lt;0.35,0.35,4/SQRT(F464/F351)))</f>
        <v>0.73135745086122728</v>
      </c>
      <c r="G534" s="10">
        <f>IF(4/SQRT(G464/G351)&gt;0.76,0.76,IF(4/SQRT(G464/G351)&lt;0.35,0.35,4/SQRT(G464/G351)))</f>
        <v>0.73135745086122728</v>
      </c>
      <c r="H534" s="10">
        <f>IF(4/SQRT(H464/H351)&gt;0.76,0.76,IF(4/SQRT(H464/H351)&lt;0.35,0.35,4/SQRT(H464/H351)))</f>
        <v>0.73135745086122728</v>
      </c>
    </row>
    <row r="535" spans="1:8" hidden="1" x14ac:dyDescent="0.2">
      <c r="A535" s="119" t="s">
        <v>1877</v>
      </c>
      <c r="B535" s="4"/>
      <c r="C535" s="4"/>
      <c r="D535" s="4"/>
      <c r="E535" s="4"/>
      <c r="F535" s="4"/>
      <c r="G535" s="4"/>
      <c r="H535" s="4"/>
    </row>
    <row r="536" spans="1:8" hidden="1" x14ac:dyDescent="0.2">
      <c r="A536" s="13" t="s">
        <v>1211</v>
      </c>
      <c r="B536" s="4"/>
      <c r="C536" s="4"/>
      <c r="D536" s="4"/>
      <c r="E536" s="4"/>
      <c r="F536" s="4"/>
      <c r="G536" s="4"/>
      <c r="H536" s="4"/>
    </row>
    <row r="537" spans="1:8" hidden="1" x14ac:dyDescent="0.2">
      <c r="A537" s="119" t="s">
        <v>1209</v>
      </c>
      <c r="B537" s="4"/>
      <c r="C537" s="4"/>
      <c r="D537" s="4"/>
      <c r="E537" s="4"/>
      <c r="F537" s="4"/>
      <c r="G537" s="4"/>
      <c r="H537" s="4"/>
    </row>
    <row r="538" spans="1:8" ht="14.25" hidden="1" x14ac:dyDescent="0.25">
      <c r="A538" s="13" t="s">
        <v>1183</v>
      </c>
      <c r="B538" s="2" t="s">
        <v>922</v>
      </c>
      <c r="C538" s="3" t="s">
        <v>408</v>
      </c>
      <c r="D538" s="10">
        <f>D$528-(D$528-(0.7*D$11*D$439))*((D$468-D$472)/(D$473-D$472))</f>
        <v>2090.6725482194706</v>
      </c>
      <c r="E538" s="10">
        <f>E$528-(E$528-(0.7*E$11*E$439))*((E$468-E$472)/(E$473-E$472))</f>
        <v>2090.6725482194706</v>
      </c>
      <c r="F538" s="10" t="e">
        <f>F$528-(F$528-(0.7*F$11*F$439))*((F$468-F$472)/(F$473-F$472))</f>
        <v>#DIV/0!</v>
      </c>
      <c r="G538" s="10" t="e">
        <f>G$528-(G$528-(0.7*G$11*G$439))*((G$468-G$472)/(G$473-G$472))</f>
        <v>#DIV/0!</v>
      </c>
      <c r="H538" s="10" t="e">
        <f>H$528-(H$528-(0.7*H$11*H$439))*((H$468-H$472)/(H$473-H$472))</f>
        <v>#DIV/0!</v>
      </c>
    </row>
    <row r="539" spans="1:8" ht="14.25" hidden="1" x14ac:dyDescent="0.25">
      <c r="A539" s="13" t="s">
        <v>1184</v>
      </c>
      <c r="B539" s="2" t="s">
        <v>923</v>
      </c>
      <c r="C539" s="3" t="s">
        <v>408</v>
      </c>
      <c r="D539" s="10">
        <f t="shared" ref="D539:H539" si="313">(0.9*29000*D$534*D$439)/D$468^2</f>
        <v>10618.613721449696</v>
      </c>
      <c r="E539" s="10">
        <f t="shared" si="313"/>
        <v>10618.613721449696</v>
      </c>
      <c r="F539" s="10">
        <f t="shared" si="313"/>
        <v>4579.7987460804316</v>
      </c>
      <c r="G539" s="10">
        <f t="shared" si="313"/>
        <v>4579.7987460804316</v>
      </c>
      <c r="H539" s="10">
        <f t="shared" si="313"/>
        <v>4579.7987460804316</v>
      </c>
    </row>
    <row r="540" spans="1:8" ht="14.25" hidden="1" x14ac:dyDescent="0.25">
      <c r="A540" s="13" t="s">
        <v>1185</v>
      </c>
      <c r="B540" s="14" t="s">
        <v>1213</v>
      </c>
      <c r="C540" s="86" t="s">
        <v>408</v>
      </c>
      <c r="D540" s="120">
        <f t="shared" ref="D540:H540" si="314">IF(D$480="Noncompact",D$538,IF(D$480="Slender",D$539,D$532))</f>
        <v>1862.1975445921203</v>
      </c>
      <c r="E540" s="120">
        <f t="shared" si="314"/>
        <v>1862.1975445921203</v>
      </c>
      <c r="F540" s="120" t="e">
        <f t="shared" si="314"/>
        <v>#DIV/0!</v>
      </c>
      <c r="G540" s="120" t="e">
        <f t="shared" si="314"/>
        <v>#DIV/0!</v>
      </c>
      <c r="H540" s="120" t="e">
        <f t="shared" si="314"/>
        <v>#DIV/0!</v>
      </c>
    </row>
    <row r="541" spans="1:8" hidden="1" x14ac:dyDescent="0.2">
      <c r="A541" s="118" t="s">
        <v>1210</v>
      </c>
      <c r="D541" s="10"/>
      <c r="E541" s="10"/>
      <c r="F541" s="10"/>
      <c r="G541" s="10"/>
      <c r="H541" s="10"/>
    </row>
    <row r="542" spans="1:8" ht="14.25" hidden="1" x14ac:dyDescent="0.25">
      <c r="A542" s="121" t="s">
        <v>1186</v>
      </c>
      <c r="B542" s="39" t="s">
        <v>1882</v>
      </c>
      <c r="C542" s="122" t="s">
        <v>406</v>
      </c>
      <c r="D542" s="123">
        <f>MIN(D$532,D$540)/12</f>
        <v>155.18312871601003</v>
      </c>
      <c r="E542" s="123">
        <f>MIN(E$532,E$540)/12</f>
        <v>155.18312871601003</v>
      </c>
      <c r="F542" s="123" t="e">
        <f>MIN(F$532,F$540)/12</f>
        <v>#DIV/0!</v>
      </c>
      <c r="G542" s="123" t="e">
        <f>MIN(G$532,G$540)/12</f>
        <v>#DIV/0!</v>
      </c>
      <c r="H542" s="123" t="e">
        <f>MIN(H$532,H$540)/12</f>
        <v>#DIV/0!</v>
      </c>
    </row>
    <row r="543" spans="1:8" hidden="1" x14ac:dyDescent="0.2">
      <c r="D543" s="9"/>
      <c r="E543" s="9"/>
      <c r="F543" s="9"/>
      <c r="G543" s="9"/>
      <c r="H543" s="9"/>
    </row>
    <row r="544" spans="1:8" ht="12.75" hidden="1" customHeight="1" x14ac:dyDescent="0.2">
      <c r="A544" s="118" t="s">
        <v>1879</v>
      </c>
      <c r="D544" s="10"/>
      <c r="E544" s="10"/>
      <c r="F544" s="10"/>
      <c r="G544" s="10"/>
      <c r="H544" s="10"/>
    </row>
    <row r="545" spans="1:8" ht="15" hidden="1" customHeight="1" x14ac:dyDescent="0.25">
      <c r="A545" s="5" t="s">
        <v>964</v>
      </c>
      <c r="B545" s="2" t="s">
        <v>963</v>
      </c>
      <c r="C545" s="3" t="s">
        <v>873</v>
      </c>
      <c r="D545" s="10">
        <f>D$442</f>
        <v>20.953044557437501</v>
      </c>
      <c r="E545" s="10">
        <f>E$442</f>
        <v>20.953044557437501</v>
      </c>
      <c r="F545" s="10">
        <f>F$442</f>
        <v>3.9793359375000001</v>
      </c>
      <c r="G545" s="10">
        <f>G$442</f>
        <v>3.9793359375000001</v>
      </c>
      <c r="H545" s="10">
        <f>H$442</f>
        <v>3.9793359375000001</v>
      </c>
    </row>
    <row r="546" spans="1:8" ht="14.25" hidden="1" customHeight="1" x14ac:dyDescent="0.25">
      <c r="A546" s="5" t="s">
        <v>1196</v>
      </c>
      <c r="B546" s="2" t="s">
        <v>965</v>
      </c>
      <c r="D546" s="10">
        <f t="shared" ref="D546:H546" si="315">D$545/D$445</f>
        <v>0.61272738883282152</v>
      </c>
      <c r="E546" s="10">
        <f t="shared" si="315"/>
        <v>0.61272738883282152</v>
      </c>
      <c r="F546" s="10">
        <f t="shared" si="315"/>
        <v>0.49952398613014437</v>
      </c>
      <c r="G546" s="10">
        <f t="shared" si="315"/>
        <v>0.49952398613014437</v>
      </c>
      <c r="H546" s="10">
        <f t="shared" si="315"/>
        <v>0.49952398613014437</v>
      </c>
    </row>
    <row r="547" spans="1:8" ht="15" hidden="1" customHeight="1" x14ac:dyDescent="0.2">
      <c r="A547" s="5" t="s">
        <v>966</v>
      </c>
      <c r="B547" s="2" t="s">
        <v>6</v>
      </c>
      <c r="C547" s="3" t="s">
        <v>873</v>
      </c>
      <c r="D547" s="10">
        <f t="shared" ref="D547:H547" si="316">IF(D$546&lt;=0.23,0,D$460)</f>
        <v>0.72639996328666034</v>
      </c>
      <c r="E547" s="10">
        <f t="shared" si="316"/>
        <v>0.72639996328666034</v>
      </c>
      <c r="F547" s="10">
        <f t="shared" si="316"/>
        <v>0.1715568695271302</v>
      </c>
      <c r="G547" s="10">
        <f t="shared" si="316"/>
        <v>0.1715568695271302</v>
      </c>
      <c r="H547" s="10">
        <f t="shared" si="316"/>
        <v>0.1715568695271302</v>
      </c>
    </row>
    <row r="548" spans="1:8" ht="14.25" hidden="1" customHeight="1" x14ac:dyDescent="0.25">
      <c r="A548" s="5" t="s">
        <v>967</v>
      </c>
      <c r="B548" s="2" t="s">
        <v>957</v>
      </c>
      <c r="D548" s="10">
        <f>D$440/D$439</f>
        <v>0.74625306159389393</v>
      </c>
      <c r="E548" s="10">
        <f>E$440/E$439</f>
        <v>0.74625306159389393</v>
      </c>
      <c r="F548" s="10">
        <f>F$440/F$439</f>
        <v>1</v>
      </c>
      <c r="G548" s="10">
        <f>G$440/G$439</f>
        <v>1</v>
      </c>
      <c r="H548" s="10">
        <f>H$440/H$439</f>
        <v>1</v>
      </c>
    </row>
    <row r="549" spans="1:8" ht="26.25" hidden="1" customHeight="1" x14ac:dyDescent="0.25">
      <c r="A549" s="132" t="s">
        <v>1197</v>
      </c>
      <c r="B549" s="2" t="s">
        <v>958</v>
      </c>
      <c r="C549" s="2" t="s">
        <v>405</v>
      </c>
      <c r="D549" s="10">
        <f>IF(D$548&gt;=0.7,0.7*D$11,MAX(D$11*D$548,0.5*D$11))</f>
        <v>35</v>
      </c>
      <c r="E549" s="10">
        <f>IF(E$548&gt;=0.7,0.7*E$11,MAX(E$11*E$548,0.5*E$11))</f>
        <v>35</v>
      </c>
      <c r="F549" s="10">
        <f>IF(F$548&gt;=0.7,0.7*F$11,MAX(F$11*F$548,0.5*F$11))</f>
        <v>0</v>
      </c>
      <c r="G549" s="10">
        <f>IF(G$548&gt;=0.7,0.7*G$11,MAX(G$11*G$548,0.5*G$11))</f>
        <v>0</v>
      </c>
      <c r="H549" s="10">
        <f>IF(H$548&gt;=0.7,0.7*H$11,MAX(H$11*H$548,0.5*H$11))</f>
        <v>0</v>
      </c>
    </row>
    <row r="550" spans="1:8" ht="14.25" hidden="1" customHeight="1" x14ac:dyDescent="0.25">
      <c r="A550" s="5" t="s">
        <v>1193</v>
      </c>
      <c r="B550" s="2" t="s">
        <v>959</v>
      </c>
      <c r="D550" s="10">
        <f>(D$466*D$351)/(D$354*D$352)</f>
        <v>0.44786112106525416</v>
      </c>
      <c r="E550" s="10">
        <f>(E$466*E$351)/(E$354*E$352)</f>
        <v>0.44786112106525416</v>
      </c>
      <c r="F550" s="10">
        <f>(F$466*F$351)/(F$354*F$352)</f>
        <v>0.91336219336219338</v>
      </c>
      <c r="G550" s="10">
        <f>(G$466*G$351)/(G$354*G$352)</f>
        <v>0.91336219336219338</v>
      </c>
      <c r="H550" s="10">
        <f>(H$466*H$351)/(H$354*H$352)</f>
        <v>0.91336219336219338</v>
      </c>
    </row>
    <row r="551" spans="1:8" ht="14.25" hidden="1" customHeight="1" x14ac:dyDescent="0.25">
      <c r="A551" s="5" t="s">
        <v>1194</v>
      </c>
      <c r="B551" s="2" t="s">
        <v>961</v>
      </c>
      <c r="C551" s="3" t="s">
        <v>407</v>
      </c>
      <c r="D551" s="10">
        <f t="shared" ref="D551:H551" si="317">D$354/SQRT(12*(1+(0.167*D$550)))</f>
        <v>2.2303833653738834</v>
      </c>
      <c r="E551" s="10">
        <f t="shared" si="317"/>
        <v>2.2303833653738834</v>
      </c>
      <c r="F551" s="10">
        <f t="shared" si="317"/>
        <v>1.4116995652634772</v>
      </c>
      <c r="G551" s="10">
        <f t="shared" si="317"/>
        <v>1.4116995652634772</v>
      </c>
      <c r="H551" s="10">
        <f t="shared" si="317"/>
        <v>1.4116995652634772</v>
      </c>
    </row>
    <row r="552" spans="1:8" ht="14.25" hidden="1" customHeight="1" x14ac:dyDescent="0.25">
      <c r="A552" s="5" t="s">
        <v>428</v>
      </c>
      <c r="B552" s="2" t="s">
        <v>896</v>
      </c>
      <c r="C552" s="3" t="s">
        <v>407</v>
      </c>
      <c r="D552" s="10">
        <f t="shared" ref="D552:H552" si="318">D$15*12</f>
        <v>144</v>
      </c>
      <c r="E552" s="10">
        <f t="shared" si="318"/>
        <v>144</v>
      </c>
      <c r="F552" s="10">
        <f t="shared" si="318"/>
        <v>0</v>
      </c>
      <c r="G552" s="10">
        <f t="shared" si="318"/>
        <v>0</v>
      </c>
      <c r="H552" s="10">
        <f t="shared" si="318"/>
        <v>0</v>
      </c>
    </row>
    <row r="553" spans="1:8" ht="14.25" hidden="1" customHeight="1" x14ac:dyDescent="0.25">
      <c r="A553" s="5" t="s">
        <v>1188</v>
      </c>
      <c r="B553" s="2" t="s">
        <v>919</v>
      </c>
      <c r="C553" s="3" t="s">
        <v>407</v>
      </c>
      <c r="D553" s="10">
        <f>1.1*D$551*SQRT(29000/D$11)</f>
        <v>59.086218930452276</v>
      </c>
      <c r="E553" s="10">
        <f>1.1*E$551*SQRT(29000/E$11)</f>
        <v>59.086218930452276</v>
      </c>
      <c r="F553" s="10" t="e">
        <f>1.1*F$551*SQRT(29000/F$11)</f>
        <v>#DIV/0!</v>
      </c>
      <c r="G553" s="10" t="e">
        <f>1.1*G$551*SQRT(29000/G$11)</f>
        <v>#DIV/0!</v>
      </c>
      <c r="H553" s="10" t="e">
        <f>1.1*H$551*SQRT(29000/H$11)</f>
        <v>#DIV/0!</v>
      </c>
    </row>
    <row r="554" spans="1:8" ht="14.25" hidden="1" customHeight="1" x14ac:dyDescent="0.25">
      <c r="A554" s="5" t="s">
        <v>1189</v>
      </c>
      <c r="B554" s="2" t="s">
        <v>920</v>
      </c>
      <c r="C554" s="3" t="s">
        <v>407</v>
      </c>
      <c r="D554" s="10">
        <f t="shared" ref="D554:H554" si="319">1.95*D$551*(29000/D$549)*SQRT((D$460/(D$439*D$465))+SQRT(((D$460/(D$439*D$465))^2)+6.76*((D$549)/29000)^2))</f>
        <v>251.83311490877685</v>
      </c>
      <c r="E554" s="10">
        <f t="shared" si="319"/>
        <v>251.83311490877685</v>
      </c>
      <c r="F554" s="10" t="e">
        <f t="shared" si="319"/>
        <v>#DIV/0!</v>
      </c>
      <c r="G554" s="10" t="e">
        <f t="shared" si="319"/>
        <v>#DIV/0!</v>
      </c>
      <c r="H554" s="10" t="e">
        <f t="shared" si="319"/>
        <v>#DIV/0!</v>
      </c>
    </row>
    <row r="555" spans="1:8" ht="14.25" hidden="1" customHeight="1" x14ac:dyDescent="0.25">
      <c r="A555" s="5" t="s">
        <v>1195</v>
      </c>
      <c r="B555" s="2" t="s">
        <v>921</v>
      </c>
      <c r="C555" s="3" t="s">
        <v>408</v>
      </c>
      <c r="D555" s="10">
        <f>MIN((D$11*D$438),(1.6*D$11*D$439))</f>
        <v>2059.2686068847001</v>
      </c>
      <c r="E555" s="10">
        <f>MIN((E$11*E$438),(1.6*E$11*E$439))</f>
        <v>2059.2686068847001</v>
      </c>
      <c r="F555" s="10">
        <f>MIN((F$11*F$438),(1.6*F$11*F$439))</f>
        <v>0</v>
      </c>
      <c r="G555" s="10">
        <f>MIN((G$11*G$438),(1.6*G$11*G$439))</f>
        <v>0</v>
      </c>
      <c r="H555" s="10">
        <f>MIN((H$11*H$438),(1.6*H$11*H$439))</f>
        <v>0</v>
      </c>
    </row>
    <row r="556" spans="1:8" ht="14.25" hidden="1" customHeight="1" x14ac:dyDescent="0.25">
      <c r="A556" s="5" t="s">
        <v>1191</v>
      </c>
      <c r="B556" s="2" t="s">
        <v>1806</v>
      </c>
      <c r="C556" s="3" t="s">
        <v>408</v>
      </c>
      <c r="D556" s="10">
        <f>D$11*D$439</f>
        <v>2248.085062138734</v>
      </c>
      <c r="E556" s="10">
        <f>E$11*E$439</f>
        <v>2248.085062138734</v>
      </c>
      <c r="F556" s="10">
        <f>F$11*F$439</f>
        <v>0</v>
      </c>
      <c r="G556" s="10">
        <f>G$11*G$439</f>
        <v>0</v>
      </c>
      <c r="H556" s="10">
        <f>H$11*H$439</f>
        <v>0</v>
      </c>
    </row>
    <row r="557" spans="1:8" ht="14.25" hidden="1" customHeight="1" x14ac:dyDescent="0.25">
      <c r="A557" s="5" t="s">
        <v>1192</v>
      </c>
      <c r="B557" s="2" t="s">
        <v>931</v>
      </c>
      <c r="C557" s="3" t="s">
        <v>405</v>
      </c>
      <c r="D557" s="10">
        <f>((((D$20*PI()^2)*29000)/(D$552/D$551)^2)*(SQRT(1+(0.078*(D$547/(D$439*D$465))*(D$552/D$551)^2))))</f>
        <v>83.141423971083455</v>
      </c>
      <c r="E557" s="10">
        <f>((((E$20*PI()^2)*29000)/(E$552/E$551)^2)*(SQRT(1+(0.078*(E$547/(E$439*E$465))*(E$552/E$551)^2))))</f>
        <v>83.141423971083455</v>
      </c>
      <c r="F557" s="10" t="e">
        <f>((((F$20*PI()^2)*29000)/(F$552/F$551)^2)*(SQRT(1+(0.078*(F$547/(F$439*F$465))*(F$552/F$551)^2))))</f>
        <v>#DIV/0!</v>
      </c>
      <c r="G557" s="10" t="e">
        <f>((((G$20*PI()^2)*29000)/(G$552/G$551)^2)*(SQRT(1+(0.078*(G$547/(G$439*G$465))*(G$552/G$551)^2))))</f>
        <v>#DIV/0!</v>
      </c>
      <c r="H557" s="10" t="e">
        <f>((((H$20*PI()^2)*29000)/(H$552/H$551)^2)*(SQRT(1+(0.078*(H$547/(H$439*H$465))*(H$552/H$551)^2))))</f>
        <v>#DIV/0!</v>
      </c>
    </row>
    <row r="558" spans="1:8" ht="26.25" hidden="1" customHeight="1" x14ac:dyDescent="0.25">
      <c r="A558" s="132" t="s">
        <v>1190</v>
      </c>
      <c r="B558" s="2" t="s">
        <v>968</v>
      </c>
      <c r="C558" s="2"/>
      <c r="D558" s="12">
        <f t="shared" ref="D558:H558" si="320">IF(D$546&gt;0.23,IF(D$469&lt;=D$474,(D$555/D$556),MIN((D$555/D$556)-((D$555/D$556)-1)*((D$469-D$474)/(D$475-D$474)),(D$555/D$556))),1)</f>
        <v>0.91601009301916636</v>
      </c>
      <c r="E558" s="12">
        <f t="shared" si="320"/>
        <v>0.91601009301916636</v>
      </c>
      <c r="F558" s="12" t="e">
        <f t="shared" si="320"/>
        <v>#DIV/0!</v>
      </c>
      <c r="G558" s="12" t="e">
        <f t="shared" si="320"/>
        <v>#DIV/0!</v>
      </c>
      <c r="H558" s="12" t="e">
        <f t="shared" si="320"/>
        <v>#DIV/0!</v>
      </c>
    </row>
    <row r="559" spans="1:8" ht="14.25" hidden="1" customHeight="1" x14ac:dyDescent="0.25">
      <c r="A559" s="5" t="s">
        <v>837</v>
      </c>
      <c r="B559" s="2" t="s">
        <v>925</v>
      </c>
      <c r="D559" s="11">
        <f>IF(4/SQRT(D$469)&gt;0.76,0.76,IF(4/SQRT(D$469)&lt;0.35,0.35,4/SQRT(D$469)))</f>
        <v>0.66802069055723778</v>
      </c>
      <c r="E559" s="11">
        <f>IF(4/SQRT(E$469)&gt;0.76,0.76,IF(4/SQRT(E$469)&lt;0.35,0.35,4/SQRT(E$469)))</f>
        <v>0.66802069055723778</v>
      </c>
      <c r="F559" s="11">
        <f>IF(4/SQRT(F$469)&gt;0.76,0.76,IF(4/SQRT(F$469)&lt;0.35,0.35,4/SQRT(F$469)))</f>
        <v>0.73135745086122728</v>
      </c>
      <c r="G559" s="11">
        <f>IF(4/SQRT(G$469)&gt;0.76,0.76,IF(4/SQRT(G$469)&lt;0.35,0.35,4/SQRT(G$469)))</f>
        <v>0.73135745086122728</v>
      </c>
      <c r="H559" s="11">
        <f>IF(4/SQRT(H$469)&gt;0.76,0.76,IF(4/SQRT(H$469)&lt;0.35,0.35,4/SQRT(H$469)))</f>
        <v>0.73135745086122728</v>
      </c>
    </row>
    <row r="560" spans="1:8" ht="14.25" hidden="1" customHeight="1" x14ac:dyDescent="0.25">
      <c r="A560" s="5" t="s">
        <v>1198</v>
      </c>
      <c r="B560" s="2" t="s">
        <v>1235</v>
      </c>
      <c r="C560" s="3" t="s">
        <v>408</v>
      </c>
      <c r="D560" s="10">
        <f>D$11*D$440</f>
        <v>1677.6403603445297</v>
      </c>
      <c r="E560" s="10">
        <f>E$11*E$440</f>
        <v>1677.6403603445297</v>
      </c>
      <c r="F560" s="10">
        <f>F$11*F$440</f>
        <v>0</v>
      </c>
      <c r="G560" s="10">
        <f>G$11*G$440</f>
        <v>0</v>
      </c>
      <c r="H560" s="10">
        <f>H$11*H$440</f>
        <v>0</v>
      </c>
    </row>
    <row r="561" spans="1:8" ht="26.25" hidden="1" customHeight="1" x14ac:dyDescent="0.25">
      <c r="A561" s="132" t="s">
        <v>1199</v>
      </c>
      <c r="B561" s="2" t="s">
        <v>972</v>
      </c>
      <c r="D561" s="12">
        <f t="shared" ref="D561:H561" si="321">IF(D$546&gt;0.23,IF(D$469&lt;=D$474,(D$555/D$560),MIN((D$555/D$560)-((D$555/D$560)-1)*((D$469-D$474)/(D$475-D$474)),(D$555/D$560))),1)</f>
        <v>1.2274791758477945</v>
      </c>
      <c r="E561" s="12">
        <f t="shared" si="321"/>
        <v>1.2274791758477945</v>
      </c>
      <c r="F561" s="12" t="e">
        <f t="shared" si="321"/>
        <v>#DIV/0!</v>
      </c>
      <c r="G561" s="12" t="e">
        <f t="shared" si="321"/>
        <v>#DIV/0!</v>
      </c>
      <c r="H561" s="12" t="e">
        <f t="shared" si="321"/>
        <v>#DIV/0!</v>
      </c>
    </row>
    <row r="562" spans="1:8" ht="12.75" hidden="1" customHeight="1" x14ac:dyDescent="0.2">
      <c r="A562" s="119" t="s">
        <v>1200</v>
      </c>
      <c r="D562" s="11"/>
      <c r="E562" s="11"/>
      <c r="F562" s="11"/>
      <c r="G562" s="11"/>
      <c r="H562" s="11"/>
    </row>
    <row r="563" spans="1:8" ht="14.25" hidden="1" customHeight="1" x14ac:dyDescent="0.25">
      <c r="A563" s="13" t="s">
        <v>1187</v>
      </c>
      <c r="B563" s="2" t="s">
        <v>1219</v>
      </c>
      <c r="C563" s="3" t="s">
        <v>408</v>
      </c>
      <c r="D563" s="6">
        <f>D$558*D$556</f>
        <v>2059.2686068847001</v>
      </c>
      <c r="E563" s="6">
        <f>E$558*E$556</f>
        <v>2059.2686068847001</v>
      </c>
      <c r="F563" s="6" t="e">
        <f>F$558*F$556</f>
        <v>#DIV/0!</v>
      </c>
      <c r="G563" s="6" t="e">
        <f>G$558*G$556</f>
        <v>#DIV/0!</v>
      </c>
      <c r="H563" s="6" t="e">
        <f>H$558*H$556</f>
        <v>#DIV/0!</v>
      </c>
    </row>
    <row r="564" spans="1:8" ht="12.75" hidden="1" customHeight="1" x14ac:dyDescent="0.2">
      <c r="A564" s="119" t="s">
        <v>1201</v>
      </c>
      <c r="D564" s="10"/>
      <c r="E564" s="10"/>
      <c r="F564" s="10"/>
      <c r="G564" s="10"/>
      <c r="H564" s="10"/>
    </row>
    <row r="565" spans="1:8" ht="14.25" hidden="1" customHeight="1" x14ac:dyDescent="0.25">
      <c r="A565" s="13" t="s">
        <v>1204</v>
      </c>
      <c r="B565" s="2" t="s">
        <v>922</v>
      </c>
      <c r="C565" s="3" t="s">
        <v>408</v>
      </c>
      <c r="D565" s="10">
        <f>MIN(D$20*(D$563-((D$563-(D$549*D$439))*((D$552-D$553)/(D$554-D$553)))),D$563)</f>
        <v>1845.3357106656154</v>
      </c>
      <c r="E565" s="10">
        <f>MIN(E$20*(E$563-((E$563-(E$549*E$439))*((E$552-E$553)/(E$554-E$553)))),E$563)</f>
        <v>1845.3357106656154</v>
      </c>
      <c r="F565" s="10" t="e">
        <f>MIN(F$20*(F$563-((F$563-(F$549*F$439))*((F$552-F$553)/(F$554-F$553)))),F$563)</f>
        <v>#DIV/0!</v>
      </c>
      <c r="G565" s="10" t="e">
        <f>MIN(G$20*(G$563-((G$563-(G$549*G$439))*((G$552-G$553)/(G$554-G$553)))),G$563)</f>
        <v>#DIV/0!</v>
      </c>
      <c r="H565" s="10" t="e">
        <f>MIN(H$20*(H$563-((H$563-(H$549*H$439))*((H$552-H$553)/(H$554-H$553)))),H$563)</f>
        <v>#DIV/0!</v>
      </c>
    </row>
    <row r="566" spans="1:8" ht="14.25" hidden="1" customHeight="1" x14ac:dyDescent="0.25">
      <c r="A566" s="13" t="s">
        <v>1205</v>
      </c>
      <c r="B566" s="2" t="s">
        <v>923</v>
      </c>
      <c r="C566" s="3" t="s">
        <v>408</v>
      </c>
      <c r="D566" s="10">
        <f t="shared" ref="D566:H566" si="322">MIN((D$557*D$439),D$563)</f>
        <v>2059.2686068847001</v>
      </c>
      <c r="E566" s="10">
        <f t="shared" si="322"/>
        <v>2059.2686068847001</v>
      </c>
      <c r="F566" s="10" t="e">
        <f t="shared" si="322"/>
        <v>#DIV/0!</v>
      </c>
      <c r="G566" s="10" t="e">
        <f t="shared" si="322"/>
        <v>#DIV/0!</v>
      </c>
      <c r="H566" s="10" t="e">
        <f t="shared" si="322"/>
        <v>#DIV/0!</v>
      </c>
    </row>
    <row r="567" spans="1:8" ht="14.25" hidden="1" customHeight="1" x14ac:dyDescent="0.25">
      <c r="A567" s="13" t="s">
        <v>839</v>
      </c>
      <c r="B567" s="2" t="s">
        <v>924</v>
      </c>
      <c r="C567" s="3" t="s">
        <v>408</v>
      </c>
      <c r="D567" s="120">
        <f>(IF(D$552&lt;=D$553,D$563,IF(D$552&gt;D$554,D$566,D$565)))</f>
        <v>1845.3357106656154</v>
      </c>
      <c r="E567" s="120">
        <f>(IF(E$552&lt;=E$553,E$563,IF(E$552&gt;E$554,E$566,E$565)))</f>
        <v>1845.3357106656154</v>
      </c>
      <c r="F567" s="120" t="e">
        <f>(IF(F$552&lt;=F$553,F$563,IF(F$552&gt;F$554,F$566,F$565)))</f>
        <v>#DIV/0!</v>
      </c>
      <c r="G567" s="120" t="e">
        <f>(IF(G$552&lt;=G$553,G$563,IF(G$552&gt;G$554,G$566,G$565)))</f>
        <v>#DIV/0!</v>
      </c>
      <c r="H567" s="120" t="e">
        <f>(IF(H$552&lt;=H$553,H$563,IF(H$552&gt;H$554,H$566,H$565)))</f>
        <v>#DIV/0!</v>
      </c>
    </row>
    <row r="568" spans="1:8" ht="12.75" hidden="1" customHeight="1" x14ac:dyDescent="0.2">
      <c r="A568" s="119" t="s">
        <v>1202</v>
      </c>
      <c r="B568" s="4"/>
      <c r="C568" s="4"/>
      <c r="D568" s="4"/>
      <c r="E568" s="4"/>
      <c r="F568" s="4"/>
      <c r="G568" s="4"/>
      <c r="H568" s="4"/>
    </row>
    <row r="569" spans="1:8" ht="14.25" hidden="1" customHeight="1" x14ac:dyDescent="0.25">
      <c r="A569" s="5" t="s">
        <v>1216</v>
      </c>
      <c r="B569" s="2" t="s">
        <v>922</v>
      </c>
      <c r="D569" s="11">
        <f t="shared" ref="D569:H569" si="323">D$563-(D$563-(D$549*D$439))*((D$468-D$472)/(D$473-D$472))</f>
        <v>2090.6725482194706</v>
      </c>
      <c r="E569" s="11">
        <f t="shared" si="323"/>
        <v>2090.6725482194706</v>
      </c>
      <c r="F569" s="11" t="e">
        <f t="shared" si="323"/>
        <v>#DIV/0!</v>
      </c>
      <c r="G569" s="11" t="e">
        <f t="shared" si="323"/>
        <v>#DIV/0!</v>
      </c>
      <c r="H569" s="11" t="e">
        <f t="shared" si="323"/>
        <v>#DIV/0!</v>
      </c>
    </row>
    <row r="570" spans="1:8" ht="14.25" hidden="1" customHeight="1" x14ac:dyDescent="0.25">
      <c r="A570" s="5" t="s">
        <v>1217</v>
      </c>
      <c r="B570" s="2" t="s">
        <v>923</v>
      </c>
      <c r="D570" s="10">
        <f t="shared" ref="D570:H570" si="324">(0.9*29000*D$559*D$439)/D$468^2</f>
        <v>11698.489369364106</v>
      </c>
      <c r="E570" s="10">
        <f t="shared" si="324"/>
        <v>11698.489369364106</v>
      </c>
      <c r="F570" s="10">
        <f t="shared" si="324"/>
        <v>4579.7987460804316</v>
      </c>
      <c r="G570" s="10">
        <f t="shared" si="324"/>
        <v>4579.7987460804316</v>
      </c>
      <c r="H570" s="10">
        <f t="shared" si="324"/>
        <v>4579.7987460804316</v>
      </c>
    </row>
    <row r="571" spans="1:8" ht="14.25" hidden="1" customHeight="1" x14ac:dyDescent="0.25">
      <c r="A571" s="13" t="s">
        <v>838</v>
      </c>
      <c r="B571" s="2" t="s">
        <v>926</v>
      </c>
      <c r="D571" s="120">
        <f t="shared" ref="D571:H571" si="325">IF(D$480="Noncompact",D$569,IF(D$480="Slender",D$570,D$567))</f>
        <v>1845.3357106656154</v>
      </c>
      <c r="E571" s="120">
        <f t="shared" si="325"/>
        <v>1845.3357106656154</v>
      </c>
      <c r="F571" s="120" t="e">
        <f t="shared" si="325"/>
        <v>#DIV/0!</v>
      </c>
      <c r="G571" s="120" t="e">
        <f t="shared" si="325"/>
        <v>#DIV/0!</v>
      </c>
      <c r="H571" s="120" t="e">
        <f t="shared" si="325"/>
        <v>#DIV/0!</v>
      </c>
    </row>
    <row r="572" spans="1:8" ht="12.75" hidden="1" customHeight="1" x14ac:dyDescent="0.2">
      <c r="A572" s="119" t="s">
        <v>1203</v>
      </c>
      <c r="B572" s="4"/>
      <c r="C572" s="4"/>
      <c r="D572" s="4"/>
      <c r="E572" s="4"/>
      <c r="F572" s="4"/>
      <c r="G572" s="4"/>
      <c r="H572" s="4"/>
    </row>
    <row r="573" spans="1:8" ht="14.25" hidden="1" customHeight="1" x14ac:dyDescent="0.25">
      <c r="A573" s="13" t="s">
        <v>973</v>
      </c>
      <c r="B573" s="2" t="s">
        <v>1218</v>
      </c>
      <c r="C573" s="3" t="s">
        <v>408</v>
      </c>
      <c r="D573" s="6">
        <f>D$561*D$560</f>
        <v>2059.2686068847001</v>
      </c>
      <c r="E573" s="6">
        <f>E$561*E$560</f>
        <v>2059.2686068847001</v>
      </c>
      <c r="F573" s="6" t="e">
        <f>F$561*F$560</f>
        <v>#DIV/0!</v>
      </c>
      <c r="G573" s="6" t="e">
        <f>G$561*G$560</f>
        <v>#DIV/0!</v>
      </c>
      <c r="H573" s="6" t="e">
        <f>H$561*H$560</f>
        <v>#DIV/0!</v>
      </c>
    </row>
    <row r="574" spans="1:8" ht="12.75" hidden="1" customHeight="1" x14ac:dyDescent="0.2">
      <c r="A574" s="119" t="s">
        <v>1220</v>
      </c>
      <c r="D574" s="10"/>
      <c r="E574" s="10"/>
      <c r="F574" s="10"/>
      <c r="G574" s="10"/>
      <c r="H574" s="10"/>
    </row>
    <row r="575" spans="1:8" ht="14.25" hidden="1" customHeight="1" x14ac:dyDescent="0.25">
      <c r="A575" s="37" t="s">
        <v>1151</v>
      </c>
      <c r="B575" s="40" t="s">
        <v>1233</v>
      </c>
      <c r="C575" s="41" t="s">
        <v>408</v>
      </c>
      <c r="D575" s="133">
        <f>MIN(D$563,D$567,D$571,D$573)</f>
        <v>1845.3357106656154</v>
      </c>
      <c r="E575" s="133">
        <f>MIN(E$563,E$567,E$571,E$573)</f>
        <v>1845.3357106656154</v>
      </c>
      <c r="F575" s="133" t="e">
        <f>MIN(F$563,F$567,F$571,F$573)</f>
        <v>#DIV/0!</v>
      </c>
      <c r="G575" s="133" t="e">
        <f>MIN(G$563,G$567,G$571,G$573)</f>
        <v>#DIV/0!</v>
      </c>
      <c r="H575" s="133" t="e">
        <f>MIN(H$563,H$567,H$571,H$573)</f>
        <v>#DIV/0!</v>
      </c>
    </row>
    <row r="576" spans="1:8" ht="12.75" hidden="1" customHeight="1" x14ac:dyDescent="0.2">
      <c r="A576" s="118" t="s">
        <v>1154</v>
      </c>
      <c r="D576" s="10"/>
      <c r="E576" s="10"/>
      <c r="F576" s="10"/>
      <c r="G576" s="10"/>
      <c r="H576" s="10"/>
    </row>
    <row r="577" spans="1:8" ht="14.25" hidden="1" customHeight="1" x14ac:dyDescent="0.25">
      <c r="A577" s="5" t="s">
        <v>1222</v>
      </c>
      <c r="B577" s="2" t="s">
        <v>959</v>
      </c>
      <c r="D577" s="10">
        <f>MIN(D$550,10)</f>
        <v>0.44786112106525416</v>
      </c>
      <c r="E577" s="10">
        <f>MIN(E$550,10)</f>
        <v>0.44786112106525416</v>
      </c>
      <c r="F577" s="10">
        <f>MIN(F$550,10)</f>
        <v>0.91336219336219338</v>
      </c>
      <c r="G577" s="10">
        <f>MIN(G$550,10)</f>
        <v>0.91336219336219338</v>
      </c>
      <c r="H577" s="10">
        <f>MIN(H$550,10)</f>
        <v>0.91336219336219338</v>
      </c>
    </row>
    <row r="578" spans="1:8" ht="14.25" hidden="1" customHeight="1" x14ac:dyDescent="0.25">
      <c r="A578" s="5" t="s">
        <v>1221</v>
      </c>
      <c r="B578" s="2" t="s">
        <v>1140</v>
      </c>
      <c r="D578" s="10">
        <f>MIN(1-((D$577/(1200+300*D$577))*((D$466/D$351)-5.7*(SQRT(29000/D$11)))),1)</f>
        <v>1</v>
      </c>
      <c r="E578" s="10">
        <f>MIN(1-((E$577/(1200+300*E$577))*((E$466/E$351)-5.7*(SQRT(29000/E$11)))),1)</f>
        <v>1</v>
      </c>
      <c r="F578" s="10" t="e">
        <f>MIN(1-((F$577/(1200+300*F$577))*((F$466/F$351)-5.7*(SQRT(29000/F$11)))),1)</f>
        <v>#DIV/0!</v>
      </c>
      <c r="G578" s="10" t="e">
        <f>MIN(1-((G$577/(1200+300*G$577))*((G$466/G$351)-5.7*(SQRT(29000/G$11)))),1)</f>
        <v>#DIV/0!</v>
      </c>
      <c r="H578" s="10" t="e">
        <f>MIN(1-((H$577/(1200+300*H$577))*((H$466/H$351)-5.7*(SQRT(29000/H$11)))),1)</f>
        <v>#DIV/0!</v>
      </c>
    </row>
    <row r="579" spans="1:8" ht="14.25" hidden="1" customHeight="1" x14ac:dyDescent="0.25">
      <c r="A579" s="5" t="s">
        <v>428</v>
      </c>
      <c r="B579" s="2" t="s">
        <v>896</v>
      </c>
      <c r="C579" s="3" t="s">
        <v>407</v>
      </c>
      <c r="D579" s="10">
        <f t="shared" ref="D579:H579" si="326">D$15*12</f>
        <v>144</v>
      </c>
      <c r="E579" s="10">
        <f t="shared" si="326"/>
        <v>144</v>
      </c>
      <c r="F579" s="10">
        <f t="shared" si="326"/>
        <v>0</v>
      </c>
      <c r="G579" s="10">
        <f t="shared" si="326"/>
        <v>0</v>
      </c>
      <c r="H579" s="10">
        <f t="shared" si="326"/>
        <v>0</v>
      </c>
    </row>
    <row r="580" spans="1:8" ht="14.25" hidden="1" customHeight="1" x14ac:dyDescent="0.25">
      <c r="A580" s="5" t="s">
        <v>1188</v>
      </c>
      <c r="B580" s="2" t="s">
        <v>919</v>
      </c>
      <c r="C580" s="3" t="s">
        <v>407</v>
      </c>
      <c r="D580" s="10">
        <f>D$553</f>
        <v>59.086218930452276</v>
      </c>
      <c r="E580" s="10">
        <f>E$553</f>
        <v>59.086218930452276</v>
      </c>
      <c r="F580" s="10" t="e">
        <f>F$553</f>
        <v>#DIV/0!</v>
      </c>
      <c r="G580" s="10" t="e">
        <f>G$553</f>
        <v>#DIV/0!</v>
      </c>
      <c r="H580" s="10" t="e">
        <f>H$553</f>
        <v>#DIV/0!</v>
      </c>
    </row>
    <row r="581" spans="1:8" ht="14.25" hidden="1" customHeight="1" x14ac:dyDescent="0.25">
      <c r="A581" s="5" t="s">
        <v>2113</v>
      </c>
      <c r="B581" s="2" t="s">
        <v>920</v>
      </c>
      <c r="C581" s="3" t="s">
        <v>407</v>
      </c>
      <c r="D581" s="10">
        <f>PI()*D$551*SQRT(29000/(0.7*D$11))</f>
        <v>201.69464454263817</v>
      </c>
      <c r="E581" s="10">
        <f>PI()*E$551*SQRT(29000/(0.7*E$11))</f>
        <v>201.69464454263817</v>
      </c>
      <c r="F581" s="10" t="e">
        <f>PI()*F$551*SQRT(29000/(0.7*F$11))</f>
        <v>#DIV/0!</v>
      </c>
      <c r="G581" s="10" t="e">
        <f>PI()*G$551*SQRT(29000/(0.7*G$11))</f>
        <v>#DIV/0!</v>
      </c>
      <c r="H581" s="10" t="e">
        <f>PI()*H$551*SQRT(29000/(0.7*H$11))</f>
        <v>#DIV/0!</v>
      </c>
    </row>
    <row r="582" spans="1:8" ht="14.25" hidden="1" customHeight="1" x14ac:dyDescent="0.25">
      <c r="A582" s="5" t="s">
        <v>837</v>
      </c>
      <c r="B582" s="2" t="s">
        <v>925</v>
      </c>
      <c r="D582" s="10">
        <f>D$559</f>
        <v>0.66802069055723778</v>
      </c>
      <c r="E582" s="10">
        <f>E$559</f>
        <v>0.66802069055723778</v>
      </c>
      <c r="F582" s="10">
        <f>F$559</f>
        <v>0.73135745086122728</v>
      </c>
      <c r="G582" s="10">
        <f>G$559</f>
        <v>0.73135745086122728</v>
      </c>
      <c r="H582" s="10">
        <f>H$559</f>
        <v>0.73135745086122728</v>
      </c>
    </row>
    <row r="583" spans="1:8" ht="12.75" hidden="1" customHeight="1" x14ac:dyDescent="0.2">
      <c r="A583" s="119" t="s">
        <v>1200</v>
      </c>
      <c r="D583" s="10"/>
      <c r="E583" s="10"/>
      <c r="F583" s="10"/>
      <c r="G583" s="10"/>
      <c r="H583" s="10"/>
    </row>
    <row r="584" spans="1:8" ht="14.25" hidden="1" customHeight="1" x14ac:dyDescent="0.25">
      <c r="A584" s="13" t="s">
        <v>1223</v>
      </c>
      <c r="B584" s="2" t="s">
        <v>1141</v>
      </c>
      <c r="C584" s="3" t="s">
        <v>408</v>
      </c>
      <c r="D584" s="6">
        <f>IF(D578&lt;0,0,D$578*D$11*D$439)</f>
        <v>2248.085062138734</v>
      </c>
      <c r="E584" s="6">
        <f>IF(E578&lt;0,0,E$578*E$11*E$439)</f>
        <v>2248.085062138734</v>
      </c>
      <c r="F584" s="6" t="e">
        <f>IF(F578&lt;0,0,F$578*F$11*F$439)</f>
        <v>#DIV/0!</v>
      </c>
      <c r="G584" s="6" t="e">
        <f>IF(G578&lt;0,0,G$578*G$11*G$439)</f>
        <v>#DIV/0!</v>
      </c>
      <c r="H584" s="6" t="e">
        <f>IF(H578&lt;0,0,H$578*H$11*H$439)</f>
        <v>#DIV/0!</v>
      </c>
    </row>
    <row r="585" spans="1:8" ht="12.75" hidden="1" customHeight="1" x14ac:dyDescent="0.2">
      <c r="A585" s="119" t="s">
        <v>1201</v>
      </c>
      <c r="D585" s="10"/>
      <c r="E585" s="10"/>
      <c r="F585" s="10"/>
      <c r="G585" s="10"/>
      <c r="H585" s="10"/>
    </row>
    <row r="586" spans="1:8" ht="14.25" hidden="1" customHeight="1" x14ac:dyDescent="0.25">
      <c r="A586" s="5" t="s">
        <v>1225</v>
      </c>
      <c r="B586" s="2" t="s">
        <v>1148</v>
      </c>
      <c r="C586" s="3" t="s">
        <v>405</v>
      </c>
      <c r="D586" s="10">
        <f>MIN(D$20*(D$11-(0.3*D$11)*((D$579-D$580)/(D$581-D$580))),D$11)</f>
        <v>41.068503066523036</v>
      </c>
      <c r="E586" s="10">
        <f>MIN(E$20*(E$11-(0.3*E$11)*((E$579-E$580)/(E$581-E$580))),E$11)</f>
        <v>41.068503066523036</v>
      </c>
      <c r="F586" s="10" t="e">
        <f>MIN(F$20*(F$11-(0.3*F$11)*((F$579-F$580)/(F$581-F$580))),F$11)</f>
        <v>#DIV/0!</v>
      </c>
      <c r="G586" s="10" t="e">
        <f>MIN(G$20*(G$11-(0.3*G$11)*((G$579-G$580)/(G$581-G$580))),G$11)</f>
        <v>#DIV/0!</v>
      </c>
      <c r="H586" s="10" t="e">
        <f>MIN(H$20*(H$11-(0.3*H$11)*((H$579-H$580)/(H$581-H$580))),H$11)</f>
        <v>#DIV/0!</v>
      </c>
    </row>
    <row r="587" spans="1:8" ht="14.25" hidden="1" customHeight="1" x14ac:dyDescent="0.25">
      <c r="A587" s="5" t="s">
        <v>1226</v>
      </c>
      <c r="B587" s="2" t="s">
        <v>1149</v>
      </c>
      <c r="C587" s="3" t="s">
        <v>405</v>
      </c>
      <c r="D587" s="10">
        <f>MIN((D$20*(PI()^2)*29000)/(D$579/D$551)^2,D$11)</f>
        <v>50</v>
      </c>
      <c r="E587" s="10">
        <f>MIN((E$20*(PI()^2)*29000)/(E$579/E$551)^2,E$11)</f>
        <v>50</v>
      </c>
      <c r="F587" s="10" t="e">
        <f>MIN((F$20*(PI()^2)*29000)/(F$579/F$551)^2,F$11)</f>
        <v>#DIV/0!</v>
      </c>
      <c r="G587" s="10" t="e">
        <f>MIN((G$20*(PI()^2)*29000)/(G$579/G$551)^2,G$11)</f>
        <v>#DIV/0!</v>
      </c>
      <c r="H587" s="10" t="e">
        <f>MIN((H$20*(PI()^2)*29000)/(H$579/H$551)^2,H$11)</f>
        <v>#DIV/0!</v>
      </c>
    </row>
    <row r="588" spans="1:8" ht="14.25" hidden="1" customHeight="1" x14ac:dyDescent="0.25">
      <c r="A588" s="5" t="s">
        <v>1227</v>
      </c>
      <c r="B588" s="2" t="s">
        <v>931</v>
      </c>
      <c r="C588" s="3" t="s">
        <v>405</v>
      </c>
      <c r="D588" s="11">
        <f>IF(D$579&lt;=D$580,D$11,IF(D$579&gt;D$581,D$587,D$586))</f>
        <v>41.068503066523036</v>
      </c>
      <c r="E588" s="11">
        <f>IF(E$579&lt;=E$580,E$11,IF(E$579&gt;E$581,E$587,E$586))</f>
        <v>41.068503066523036</v>
      </c>
      <c r="F588" s="11" t="e">
        <f>IF(F$579&lt;=F$580,F$11,IF(F$579&gt;F$581,F$587,F$586))</f>
        <v>#DIV/0!</v>
      </c>
      <c r="G588" s="11" t="e">
        <f>IF(G$579&lt;=G$580,G$11,IF(G$579&gt;G$581,G$587,G$586))</f>
        <v>#DIV/0!</v>
      </c>
      <c r="H588" s="11" t="e">
        <f>IF(H$579&lt;=H$580,H$11,IF(H$579&gt;H$581,H$587,H$586))</f>
        <v>#DIV/0!</v>
      </c>
    </row>
    <row r="589" spans="1:8" ht="14.25" hidden="1" customHeight="1" x14ac:dyDescent="0.25">
      <c r="A589" s="13" t="s">
        <v>1224</v>
      </c>
      <c r="B589" s="2" t="s">
        <v>1150</v>
      </c>
      <c r="C589" s="3" t="s">
        <v>408</v>
      </c>
      <c r="D589" s="6">
        <f t="shared" ref="D589:E589" si="327">IF(D578&lt;0,0,D$578*D$588*D$439)</f>
        <v>1846.5097653649846</v>
      </c>
      <c r="E589" s="6">
        <f t="shared" si="327"/>
        <v>1846.5097653649846</v>
      </c>
      <c r="F589" s="6" t="e">
        <f t="shared" ref="F589:G589" si="328">IF(F578&lt;0,0,F$578*F$588*F$439)</f>
        <v>#DIV/0!</v>
      </c>
      <c r="G589" s="6" t="e">
        <f t="shared" si="328"/>
        <v>#DIV/0!</v>
      </c>
      <c r="H589" s="6" t="e">
        <f t="shared" ref="H589" si="329">IF(H578&lt;0,0,H$578*H$588*H$439)</f>
        <v>#DIV/0!</v>
      </c>
    </row>
    <row r="590" spans="1:8" ht="12.75" hidden="1" customHeight="1" x14ac:dyDescent="0.2">
      <c r="A590" s="119" t="s">
        <v>1202</v>
      </c>
    </row>
    <row r="591" spans="1:8" ht="14.25" hidden="1" customHeight="1" x14ac:dyDescent="0.25">
      <c r="A591" s="5" t="s">
        <v>1230</v>
      </c>
      <c r="B591" s="2" t="s">
        <v>1148</v>
      </c>
      <c r="C591" s="3" t="s">
        <v>405</v>
      </c>
      <c r="D591" s="10">
        <f>D$11-((0.3*D$11)*((D$468-D$472)/(D$473-D$472)))</f>
        <v>50.970037743396858</v>
      </c>
      <c r="E591" s="10">
        <f>E$11-((0.3*E$11)*((E$468-E$472)/(E$473-E$472)))</f>
        <v>50.970037743396858</v>
      </c>
      <c r="F591" s="10" t="e">
        <f>F$11-((0.3*F$11)*((F$468-F$472)/(F$473-F$472)))</f>
        <v>#DIV/0!</v>
      </c>
      <c r="G591" s="10" t="e">
        <f>G$11-((0.3*G$11)*((G$468-G$472)/(G$473-G$472)))</f>
        <v>#DIV/0!</v>
      </c>
      <c r="H591" s="10" t="e">
        <f>H$11-((0.3*H$11)*((H$468-H$472)/(H$473-H$472)))</f>
        <v>#DIV/0!</v>
      </c>
    </row>
    <row r="592" spans="1:8" ht="14.25" hidden="1" customHeight="1" x14ac:dyDescent="0.25">
      <c r="A592" s="5" t="s">
        <v>1229</v>
      </c>
      <c r="B592" s="2" t="s">
        <v>1149</v>
      </c>
      <c r="C592" s="3" t="s">
        <v>405</v>
      </c>
      <c r="D592" s="10">
        <f t="shared" ref="D592:H592" si="330">(0.9*29000*D$582)/D$468^2</f>
        <v>260.18787203351309</v>
      </c>
      <c r="E592" s="10">
        <f t="shared" si="330"/>
        <v>260.18787203351309</v>
      </c>
      <c r="F592" s="10">
        <f t="shared" si="330"/>
        <v>301.67509754316308</v>
      </c>
      <c r="G592" s="10">
        <f t="shared" si="330"/>
        <v>301.67509754316308</v>
      </c>
      <c r="H592" s="10">
        <f t="shared" si="330"/>
        <v>301.67509754316308</v>
      </c>
    </row>
    <row r="593" spans="1:8" ht="14.25" hidden="1" customHeight="1" x14ac:dyDescent="0.25">
      <c r="A593" s="5" t="s">
        <v>1227</v>
      </c>
      <c r="B593" s="2" t="s">
        <v>931</v>
      </c>
      <c r="C593" s="3" t="s">
        <v>405</v>
      </c>
      <c r="D593" s="11">
        <f>IF(D$480="Noncompact",D$591,IF(D$480="Slender",D$592,D$11))</f>
        <v>50</v>
      </c>
      <c r="E593" s="11">
        <f>IF(E$480="Noncompact",E$591,IF(E$480="Slender",E$592,E$11))</f>
        <v>50</v>
      </c>
      <c r="F593" s="11" t="e">
        <f>IF(F$480="Noncompact",F$591,IF(F$480="Slender",F$592,F$11))</f>
        <v>#DIV/0!</v>
      </c>
      <c r="G593" s="11" t="e">
        <f>IF(G$480="Noncompact",G$591,IF(G$480="Slender",G$592,G$11))</f>
        <v>#DIV/0!</v>
      </c>
      <c r="H593" s="11" t="e">
        <f>IF(H$480="Noncompact",H$591,IF(H$480="Slender",H$592,H$11))</f>
        <v>#DIV/0!</v>
      </c>
    </row>
    <row r="594" spans="1:8" ht="14.25" hidden="1" customHeight="1" x14ac:dyDescent="0.25">
      <c r="A594" s="13" t="s">
        <v>1228</v>
      </c>
      <c r="B594" s="2" t="s">
        <v>1150</v>
      </c>
      <c r="C594" s="3" t="s">
        <v>408</v>
      </c>
      <c r="D594" s="6">
        <f t="shared" ref="D594:E594" si="331">IF(D578&lt;0,0,D$578*D$593*D$439)</f>
        <v>2248.085062138734</v>
      </c>
      <c r="E594" s="6">
        <f t="shared" si="331"/>
        <v>2248.085062138734</v>
      </c>
      <c r="F594" s="6" t="e">
        <f t="shared" ref="F594:G594" si="332">IF(F578&lt;0,0,F$578*F$593*F$439)</f>
        <v>#DIV/0!</v>
      </c>
      <c r="G594" s="6" t="e">
        <f t="shared" si="332"/>
        <v>#DIV/0!</v>
      </c>
      <c r="H594" s="6" t="e">
        <f t="shared" ref="H594" si="333">IF(H578&lt;0,0,H$578*H$593*H$439)</f>
        <v>#DIV/0!</v>
      </c>
    </row>
    <row r="595" spans="1:8" ht="12.75" hidden="1" customHeight="1" x14ac:dyDescent="0.2">
      <c r="A595" s="119" t="s">
        <v>1203</v>
      </c>
    </row>
    <row r="596" spans="1:8" ht="14.25" hidden="1" customHeight="1" x14ac:dyDescent="0.25">
      <c r="A596" s="13" t="s">
        <v>1231</v>
      </c>
      <c r="B596" s="2" t="s">
        <v>1235</v>
      </c>
      <c r="C596" s="3" t="s">
        <v>408</v>
      </c>
      <c r="D596" s="6">
        <f t="shared" ref="D596:H596" si="334">IF(D$440&lt;D$439,D$560,D$584)</f>
        <v>1677.6403603445297</v>
      </c>
      <c r="E596" s="6">
        <f t="shared" si="334"/>
        <v>1677.6403603445297</v>
      </c>
      <c r="F596" s="6" t="e">
        <f t="shared" si="334"/>
        <v>#DIV/0!</v>
      </c>
      <c r="G596" s="6" t="e">
        <f t="shared" si="334"/>
        <v>#DIV/0!</v>
      </c>
      <c r="H596" s="6" t="e">
        <f t="shared" si="334"/>
        <v>#DIV/0!</v>
      </c>
    </row>
    <row r="597" spans="1:8" ht="12.75" hidden="1" customHeight="1" x14ac:dyDescent="0.2">
      <c r="A597" s="119" t="s">
        <v>1232</v>
      </c>
    </row>
    <row r="598" spans="1:8" ht="14.25" hidden="1" customHeight="1" x14ac:dyDescent="0.25">
      <c r="A598" s="37" t="s">
        <v>1152</v>
      </c>
      <c r="B598" s="40" t="s">
        <v>1233</v>
      </c>
      <c r="C598" s="41" t="s">
        <v>408</v>
      </c>
      <c r="D598" s="133">
        <f>MIN(D$584,D$589,D$594,D$596)</f>
        <v>1677.6403603445297</v>
      </c>
      <c r="E598" s="133">
        <f>MIN(E$584,E$589,E$594,E$596)</f>
        <v>1677.6403603445297</v>
      </c>
      <c r="F598" s="133" t="e">
        <f>MIN(F$584,F$589,F$594,F$596)</f>
        <v>#DIV/0!</v>
      </c>
      <c r="G598" s="133" t="e">
        <f>MIN(G$584,G$589,G$594,G$596)</f>
        <v>#DIV/0!</v>
      </c>
      <c r="H598" s="133" t="e">
        <f>MIN(H$584,H$589,H$594,H$596)</f>
        <v>#DIV/0!</v>
      </c>
    </row>
    <row r="599" spans="1:8" ht="12.75" hidden="1" customHeight="1" x14ac:dyDescent="0.2">
      <c r="A599" s="118" t="s">
        <v>1215</v>
      </c>
      <c r="D599" s="10"/>
      <c r="E599" s="10"/>
      <c r="F599" s="10"/>
      <c r="G599" s="10"/>
      <c r="H599" s="10"/>
    </row>
    <row r="600" spans="1:8" ht="14.25" hidden="1" customHeight="1" x14ac:dyDescent="0.25">
      <c r="A600" s="121" t="s">
        <v>1153</v>
      </c>
      <c r="B600" s="39" t="s">
        <v>1883</v>
      </c>
      <c r="C600" s="122" t="s">
        <v>406</v>
      </c>
      <c r="D600" s="123">
        <f t="shared" ref="D600:H600" si="335">IF(D$481="Slender",D$598,D$575)/12</f>
        <v>153.77797588880128</v>
      </c>
      <c r="E600" s="123">
        <f t="shared" si="335"/>
        <v>153.77797588880128</v>
      </c>
      <c r="F600" s="123" t="e">
        <f t="shared" si="335"/>
        <v>#DIV/0!</v>
      </c>
      <c r="G600" s="123" t="e">
        <f t="shared" si="335"/>
        <v>#DIV/0!</v>
      </c>
      <c r="H600" s="123" t="e">
        <f t="shared" si="335"/>
        <v>#DIV/0!</v>
      </c>
    </row>
    <row r="601" spans="1:8" ht="14.25" hidden="1" customHeight="1" x14ac:dyDescent="0.2">
      <c r="A601" s="134" t="s">
        <v>1884</v>
      </c>
      <c r="B601" s="135"/>
      <c r="C601" s="136"/>
      <c r="D601" s="137"/>
      <c r="E601" s="137"/>
      <c r="F601" s="137"/>
      <c r="G601" s="137"/>
      <c r="H601" s="137"/>
    </row>
    <row r="602" spans="1:8" ht="14.25" hidden="1" customHeight="1" x14ac:dyDescent="0.25">
      <c r="A602" s="138" t="s">
        <v>1885</v>
      </c>
      <c r="B602" s="139" t="s">
        <v>1212</v>
      </c>
      <c r="C602" s="140" t="s">
        <v>406</v>
      </c>
      <c r="D602" s="137">
        <f t="shared" ref="D602:E602" si="336">IF(AND(D439=D440,D481="Slender"),D$600,IF(AND(D439=D440,OR(D481="Compact",D481="Noncompact")),D$542,D$600))</f>
        <v>153.77797588880128</v>
      </c>
      <c r="E602" s="137">
        <f t="shared" si="336"/>
        <v>153.77797588880128</v>
      </c>
      <c r="F602" s="137" t="e">
        <f t="shared" ref="F602:G602" si="337">IF(AND(F439=F440,F481="Slender"),F$600,IF(AND(F439=F440,OR(F481="Compact",F481="Noncompact")),F$542,F$600))</f>
        <v>#DIV/0!</v>
      </c>
      <c r="G602" s="137" t="e">
        <f t="shared" si="337"/>
        <v>#DIV/0!</v>
      </c>
      <c r="H602" s="137" t="e">
        <f t="shared" ref="H602" si="338">IF(AND(H439=H440,H481="Slender"),H$600,IF(AND(H439=H440,OR(H481="Compact",H481="Noncompact")),H$542,H$600))</f>
        <v>#DIV/0!</v>
      </c>
    </row>
    <row r="603" spans="1:8" ht="12.75" hidden="1" customHeight="1" x14ac:dyDescent="0.2"/>
    <row r="604" spans="1:8" x14ac:dyDescent="0.2">
      <c r="A604" s="5" t="s">
        <v>1157</v>
      </c>
      <c r="B604" s="2" t="str">
        <f>IF(D$7="ASD","Mn-y/Ω",IF(D$7="LRFD","φMn-y"))</f>
        <v>φMn-y</v>
      </c>
      <c r="C604" s="3" t="s">
        <v>406</v>
      </c>
      <c r="D604" s="24">
        <f>IF(D$7="ASD",D$608/1.67,IF(D$7="LRFD",0.9*D$608))</f>
        <v>48.855448415039056</v>
      </c>
      <c r="E604" s="24">
        <f>IF(E$7="ASD",E$608/1.67,IF(E$7="LRFD",0.9*E$608))</f>
        <v>32.505288366626118</v>
      </c>
      <c r="F604" s="24" t="e">
        <f>IF(F$7="ASD",F$608/1.67,IF(F$7="LRFD",0.9*F$608))</f>
        <v>#DIV/0!</v>
      </c>
      <c r="G604" s="24" t="e">
        <f>IF(G$7="ASD",G$608/1.67,IF(G$7="LRFD",0.9*G$608))</f>
        <v>#DIV/0!</v>
      </c>
      <c r="H604" s="24" t="e">
        <f>IF(H$7="ASD",H$608/1.67,IF(H$7="LRFD",0.9*H$608))</f>
        <v>#DIV/0!</v>
      </c>
    </row>
    <row r="605" spans="1:8" ht="14.25" hidden="1" x14ac:dyDescent="0.25">
      <c r="A605" s="5" t="s">
        <v>1173</v>
      </c>
      <c r="B605" s="2" t="s">
        <v>921</v>
      </c>
      <c r="C605" s="3" t="s">
        <v>408</v>
      </c>
      <c r="D605" s="10">
        <f>MIN(D$11*D$453,1.6*D$11*D$454)</f>
        <v>651.4059788671874</v>
      </c>
      <c r="E605" s="10">
        <f>MIN(E$11*E$453,1.6*E$11*E$454)</f>
        <v>651.4059788671874</v>
      </c>
      <c r="F605" s="10">
        <f>MIN(F$11*F$453,1.6*F$11*F$454)</f>
        <v>0</v>
      </c>
      <c r="G605" s="10">
        <f>MIN(G$11*G$453,1.6*G$11*G$454)</f>
        <v>0</v>
      </c>
      <c r="H605" s="10">
        <f>MIN(H$11*H$453,1.6*H$11*H$454)</f>
        <v>0</v>
      </c>
    </row>
    <row r="606" spans="1:8" ht="14.25" hidden="1" x14ac:dyDescent="0.25">
      <c r="A606" s="5" t="s">
        <v>1175</v>
      </c>
      <c r="B606" s="2" t="s">
        <v>922</v>
      </c>
      <c r="C606" s="3" t="s">
        <v>408</v>
      </c>
      <c r="D606" s="10">
        <f>D$605-(D$605-0.7*D$11*D$454)*(D$468-D$472)/(D$473-D$472)</f>
        <v>674.20583720175864</v>
      </c>
      <c r="E606" s="10">
        <f>E$605-(E$605-0.7*E$11*E$454)*(E$468-E$472)/(E$473-E$472)</f>
        <v>674.20583720175864</v>
      </c>
      <c r="F606" s="10" t="e">
        <f>F$605-(F$605-0.7*F$11*F$454)*(F$468-F$472)/(F$473-F$472)</f>
        <v>#DIV/0!</v>
      </c>
      <c r="G606" s="10" t="e">
        <f>G$605-(G$605-0.7*G$11*G$454)*(G$468-G$472)/(G$473-G$472)</f>
        <v>#DIV/0!</v>
      </c>
      <c r="H606" s="10" t="e">
        <f>H$605-(H$605-0.7*H$11*H$454)*(H$468-H$472)/(H$473-H$472)</f>
        <v>#DIV/0!</v>
      </c>
    </row>
    <row r="607" spans="1:8" ht="14.25" hidden="1" x14ac:dyDescent="0.25">
      <c r="A607" s="5" t="s">
        <v>1174</v>
      </c>
      <c r="B607" s="2" t="s">
        <v>923</v>
      </c>
      <c r="C607" s="3" t="s">
        <v>408</v>
      </c>
      <c r="D607" s="10">
        <f>((0.69*29000)/D$468^2)*D$454</f>
        <v>2549.6527686816607</v>
      </c>
      <c r="E607" s="10">
        <f>((0.69*29000)/E$468^2)*E$454</f>
        <v>2549.6527686816607</v>
      </c>
      <c r="F607" s="10">
        <f>((0.69*29000)/F$468^2)*F$454</f>
        <v>959.71283323940099</v>
      </c>
      <c r="G607" s="10">
        <f>((0.69*29000)/G$468^2)*G$454</f>
        <v>959.71283323940099</v>
      </c>
      <c r="H607" s="10">
        <f>((0.69*29000)/H$468^2)*H$454</f>
        <v>959.71283323940099</v>
      </c>
    </row>
    <row r="608" spans="1:8" ht="14.25" hidden="1" x14ac:dyDescent="0.25">
      <c r="A608" s="5" t="s">
        <v>424</v>
      </c>
      <c r="B608" s="2" t="s">
        <v>927</v>
      </c>
      <c r="C608" s="3" t="s">
        <v>406</v>
      </c>
      <c r="D608" s="6">
        <f t="shared" ref="D608:H608" si="339">IF(D$480="Compact",D$605,IF(D$480="Noncompact",D$606,IF(D$480="Slender",D$607,"")))/12</f>
        <v>54.283831572265619</v>
      </c>
      <c r="E608" s="6">
        <f t="shared" si="339"/>
        <v>54.283831572265619</v>
      </c>
      <c r="F608" s="6" t="e">
        <f t="shared" si="339"/>
        <v>#DIV/0!</v>
      </c>
      <c r="G608" s="6" t="e">
        <f t="shared" si="339"/>
        <v>#DIV/0!</v>
      </c>
      <c r="H608" s="6" t="e">
        <f t="shared" si="339"/>
        <v>#DIV/0!</v>
      </c>
    </row>
    <row r="609" spans="1:8" hidden="1" x14ac:dyDescent="0.2"/>
    <row r="610" spans="1:8" x14ac:dyDescent="0.2">
      <c r="A610" s="5" t="s">
        <v>1778</v>
      </c>
      <c r="B610" s="2" t="str">
        <f>IF(D$7="ASD","Pn-c/Ω",IF(D$7="LRFD","φPn-c"))</f>
        <v>φPn-c</v>
      </c>
      <c r="C610" s="3" t="s">
        <v>419</v>
      </c>
      <c r="D610" s="24">
        <f>IF(D$7="ASD",D$665/1.67,IF(D$7="LRFD",0.9*D$665))</f>
        <v>271.3332029891144</v>
      </c>
      <c r="E610" s="24">
        <f>IF(E$7="ASD",E$665/1.67,IF(E$7="LRFD",0.9*E$665))</f>
        <v>180.52774649974344</v>
      </c>
      <c r="F610" s="24" t="e">
        <f>IF(F$7="ASD",F$665/1.67,IF(F$7="LRFD",0.9*F$665))</f>
        <v>#DIV/0!</v>
      </c>
      <c r="G610" s="24" t="e">
        <f>IF(G$7="ASD",G$665/1.67,IF(G$7="LRFD",0.9*G$665))</f>
        <v>#DIV/0!</v>
      </c>
      <c r="H610" s="24" t="e">
        <f>IF(H$7="ASD",H$665/1.67,IF(H$7="LRFD",0.9*H$665))</f>
        <v>#DIV/0!</v>
      </c>
    </row>
    <row r="611" spans="1:8" hidden="1" x14ac:dyDescent="0.2">
      <c r="A611" s="118" t="s">
        <v>1626</v>
      </c>
      <c r="D611" s="9"/>
      <c r="E611" s="9"/>
      <c r="F611" s="9"/>
      <c r="G611" s="9"/>
      <c r="H611" s="9"/>
    </row>
    <row r="612" spans="1:8" ht="14.25" hidden="1" x14ac:dyDescent="0.25">
      <c r="A612" s="5" t="s">
        <v>427</v>
      </c>
      <c r="B612" s="2" t="s">
        <v>928</v>
      </c>
      <c r="D612" s="10">
        <f>D$19*D$16*12/D$441</f>
        <v>57.643103957261019</v>
      </c>
      <c r="E612" s="10">
        <f>E$19*E$16*12/E$441</f>
        <v>57.643103957261019</v>
      </c>
      <c r="F612" s="10">
        <f>F$19*F$16*12/F$441</f>
        <v>0</v>
      </c>
      <c r="G612" s="10">
        <f>G$19*G$16*12/G$441</f>
        <v>0</v>
      </c>
      <c r="H612" s="10">
        <f>H$19*H$16*12/H$441</f>
        <v>0</v>
      </c>
    </row>
    <row r="613" spans="1:8" ht="14.25" hidden="1" x14ac:dyDescent="0.25">
      <c r="A613" s="5" t="s">
        <v>426</v>
      </c>
      <c r="B613" s="2" t="s">
        <v>929</v>
      </c>
      <c r="D613" s="10">
        <f>D$19*D$17*12/D$455</f>
        <v>73.79741419388418</v>
      </c>
      <c r="E613" s="10">
        <f>E$19*E$17*12/E$455</f>
        <v>73.79741419388418</v>
      </c>
      <c r="F613" s="10">
        <f>F$19*F$17*12/F$455</f>
        <v>0</v>
      </c>
      <c r="G613" s="10">
        <f>G$19*G$17*12/G$455</f>
        <v>0</v>
      </c>
      <c r="H613" s="10">
        <f>H$19*H$17*12/H$455</f>
        <v>0</v>
      </c>
    </row>
    <row r="614" spans="1:8" ht="14.25" hidden="1" x14ac:dyDescent="0.25">
      <c r="A614" s="5" t="s">
        <v>1170</v>
      </c>
      <c r="B614" s="2" t="s">
        <v>930</v>
      </c>
      <c r="C614" s="3" t="s">
        <v>405</v>
      </c>
      <c r="D614" s="10">
        <f>(PI()^2*29000)/MAX(D$612,D$613)^2</f>
        <v>52.555171038078385</v>
      </c>
      <c r="E614" s="10">
        <f>(PI()^2*29000)/MAX(E$612,E$613)^2</f>
        <v>52.555171038078385</v>
      </c>
      <c r="F614" s="10" t="e">
        <f>(PI()^2*29000)/MAX(F$612,F$613)^2</f>
        <v>#DIV/0!</v>
      </c>
      <c r="G614" s="10" t="e">
        <f>(PI()^2*29000)/MAX(G$612,G$613)^2</f>
        <v>#DIV/0!</v>
      </c>
      <c r="H614" s="10" t="e">
        <f>(PI()^2*29000)/MAX(H$612,H$613)^2</f>
        <v>#DIV/0!</v>
      </c>
    </row>
    <row r="615" spans="1:8" ht="14.25" hidden="1" x14ac:dyDescent="0.25">
      <c r="A615" s="5" t="s">
        <v>1171</v>
      </c>
      <c r="B615" s="2" t="s">
        <v>931</v>
      </c>
      <c r="C615" s="3" t="s">
        <v>405</v>
      </c>
      <c r="D615" s="10">
        <f>IF(D$11/D$614&lt;=2.25,(0.658^(D$11/D$614))*D$11,0.877*D$614)</f>
        <v>33.57635459227496</v>
      </c>
      <c r="E615" s="10">
        <f>IF(E$11/E$614&lt;=2.25,(0.658^(E$11/E$614))*E$11,0.877*E$614)</f>
        <v>33.57635459227496</v>
      </c>
      <c r="F615" s="10" t="e">
        <f>IF(F$11/F$614&lt;=2.25,(0.658^(F$11/F$614))*F$11,0.877*F$614)</f>
        <v>#DIV/0!</v>
      </c>
      <c r="G615" s="10" t="e">
        <f>IF(G$11/G$614&lt;=2.25,(0.658^(G$11/G$614))*G$11,0.877*G$614)</f>
        <v>#DIV/0!</v>
      </c>
      <c r="H615" s="10" t="e">
        <f>IF(H$11/H$614&lt;=2.25,(0.658^(H$11/H$614))*H$11,0.877*H$614)</f>
        <v>#DIV/0!</v>
      </c>
    </row>
    <row r="616" spans="1:8" ht="14.25" hidden="1" x14ac:dyDescent="0.25">
      <c r="A616" s="5" t="s">
        <v>1172</v>
      </c>
      <c r="B616" s="2" t="s">
        <v>932</v>
      </c>
      <c r="C616" s="3" t="s">
        <v>419</v>
      </c>
      <c r="D616" s="6">
        <f t="shared" ref="D616:H616" si="340">D$615*D$360</f>
        <v>301.55788650452894</v>
      </c>
      <c r="E616" s="6">
        <f t="shared" si="340"/>
        <v>301.55788650452894</v>
      </c>
      <c r="F616" s="6" t="e">
        <f t="shared" si="340"/>
        <v>#DIV/0!</v>
      </c>
      <c r="G616" s="6" t="e">
        <f t="shared" si="340"/>
        <v>#DIV/0!</v>
      </c>
      <c r="H616" s="6" t="e">
        <f t="shared" si="340"/>
        <v>#DIV/0!</v>
      </c>
    </row>
    <row r="617" spans="1:8" hidden="1" x14ac:dyDescent="0.2">
      <c r="A617" s="118" t="s">
        <v>1627</v>
      </c>
    </row>
    <row r="618" spans="1:8" ht="25.5" hidden="1" x14ac:dyDescent="0.2">
      <c r="A618" s="99" t="s">
        <v>1930</v>
      </c>
      <c r="B618" s="3" t="s">
        <v>1828</v>
      </c>
      <c r="C618" s="3" t="s">
        <v>407</v>
      </c>
      <c r="D618" s="141">
        <f>-(D373-0.5*D352)+(D461*D465)</f>
        <v>-0.37950501566689976</v>
      </c>
      <c r="E618" s="141">
        <f>-(E373-0.5*E352)+(E461*E465)</f>
        <v>-0.37950501566689976</v>
      </c>
      <c r="F618" s="141">
        <f>-(F373-0.5*F352)+(F461*F465)</f>
        <v>0</v>
      </c>
      <c r="G618" s="141">
        <f>-(G373-0.5*G352)+(G461*G465)</f>
        <v>0</v>
      </c>
      <c r="H618" s="141">
        <f>-(H373-0.5*H352)+(H461*H465)</f>
        <v>0</v>
      </c>
    </row>
    <row r="619" spans="1:8" ht="14.25" hidden="1" x14ac:dyDescent="0.25">
      <c r="A619" s="5" t="s">
        <v>1833</v>
      </c>
      <c r="B619" s="2" t="s">
        <v>1598</v>
      </c>
      <c r="C619" s="3" t="s">
        <v>407</v>
      </c>
      <c r="D619" s="10">
        <f t="shared" ref="D619:E619" si="341">IF(D$178="C",D$198,IF(D$178="MC",D$198,SQRT(D618^2+((D392+D445)/D360))))</f>
        <v>5.3771901381632574</v>
      </c>
      <c r="E619" s="10">
        <f t="shared" si="341"/>
        <v>5.3771901381632574</v>
      </c>
      <c r="F619" s="10">
        <f t="shared" ref="F619:G619" si="342">IF(F$178="C",F$198,IF(F$178="MC",F$198,SQRT(F618^2+((F392+F445)/F360))))</f>
        <v>3.6415916508158226</v>
      </c>
      <c r="G619" s="10">
        <f t="shared" si="342"/>
        <v>3.6415916508158226</v>
      </c>
      <c r="H619" s="10">
        <f t="shared" ref="H619" si="343">IF(H$178="C",H$198,IF(H$178="MC",H$198,SQRT(H618^2+((H392+H445)/H360))))</f>
        <v>3.6415916508158226</v>
      </c>
    </row>
    <row r="620" spans="1:8" hidden="1" x14ac:dyDescent="0.2">
      <c r="A620" s="5" t="s">
        <v>1832</v>
      </c>
      <c r="B620" s="2" t="s">
        <v>1311</v>
      </c>
      <c r="D620" s="10">
        <f>IF(D$178="C",D$199,IF(D$178="MC",D$199,1-((D618^2)/(D619^2))))</f>
        <v>0.9950189115551975</v>
      </c>
      <c r="E620" s="10">
        <f>IF(E$178="C",E$199,IF(E$178="MC",E$199,1-((E618^2)/(E619^2))))</f>
        <v>0.9950189115551975</v>
      </c>
      <c r="F620" s="10">
        <f>IF(F$178="C",F$199,IF(F$178="MC",F$199,1-((F618^2)/(F619^2))))</f>
        <v>1</v>
      </c>
      <c r="G620" s="10">
        <f>IF(G$178="C",G$199,IF(G$178="MC",G$199,1-((G618^2)/(G619^2))))</f>
        <v>1</v>
      </c>
      <c r="H620" s="10">
        <f>IF(H$178="C",H$199,IF(H$178="MC",H$199,1-((H618^2)/(H619^2))))</f>
        <v>1</v>
      </c>
    </row>
    <row r="621" spans="1:8" ht="14.25" hidden="1" x14ac:dyDescent="0.25">
      <c r="A621" s="5" t="s">
        <v>1639</v>
      </c>
      <c r="D621" s="10">
        <f>(((29000*D$462*PI()^2)/(12*D$19*D$18)^2)+(11200*D$460))</f>
        <v>22353.068393554957</v>
      </c>
      <c r="E621" s="10">
        <f>(((29000*E$462*PI()^2)/(12*E$19*E$18)^2)+(11200*E$460))</f>
        <v>22353.068393554957</v>
      </c>
      <c r="F621" s="10" t="e">
        <f>(((29000*F$462*PI()^2)/(12*F$19*F$18)^2)+(11200*F$460))</f>
        <v>#DIV/0!</v>
      </c>
      <c r="G621" s="10" t="e">
        <f>(((29000*G$462*PI()^2)/(12*G$19*G$18)^2)+(11200*G$460))</f>
        <v>#DIV/0!</v>
      </c>
      <c r="H621" s="10" t="e">
        <f>(((29000*H$462*PI()^2)/(12*H$19*H$18)^2)+(11200*H$460))</f>
        <v>#DIV/0!</v>
      </c>
    </row>
    <row r="622" spans="1:8" ht="14.25" hidden="1" x14ac:dyDescent="0.25">
      <c r="A622" s="5" t="s">
        <v>1640</v>
      </c>
      <c r="B622" s="2" t="s">
        <v>1621</v>
      </c>
      <c r="C622" s="3" t="s">
        <v>405</v>
      </c>
      <c r="D622" s="10">
        <f>(29000*PI()^2)/(D$612^2)</f>
        <v>86.139634782466402</v>
      </c>
      <c r="E622" s="10">
        <f>(29000*PI()^2)/(E$612^2)</f>
        <v>86.139634782466402</v>
      </c>
      <c r="F622" s="10" t="e">
        <f>(29000*PI()^2)/(F$612^2)</f>
        <v>#DIV/0!</v>
      </c>
      <c r="G622" s="10" t="e">
        <f>(29000*PI()^2)/(G$612^2)</f>
        <v>#DIV/0!</v>
      </c>
      <c r="H622" s="10" t="e">
        <f>(29000*PI()^2)/(H$612^2)</f>
        <v>#DIV/0!</v>
      </c>
    </row>
    <row r="623" spans="1:8" ht="14.25" hidden="1" x14ac:dyDescent="0.25">
      <c r="A623" s="5" t="s">
        <v>1641</v>
      </c>
      <c r="B623" s="2" t="s">
        <v>1623</v>
      </c>
      <c r="C623" s="3" t="s">
        <v>405</v>
      </c>
      <c r="D623" s="10">
        <f>(29000*PI()^2)/(D$613^2)</f>
        <v>52.555171038078385</v>
      </c>
      <c r="E623" s="10">
        <f>(29000*PI()^2)/(E$613^2)</f>
        <v>52.555171038078385</v>
      </c>
      <c r="F623" s="10" t="e">
        <f>(29000*PI()^2)/(F$613^2)</f>
        <v>#DIV/0!</v>
      </c>
      <c r="G623" s="10" t="e">
        <f>(29000*PI()^2)/(G$613^2)</f>
        <v>#DIV/0!</v>
      </c>
      <c r="H623" s="10" t="e">
        <f>(29000*PI()^2)/(H$613^2)</f>
        <v>#DIV/0!</v>
      </c>
    </row>
    <row r="624" spans="1:8" ht="14.25" hidden="1" x14ac:dyDescent="0.25">
      <c r="A624" s="5" t="s">
        <v>1642</v>
      </c>
      <c r="B624" s="2" t="s">
        <v>1622</v>
      </c>
      <c r="C624" s="3" t="s">
        <v>405</v>
      </c>
      <c r="D624" s="10">
        <f t="shared" ref="D624:H624" si="344">D$621*(1/(D$360*D$619))</f>
        <v>462.85462246114298</v>
      </c>
      <c r="E624" s="10">
        <f t="shared" si="344"/>
        <v>462.85462246114298</v>
      </c>
      <c r="F624" s="10" t="e">
        <f t="shared" si="344"/>
        <v>#DIV/0!</v>
      </c>
      <c r="G624" s="10" t="e">
        <f t="shared" si="344"/>
        <v>#DIV/0!</v>
      </c>
      <c r="H624" s="10" t="e">
        <f t="shared" si="344"/>
        <v>#DIV/0!</v>
      </c>
    </row>
    <row r="625" spans="1:8" ht="14.25" hidden="1" x14ac:dyDescent="0.25">
      <c r="A625" s="5" t="s">
        <v>1635</v>
      </c>
      <c r="B625" s="2" t="s">
        <v>1624</v>
      </c>
      <c r="C625" s="3" t="s">
        <v>405</v>
      </c>
      <c r="D625" s="10">
        <f t="shared" ref="D625:H625" si="345">D$621*(1/(D$392+D$445))</f>
        <v>86.508319737204332</v>
      </c>
      <c r="E625" s="10">
        <f t="shared" si="345"/>
        <v>86.508319737204332</v>
      </c>
      <c r="F625" s="10" t="e">
        <f t="shared" si="345"/>
        <v>#DIV/0!</v>
      </c>
      <c r="G625" s="10" t="e">
        <f t="shared" si="345"/>
        <v>#DIV/0!</v>
      </c>
      <c r="H625" s="10" t="e">
        <f t="shared" si="345"/>
        <v>#DIV/0!</v>
      </c>
    </row>
    <row r="626" spans="1:8" ht="14.25" hidden="1" x14ac:dyDescent="0.25">
      <c r="A626" s="5" t="s">
        <v>1657</v>
      </c>
      <c r="B626" s="2" t="s">
        <v>1655</v>
      </c>
      <c r="C626" s="3" t="s">
        <v>405</v>
      </c>
      <c r="D626" s="10">
        <f>((D$623+D$624)/(2*D$620))*(1-SQRT(1-((4*D$623*D$624*D$620)/(D$623+D$624)^2)))</f>
        <v>52.521684891541533</v>
      </c>
      <c r="E626" s="10">
        <f>((E$623+E$624)/(2*E$620))*(1-SQRT(1-((4*E$623*E$624*E$620)/(E$623+E$624)^2)))</f>
        <v>52.521684891541533</v>
      </c>
      <c r="F626" s="10" t="e">
        <f>((F$623+F$624)/(2*F$620))*(1-SQRT(1-((4*F$623*F$624*F$620)/(F$623+F$624)^2)))</f>
        <v>#DIV/0!</v>
      </c>
      <c r="G626" s="10" t="e">
        <f>((G$623+G$624)/(2*G$620))*(1-SQRT(1-((4*G$623*G$624*G$620)/(G$623+G$624)^2)))</f>
        <v>#DIV/0!</v>
      </c>
      <c r="H626" s="10" t="e">
        <f>((H$623+H$624)/(2*H$620))*(1-SQRT(1-((4*H$623*H$624*H$620)/(H$623+H$624)^2)))</f>
        <v>#DIV/0!</v>
      </c>
    </row>
    <row r="627" spans="1:8" ht="14.25" hidden="1" x14ac:dyDescent="0.25">
      <c r="A627" s="5" t="s">
        <v>1658</v>
      </c>
      <c r="B627" s="2" t="s">
        <v>1654</v>
      </c>
      <c r="C627" s="3" t="s">
        <v>405</v>
      </c>
      <c r="D627" s="10">
        <f>((D$622+D$624)/(2*D$620))*(1-SQRT(1-((4*D$622*D$624*D$620)/(D$622+D$624)^2)))</f>
        <v>86.041772071846779</v>
      </c>
      <c r="E627" s="10">
        <f>((E$622+E$624)/(2*E$620))*(1-SQRT(1-((4*E$622*E$624*E$620)/(E$622+E$624)^2)))</f>
        <v>86.041772071846779</v>
      </c>
      <c r="F627" s="10" t="e">
        <f>((F$622+F$624)/(2*F$620))*(1-SQRT(1-((4*F$622*F$624*F$620)/(F$622+F$624)^2)))</f>
        <v>#DIV/0!</v>
      </c>
      <c r="G627" s="10" t="e">
        <f>((G$622+G$624)/(2*G$620))*(1-SQRT(1-((4*G$622*G$624*G$620)/(G$622+G$624)^2)))</f>
        <v>#DIV/0!</v>
      </c>
      <c r="H627" s="10" t="e">
        <f>((H$622+H$624)/(2*H$620))*(1-SQRT(1-((4*H$622*H$624*H$620)/(H$622+H$624)^2)))</f>
        <v>#DIV/0!</v>
      </c>
    </row>
    <row r="628" spans="1:8" ht="14.25" hidden="1" x14ac:dyDescent="0.25">
      <c r="A628" s="5" t="s">
        <v>1656</v>
      </c>
      <c r="B628" s="2" t="s">
        <v>1625</v>
      </c>
      <c r="C628" s="3" t="s">
        <v>405</v>
      </c>
      <c r="D628" s="10">
        <f t="shared" ref="D628:E628" si="346">IF(D$178="C",D627,IF(D$178="MC",D627,D626))</f>
        <v>52.521684891541533</v>
      </c>
      <c r="E628" s="10">
        <f t="shared" si="346"/>
        <v>52.521684891541533</v>
      </c>
      <c r="F628" s="10" t="e">
        <f t="shared" ref="F628:G628" si="347">IF(F$178="C",F627,IF(F$178="MC",F627,F626))</f>
        <v>#DIV/0!</v>
      </c>
      <c r="G628" s="10" t="e">
        <f t="shared" si="347"/>
        <v>#DIV/0!</v>
      </c>
      <c r="H628" s="10" t="e">
        <f t="shared" ref="H628" si="348">IF(H$178="C",H627,IF(H$178="MC",H627,H626))</f>
        <v>#DIV/0!</v>
      </c>
    </row>
    <row r="629" spans="1:8" ht="14.25" hidden="1" x14ac:dyDescent="0.25">
      <c r="A629" s="5" t="s">
        <v>1638</v>
      </c>
      <c r="B629" s="2" t="s">
        <v>1148</v>
      </c>
      <c r="C629" s="3" t="s">
        <v>405</v>
      </c>
      <c r="D629" s="10">
        <f>IF(D$11/D$625&lt;=2.25,(0.658^(D$11/D$625))*D$11,0.877*D$625)</f>
        <v>39.256210302470542</v>
      </c>
      <c r="E629" s="10">
        <f>IF(E$11/E$625&lt;=2.25,(0.658^(E$11/E$625))*E$11,0.877*E$625)</f>
        <v>39.256210302470542</v>
      </c>
      <c r="F629" s="10" t="e">
        <f>IF(F$11/F$625&lt;=2.25,(0.658^(F$11/F$625))*F$11,0.877*F$625)</f>
        <v>#DIV/0!</v>
      </c>
      <c r="G629" s="10" t="e">
        <f>IF(G$11/G$625&lt;=2.25,(0.658^(G$11/G$625))*G$11,0.877*G$625)</f>
        <v>#DIV/0!</v>
      </c>
      <c r="H629" s="10" t="e">
        <f>IF(H$11/H$625&lt;=2.25,(0.658^(H$11/H$625))*H$11,0.877*H$625)</f>
        <v>#DIV/0!</v>
      </c>
    </row>
    <row r="630" spans="1:8" ht="14.25" hidden="1" x14ac:dyDescent="0.25">
      <c r="A630" s="5" t="s">
        <v>1653</v>
      </c>
      <c r="B630" s="2" t="s">
        <v>1149</v>
      </c>
      <c r="C630" s="3" t="s">
        <v>405</v>
      </c>
      <c r="D630" s="10">
        <f>IF(D$11/D$628&lt;=2.25,(0.658^(D$11/D$628))*D$11,0.877*D$628)</f>
        <v>33.56783130364223</v>
      </c>
      <c r="E630" s="10">
        <f>IF(E$11/E$628&lt;=2.25,(0.658^(E$11/E$628))*E$11,0.877*E$628)</f>
        <v>33.56783130364223</v>
      </c>
      <c r="F630" s="10" t="e">
        <f>IF(F$11/F$628&lt;=2.25,(0.658^(F$11/F$628))*F$11,0.877*F$628)</f>
        <v>#DIV/0!</v>
      </c>
      <c r="G630" s="10" t="e">
        <f>IF(G$11/G$628&lt;=2.25,(0.658^(G$11/G$628))*G$11,0.877*G$628)</f>
        <v>#DIV/0!</v>
      </c>
      <c r="H630" s="10" t="e">
        <f>IF(H$11/H$628&lt;=2.25,(0.658^(H$11/H$628))*H$11,0.877*H$628)</f>
        <v>#DIV/0!</v>
      </c>
    </row>
    <row r="631" spans="1:8" ht="14.25" hidden="1" x14ac:dyDescent="0.25">
      <c r="A631" s="5" t="s">
        <v>1637</v>
      </c>
      <c r="B631" s="2" t="s">
        <v>1629</v>
      </c>
      <c r="C631" s="3" t="s">
        <v>419</v>
      </c>
      <c r="D631" s="10">
        <f t="shared" ref="D631:E631" si="349">D629*D$360</f>
        <v>352.57013320064084</v>
      </c>
      <c r="E631" s="10">
        <f t="shared" si="349"/>
        <v>352.57013320064084</v>
      </c>
      <c r="F631" s="10" t="e">
        <f t="shared" ref="F631:G631" si="350">F629*F$360</f>
        <v>#DIV/0!</v>
      </c>
      <c r="G631" s="10" t="e">
        <f t="shared" si="350"/>
        <v>#DIV/0!</v>
      </c>
      <c r="H631" s="10" t="e">
        <f t="shared" ref="H631" si="351">H629*H$360</f>
        <v>#DIV/0!</v>
      </c>
    </row>
    <row r="632" spans="1:8" ht="14.25" hidden="1" x14ac:dyDescent="0.25">
      <c r="A632" s="5" t="s">
        <v>1636</v>
      </c>
      <c r="B632" s="2" t="s">
        <v>1630</v>
      </c>
      <c r="C632" s="3" t="s">
        <v>419</v>
      </c>
      <c r="D632" s="10">
        <f t="shared" ref="D632:E632" si="352">D630*D$360</f>
        <v>301.48133665457152</v>
      </c>
      <c r="E632" s="10">
        <f t="shared" si="352"/>
        <v>301.48133665457152</v>
      </c>
      <c r="F632" s="10" t="e">
        <f t="shared" ref="F632:G632" si="353">F630*F$360</f>
        <v>#DIV/0!</v>
      </c>
      <c r="G632" s="10" t="e">
        <f t="shared" si="353"/>
        <v>#DIV/0!</v>
      </c>
      <c r="H632" s="10" t="e">
        <f t="shared" ref="H632" si="354">H630*H$360</f>
        <v>#DIV/0!</v>
      </c>
    </row>
    <row r="633" spans="1:8" ht="14.25" hidden="1" x14ac:dyDescent="0.25">
      <c r="A633" s="5" t="s">
        <v>1634</v>
      </c>
      <c r="B633" s="2" t="s">
        <v>932</v>
      </c>
      <c r="C633" s="3" t="s">
        <v>419</v>
      </c>
      <c r="D633" s="6">
        <f>MIN(D631,D632)</f>
        <v>301.48133665457152</v>
      </c>
      <c r="E633" s="6">
        <f>MIN(E631,E632)</f>
        <v>301.48133665457152</v>
      </c>
      <c r="F633" s="6" t="e">
        <f>MIN(F631,F632)</f>
        <v>#DIV/0!</v>
      </c>
      <c r="G633" s="6" t="e">
        <f>MIN(G631,G632)</f>
        <v>#DIV/0!</v>
      </c>
      <c r="H633" s="6" t="e">
        <f>MIN(H631,H632)</f>
        <v>#DIV/0!</v>
      </c>
    </row>
    <row r="634" spans="1:8" hidden="1" x14ac:dyDescent="0.2">
      <c r="A634" s="118" t="s">
        <v>1628</v>
      </c>
      <c r="D634" s="10"/>
      <c r="E634" s="10"/>
      <c r="F634" s="10"/>
      <c r="G634" s="10"/>
      <c r="H634" s="10"/>
    </row>
    <row r="635" spans="1:8" hidden="1" x14ac:dyDescent="0.2">
      <c r="A635" s="119" t="s">
        <v>1672</v>
      </c>
    </row>
    <row r="636" spans="1:8" ht="14.25" hidden="1" x14ac:dyDescent="0.25">
      <c r="A636" s="5" t="s">
        <v>1672</v>
      </c>
      <c r="B636" s="2" t="s">
        <v>931</v>
      </c>
      <c r="C636" s="3" t="s">
        <v>405</v>
      </c>
      <c r="D636" s="10">
        <f>MIN(D615,D629,D630)</f>
        <v>33.56783130364223</v>
      </c>
      <c r="E636" s="10">
        <f>MIN(E615,E629,E630)</f>
        <v>33.56783130364223</v>
      </c>
      <c r="F636" s="10" t="e">
        <f>MIN(F615,F629,F630)</f>
        <v>#DIV/0!</v>
      </c>
      <c r="G636" s="10" t="e">
        <f>MIN(G615,G629,G630)</f>
        <v>#DIV/0!</v>
      </c>
      <c r="H636" s="10" t="e">
        <f>MIN(H615,H629,H630)</f>
        <v>#DIV/0!</v>
      </c>
    </row>
    <row r="637" spans="1:8" hidden="1" x14ac:dyDescent="0.2">
      <c r="A637" s="119" t="s">
        <v>1659</v>
      </c>
      <c r="D637" s="10"/>
      <c r="E637" s="10"/>
      <c r="F637" s="10"/>
      <c r="G637" s="10"/>
      <c r="H637" s="10"/>
    </row>
    <row r="638" spans="1:8" ht="14.25" hidden="1" x14ac:dyDescent="0.25">
      <c r="A638" s="5" t="s">
        <v>1662</v>
      </c>
      <c r="B638" s="2" t="s">
        <v>1631</v>
      </c>
      <c r="D638" s="10">
        <v>0.18</v>
      </c>
      <c r="E638" s="10">
        <v>0.18</v>
      </c>
      <c r="F638" s="10">
        <v>0.18</v>
      </c>
      <c r="G638" s="10">
        <v>0.18</v>
      </c>
      <c r="H638" s="10">
        <v>0.18</v>
      </c>
    </row>
    <row r="639" spans="1:8" ht="14.25" hidden="1" x14ac:dyDescent="0.25">
      <c r="A639" s="5" t="s">
        <v>1662</v>
      </c>
      <c r="B639" s="2" t="s">
        <v>1632</v>
      </c>
      <c r="D639" s="10">
        <v>1.31</v>
      </c>
      <c r="E639" s="10">
        <v>1.31</v>
      </c>
      <c r="F639" s="10">
        <v>1.31</v>
      </c>
      <c r="G639" s="10">
        <v>1.31</v>
      </c>
      <c r="H639" s="10">
        <v>1.31</v>
      </c>
    </row>
    <row r="640" spans="1:8" hidden="1" x14ac:dyDescent="0.2">
      <c r="A640" s="5" t="s">
        <v>1848</v>
      </c>
      <c r="B640" s="2" t="s">
        <v>1660</v>
      </c>
      <c r="C640" s="4"/>
      <c r="D640" s="10">
        <f>D464/D351</f>
        <v>43.51751412429379</v>
      </c>
      <c r="E640" s="10">
        <f>E464/E351</f>
        <v>43.51751412429379</v>
      </c>
      <c r="F640" s="10">
        <f>F464/F351</f>
        <v>29.913043478260871</v>
      </c>
      <c r="G640" s="10">
        <f>G464/G351</f>
        <v>29.913043478260871</v>
      </c>
      <c r="H640" s="10">
        <f>H464/H351</f>
        <v>29.913043478260871</v>
      </c>
    </row>
    <row r="641" spans="1:8" ht="14.25" hidden="1" x14ac:dyDescent="0.25">
      <c r="A641" s="5" t="s">
        <v>1795</v>
      </c>
      <c r="B641" s="2" t="s">
        <v>1057</v>
      </c>
      <c r="D641" s="10">
        <f t="shared" ref="D641:E641" si="355">D471</f>
        <v>35.883951844801039</v>
      </c>
      <c r="E641" s="10">
        <f t="shared" si="355"/>
        <v>35.883951844801039</v>
      </c>
      <c r="F641" s="10" t="e">
        <f t="shared" ref="F641:G641" si="356">F471</f>
        <v>#DIV/0!</v>
      </c>
      <c r="G641" s="10" t="e">
        <f t="shared" si="356"/>
        <v>#DIV/0!</v>
      </c>
      <c r="H641" s="10" t="e">
        <f t="shared" ref="H641" si="357">H471</f>
        <v>#DIV/0!</v>
      </c>
    </row>
    <row r="642" spans="1:8" ht="14.25" hidden="1" x14ac:dyDescent="0.25">
      <c r="A642" s="5" t="s">
        <v>1661</v>
      </c>
      <c r="B642" s="2" t="s">
        <v>1633</v>
      </c>
      <c r="C642" s="3" t="s">
        <v>405</v>
      </c>
      <c r="D642" s="10">
        <f t="shared" ref="D642:E642" si="358">D$11*(D639*(D641/D640))^2</f>
        <v>58.34249103401531</v>
      </c>
      <c r="E642" s="10">
        <f t="shared" si="358"/>
        <v>58.34249103401531</v>
      </c>
      <c r="F642" s="10" t="e">
        <f t="shared" ref="F642:G642" si="359">F$11*(F639*(F641/F640))^2</f>
        <v>#DIV/0!</v>
      </c>
      <c r="G642" s="10" t="e">
        <f t="shared" si="359"/>
        <v>#DIV/0!</v>
      </c>
      <c r="H642" s="10" t="e">
        <f t="shared" ref="H642" si="360">H$11*(H639*(H641/H640))^2</f>
        <v>#DIV/0!</v>
      </c>
    </row>
    <row r="643" spans="1:8" hidden="1" x14ac:dyDescent="0.2">
      <c r="A643" s="5" t="s">
        <v>1665</v>
      </c>
      <c r="D643" s="10">
        <f t="shared" ref="D643:E643" si="361">D641*(SQRT(D$11/D636))</f>
        <v>43.794908708610016</v>
      </c>
      <c r="E643" s="10">
        <f t="shared" si="361"/>
        <v>43.794908708610016</v>
      </c>
      <c r="F643" s="10" t="e">
        <f t="shared" ref="F643:G643" si="362">F641*(SQRT(F$11/F636))</f>
        <v>#DIV/0!</v>
      </c>
      <c r="G643" s="10" t="e">
        <f t="shared" si="362"/>
        <v>#DIV/0!</v>
      </c>
      <c r="H643" s="10" t="e">
        <f t="shared" ref="H643" si="363">H641*(SQRT(H$11/H636))</f>
        <v>#DIV/0!</v>
      </c>
    </row>
    <row r="644" spans="1:8" ht="14.25" hidden="1" x14ac:dyDescent="0.25">
      <c r="A644" s="5" t="s">
        <v>1675</v>
      </c>
      <c r="B644" s="2" t="s">
        <v>943</v>
      </c>
      <c r="C644" s="3" t="s">
        <v>407</v>
      </c>
      <c r="D644" s="10">
        <f t="shared" ref="D644:E644" si="364">D355</f>
        <v>10.870000000000001</v>
      </c>
      <c r="E644" s="10">
        <f t="shared" si="364"/>
        <v>10.870000000000001</v>
      </c>
      <c r="F644" s="10">
        <f t="shared" ref="F644:G644" si="365">F355</f>
        <v>7.48</v>
      </c>
      <c r="G644" s="10">
        <f t="shared" si="365"/>
        <v>7.48</v>
      </c>
      <c r="H644" s="10">
        <f t="shared" ref="H644" si="366">H355</f>
        <v>7.48</v>
      </c>
    </row>
    <row r="645" spans="1:8" ht="14.25" hidden="1" x14ac:dyDescent="0.25">
      <c r="A645" s="5" t="s">
        <v>1676</v>
      </c>
      <c r="B645" s="2" t="s">
        <v>2073</v>
      </c>
      <c r="C645" s="3" t="s">
        <v>407</v>
      </c>
      <c r="D645" s="10">
        <f t="shared" ref="D645:E645" si="367">IF(D640&gt;D643,D644*(1-(D638*SQRT(D642/D636)))*(SQRT(D642/D636)),D644)</f>
        <v>10.870000000000001</v>
      </c>
      <c r="E645" s="10">
        <f t="shared" si="367"/>
        <v>10.870000000000001</v>
      </c>
      <c r="F645" s="10" t="e">
        <f t="shared" ref="F645:G645" si="368">IF(F640&gt;F643,F644*(1-(F638*SQRT(F642/F636)))*(SQRT(F642/F636)),F644)</f>
        <v>#DIV/0!</v>
      </c>
      <c r="G645" s="10" t="e">
        <f t="shared" si="368"/>
        <v>#DIV/0!</v>
      </c>
      <c r="H645" s="10" t="e">
        <f t="shared" ref="H645" si="369">IF(H640&gt;H643,H644*(1-(H638*SQRT(H642/H636)))*(SQRT(H642/H636)),H644)</f>
        <v>#DIV/0!</v>
      </c>
    </row>
    <row r="646" spans="1:8" ht="14.25" hidden="1" x14ac:dyDescent="0.25">
      <c r="A646" s="5" t="s">
        <v>411</v>
      </c>
      <c r="B646" s="2" t="s">
        <v>902</v>
      </c>
      <c r="C646" s="3" t="s">
        <v>407</v>
      </c>
      <c r="D646" s="12">
        <f>D351</f>
        <v>0.22125</v>
      </c>
      <c r="E646" s="12">
        <f>E351</f>
        <v>0.22125</v>
      </c>
      <c r="F646" s="12">
        <f>F351</f>
        <v>0.23</v>
      </c>
      <c r="G646" s="12">
        <f>G351</f>
        <v>0.23</v>
      </c>
      <c r="H646" s="12">
        <f>H351</f>
        <v>0.23</v>
      </c>
    </row>
    <row r="647" spans="1:8" ht="15" hidden="1" x14ac:dyDescent="0.25">
      <c r="A647" s="37" t="s">
        <v>1667</v>
      </c>
      <c r="B647" s="40" t="s">
        <v>2069</v>
      </c>
      <c r="C647" s="41" t="s">
        <v>2068</v>
      </c>
      <c r="D647" s="38">
        <f t="shared" ref="D647:E647" si="370">D645*D646</f>
        <v>2.4049875000000003</v>
      </c>
      <c r="E647" s="38">
        <f t="shared" si="370"/>
        <v>2.4049875000000003</v>
      </c>
      <c r="F647" s="38" t="e">
        <f t="shared" ref="F647:G647" si="371">F645*F646</f>
        <v>#DIV/0!</v>
      </c>
      <c r="G647" s="38" t="e">
        <f t="shared" si="371"/>
        <v>#DIV/0!</v>
      </c>
      <c r="H647" s="38" t="e">
        <f t="shared" ref="H647" si="372">H645*H646</f>
        <v>#DIV/0!</v>
      </c>
    </row>
    <row r="648" spans="1:8" hidden="1" x14ac:dyDescent="0.2">
      <c r="A648" s="119" t="s">
        <v>1671</v>
      </c>
      <c r="D648" s="10"/>
      <c r="E648" s="10"/>
      <c r="F648" s="10"/>
      <c r="G648" s="10"/>
      <c r="H648" s="10"/>
    </row>
    <row r="649" spans="1:8" ht="14.25" hidden="1" x14ac:dyDescent="0.25">
      <c r="A649" s="5" t="s">
        <v>1662</v>
      </c>
      <c r="B649" s="2" t="s">
        <v>1631</v>
      </c>
      <c r="D649" s="10">
        <v>0.22</v>
      </c>
      <c r="E649" s="10">
        <v>0.22</v>
      </c>
      <c r="F649" s="10">
        <v>0.22</v>
      </c>
      <c r="G649" s="10">
        <v>0.22</v>
      </c>
      <c r="H649" s="10">
        <v>0.22</v>
      </c>
    </row>
    <row r="650" spans="1:8" ht="14.25" hidden="1" x14ac:dyDescent="0.25">
      <c r="A650" s="5" t="s">
        <v>1662</v>
      </c>
      <c r="B650" s="2" t="s">
        <v>1632</v>
      </c>
      <c r="D650" s="10">
        <v>1.49</v>
      </c>
      <c r="E650" s="10">
        <v>1.49</v>
      </c>
      <c r="F650" s="10">
        <v>1.49</v>
      </c>
      <c r="G650" s="10">
        <v>1.49</v>
      </c>
      <c r="H650" s="10">
        <v>1.49</v>
      </c>
    </row>
    <row r="651" spans="1:8" hidden="1" x14ac:dyDescent="0.2">
      <c r="A651" s="5" t="s">
        <v>2066</v>
      </c>
      <c r="B651" s="2" t="s">
        <v>1660</v>
      </c>
      <c r="C651" s="4"/>
      <c r="D651" s="10">
        <f t="shared" ref="D651:E651" si="373">D468</f>
        <v>8.1859989780275928</v>
      </c>
      <c r="E651" s="10">
        <f t="shared" si="373"/>
        <v>8.1859989780275928</v>
      </c>
      <c r="F651" s="10">
        <f t="shared" ref="F651:G651" si="374">F468</f>
        <v>7.9545454545454541</v>
      </c>
      <c r="G651" s="10">
        <f t="shared" si="374"/>
        <v>7.9545454545454541</v>
      </c>
      <c r="H651" s="10">
        <f t="shared" ref="H651" si="375">H468</f>
        <v>7.9545454545454541</v>
      </c>
    </row>
    <row r="652" spans="1:8" ht="14.25" hidden="1" x14ac:dyDescent="0.25">
      <c r="A652" s="5" t="s">
        <v>1790</v>
      </c>
      <c r="B652" s="2" t="s">
        <v>1057</v>
      </c>
      <c r="D652" s="10">
        <f t="shared" ref="D652:E652" si="376">D470</f>
        <v>13.486585928247372</v>
      </c>
      <c r="E652" s="10">
        <f t="shared" si="376"/>
        <v>13.486585928247372</v>
      </c>
      <c r="F652" s="10" t="e">
        <f t="shared" ref="F652:G652" si="377">F470</f>
        <v>#DIV/0!</v>
      </c>
      <c r="G652" s="10" t="e">
        <f t="shared" si="377"/>
        <v>#DIV/0!</v>
      </c>
      <c r="H652" s="10" t="e">
        <f t="shared" ref="H652" si="378">H470</f>
        <v>#DIV/0!</v>
      </c>
    </row>
    <row r="653" spans="1:8" ht="14.25" hidden="1" x14ac:dyDescent="0.25">
      <c r="A653" s="5" t="s">
        <v>1661</v>
      </c>
      <c r="B653" s="2" t="s">
        <v>1633</v>
      </c>
      <c r="C653" s="3" t="s">
        <v>405</v>
      </c>
      <c r="D653" s="10">
        <f t="shared" ref="D653:E653" si="379">D$11*(D650*(D652/D651))^2</f>
        <v>301.30283397745092</v>
      </c>
      <c r="E653" s="10">
        <f t="shared" si="379"/>
        <v>301.30283397745092</v>
      </c>
      <c r="F653" s="10" t="e">
        <f t="shared" ref="F653:G653" si="380">F$11*(F650*(F652/F651))^2</f>
        <v>#DIV/0!</v>
      </c>
      <c r="G653" s="10" t="e">
        <f t="shared" si="380"/>
        <v>#DIV/0!</v>
      </c>
      <c r="H653" s="10" t="e">
        <f t="shared" ref="H653" si="381">H$11*(H650*(H652/H651))^2</f>
        <v>#DIV/0!</v>
      </c>
    </row>
    <row r="654" spans="1:8" hidden="1" x14ac:dyDescent="0.2">
      <c r="A654" s="5" t="s">
        <v>1665</v>
      </c>
      <c r="D654" s="10">
        <f t="shared" ref="D654:E654" si="382">D652*(SQRT(D$11/D636))</f>
        <v>16.459831460954103</v>
      </c>
      <c r="E654" s="10">
        <f t="shared" si="382"/>
        <v>16.459831460954103</v>
      </c>
      <c r="F654" s="10" t="e">
        <f t="shared" ref="F654:G654" si="383">F652*(SQRT(F$11/F636))</f>
        <v>#DIV/0!</v>
      </c>
      <c r="G654" s="10" t="e">
        <f t="shared" si="383"/>
        <v>#DIV/0!</v>
      </c>
      <c r="H654" s="10" t="e">
        <f t="shared" ref="H654" si="384">H652*(SQRT(H$11/H636))</f>
        <v>#DIV/0!</v>
      </c>
    </row>
    <row r="655" spans="1:8" ht="14.25" hidden="1" x14ac:dyDescent="0.25">
      <c r="A655" s="5" t="s">
        <v>410</v>
      </c>
      <c r="B655" s="2" t="s">
        <v>901</v>
      </c>
      <c r="C655" s="3" t="s">
        <v>407</v>
      </c>
      <c r="D655" s="10">
        <f t="shared" ref="D655:E655" si="385">D354</f>
        <v>8.01</v>
      </c>
      <c r="E655" s="10">
        <f t="shared" si="385"/>
        <v>8.01</v>
      </c>
      <c r="F655" s="10">
        <f t="shared" ref="F655:G655" si="386">F354</f>
        <v>5.25</v>
      </c>
      <c r="G655" s="10">
        <f t="shared" si="386"/>
        <v>5.25</v>
      </c>
      <c r="H655" s="10">
        <f t="shared" ref="H655" si="387">H354</f>
        <v>5.25</v>
      </c>
    </row>
    <row r="656" spans="1:8" ht="14.25" hidden="1" x14ac:dyDescent="0.25">
      <c r="A656" s="5" t="s">
        <v>1674</v>
      </c>
      <c r="B656" s="2" t="s">
        <v>2078</v>
      </c>
      <c r="C656" s="3" t="s">
        <v>407</v>
      </c>
      <c r="D656" s="10">
        <f t="shared" ref="D656:E656" si="388">IF(D651&gt;D654,D655*(1-(D649*SQRT(D653/D636)))*(SQRT(D653/D636)),D655)</f>
        <v>8.01</v>
      </c>
      <c r="E656" s="10">
        <f t="shared" si="388"/>
        <v>8.01</v>
      </c>
      <c r="F656" s="10" t="e">
        <f t="shared" ref="F656:G656" si="389">IF(F651&gt;F654,F655*(1-(F649*SQRT(F653/F636)))*(SQRT(F653/F636)),F655)</f>
        <v>#DIV/0!</v>
      </c>
      <c r="G656" s="10" t="e">
        <f t="shared" si="389"/>
        <v>#DIV/0!</v>
      </c>
      <c r="H656" s="10" t="e">
        <f t="shared" ref="H656" si="390">IF(H651&gt;H654,H655*(1-(H649*SQRT(H653/H636)))*(SQRT(H653/H636)),H655)</f>
        <v>#DIV/0!</v>
      </c>
    </row>
    <row r="657" spans="1:8" ht="14.25" hidden="1" x14ac:dyDescent="0.25">
      <c r="A657" s="5" t="s">
        <v>878</v>
      </c>
      <c r="B657" s="2" t="s">
        <v>941</v>
      </c>
      <c r="C657" s="3" t="s">
        <v>407</v>
      </c>
      <c r="D657" s="12">
        <f>D352</f>
        <v>0.48924999999999996</v>
      </c>
      <c r="E657" s="12">
        <f>E352</f>
        <v>0.48924999999999996</v>
      </c>
      <c r="F657" s="12">
        <f>F352</f>
        <v>0.33</v>
      </c>
      <c r="G657" s="12">
        <f>G352</f>
        <v>0.33</v>
      </c>
      <c r="H657" s="12">
        <f>H352</f>
        <v>0.33</v>
      </c>
    </row>
    <row r="658" spans="1:8" ht="15" hidden="1" x14ac:dyDescent="0.25">
      <c r="A658" s="37" t="s">
        <v>1668</v>
      </c>
      <c r="B658" s="40" t="s">
        <v>2070</v>
      </c>
      <c r="C658" s="41" t="s">
        <v>2068</v>
      </c>
      <c r="D658" s="38">
        <f t="shared" ref="D658:E658" si="391">D656*D657</f>
        <v>3.9188924999999997</v>
      </c>
      <c r="E658" s="38">
        <f t="shared" si="391"/>
        <v>3.9188924999999997</v>
      </c>
      <c r="F658" s="38" t="e">
        <f t="shared" ref="F658:G658" si="392">F656*F657</f>
        <v>#DIV/0!</v>
      </c>
      <c r="G658" s="38" t="e">
        <f t="shared" si="392"/>
        <v>#DIV/0!</v>
      </c>
      <c r="H658" s="38" t="e">
        <f t="shared" ref="H658" si="393">H656*H657</f>
        <v>#DIV/0!</v>
      </c>
    </row>
    <row r="659" spans="1:8" ht="14.25" hidden="1" x14ac:dyDescent="0.25">
      <c r="A659" s="5" t="s">
        <v>879</v>
      </c>
      <c r="B659" s="2" t="s">
        <v>942</v>
      </c>
      <c r="C659" s="3" t="s">
        <v>407</v>
      </c>
      <c r="D659" s="12">
        <f>D353</f>
        <v>0.309</v>
      </c>
      <c r="E659" s="12">
        <f>E353</f>
        <v>0.309</v>
      </c>
      <c r="F659" s="12">
        <f>F353</f>
        <v>0.33</v>
      </c>
      <c r="G659" s="12">
        <f>G353</f>
        <v>0.33</v>
      </c>
      <c r="H659" s="12">
        <f>H353</f>
        <v>0.33</v>
      </c>
    </row>
    <row r="660" spans="1:8" ht="15" hidden="1" x14ac:dyDescent="0.25">
      <c r="A660" s="37" t="s">
        <v>1857</v>
      </c>
      <c r="B660" s="40" t="s">
        <v>2067</v>
      </c>
      <c r="C660" s="41" t="s">
        <v>2068</v>
      </c>
      <c r="D660" s="38">
        <f t="shared" ref="D660:E660" si="394">D656*D659</f>
        <v>2.4750899999999998</v>
      </c>
      <c r="E660" s="38">
        <f t="shared" si="394"/>
        <v>2.4750899999999998</v>
      </c>
      <c r="F660" s="38" t="e">
        <f t="shared" ref="F660:G660" si="395">F656*F659</f>
        <v>#DIV/0!</v>
      </c>
      <c r="G660" s="38" t="e">
        <f t="shared" si="395"/>
        <v>#DIV/0!</v>
      </c>
      <c r="H660" s="38" t="e">
        <f t="shared" ref="H660" si="396">H656*H659</f>
        <v>#DIV/0!</v>
      </c>
    </row>
    <row r="661" spans="1:8" hidden="1" x14ac:dyDescent="0.2">
      <c r="A661" s="119" t="s">
        <v>1670</v>
      </c>
      <c r="D661" s="10"/>
      <c r="E661" s="10"/>
      <c r="F661" s="10"/>
      <c r="G661" s="10"/>
      <c r="H661" s="10"/>
    </row>
    <row r="662" spans="1:8" ht="15" hidden="1" x14ac:dyDescent="0.25">
      <c r="A662" s="5" t="s">
        <v>1670</v>
      </c>
      <c r="B662" s="2" t="s">
        <v>1666</v>
      </c>
      <c r="C662" s="3" t="s">
        <v>900</v>
      </c>
      <c r="D662" s="10">
        <f t="shared" ref="D662:E662" si="397">MIN(D647+D658+D660+D359,D360)</f>
        <v>8.9812574999999999</v>
      </c>
      <c r="E662" s="10">
        <f t="shared" si="397"/>
        <v>8.9812574999999999</v>
      </c>
      <c r="F662" s="10" t="e">
        <f t="shared" ref="F662:G662" si="398">MIN(F647+F658+F660+F359,F360)</f>
        <v>#DIV/0!</v>
      </c>
      <c r="G662" s="10" t="e">
        <f t="shared" si="398"/>
        <v>#DIV/0!</v>
      </c>
      <c r="H662" s="10" t="e">
        <f t="shared" ref="H662" si="399">MIN(H647+H658+H660+H359,H360)</f>
        <v>#DIV/0!</v>
      </c>
    </row>
    <row r="663" spans="1:8" ht="14.25" hidden="1" x14ac:dyDescent="0.25">
      <c r="A663" s="5" t="s">
        <v>1673</v>
      </c>
      <c r="B663" s="2" t="s">
        <v>932</v>
      </c>
      <c r="C663" s="3" t="s">
        <v>419</v>
      </c>
      <c r="D663" s="6">
        <f t="shared" ref="D663:E663" si="400">D636*D662</f>
        <v>301.48133665457152</v>
      </c>
      <c r="E663" s="6">
        <f t="shared" si="400"/>
        <v>301.48133665457152</v>
      </c>
      <c r="F663" s="6" t="e">
        <f t="shared" ref="F663:G663" si="401">F636*F662</f>
        <v>#DIV/0!</v>
      </c>
      <c r="G663" s="6" t="e">
        <f t="shared" si="401"/>
        <v>#DIV/0!</v>
      </c>
      <c r="H663" s="6" t="e">
        <f t="shared" ref="H663" si="402">H636*H662</f>
        <v>#DIV/0!</v>
      </c>
    </row>
    <row r="664" spans="1:8" hidden="1" x14ac:dyDescent="0.2">
      <c r="A664" s="118" t="s">
        <v>1646</v>
      </c>
      <c r="D664" s="10"/>
      <c r="E664" s="10"/>
      <c r="F664" s="10"/>
      <c r="G664" s="10"/>
      <c r="H664" s="10"/>
    </row>
    <row r="665" spans="1:8" ht="14.25" hidden="1" x14ac:dyDescent="0.25">
      <c r="A665" s="121" t="s">
        <v>1643</v>
      </c>
      <c r="B665" s="39" t="s">
        <v>1644</v>
      </c>
      <c r="C665" s="122" t="s">
        <v>419</v>
      </c>
      <c r="D665" s="123">
        <f t="shared" ref="D665:E665" si="403">MIN(D616,D633,D663)</f>
        <v>301.48133665457152</v>
      </c>
      <c r="E665" s="123">
        <f t="shared" si="403"/>
        <v>301.48133665457152</v>
      </c>
      <c r="F665" s="123" t="e">
        <f t="shared" ref="F665:G665" si="404">MIN(F616,F633,F663)</f>
        <v>#DIV/0!</v>
      </c>
      <c r="G665" s="123" t="e">
        <f t="shared" si="404"/>
        <v>#DIV/0!</v>
      </c>
      <c r="H665" s="123" t="e">
        <f t="shared" ref="H665" si="405">MIN(H616,H633,H663)</f>
        <v>#DIV/0!</v>
      </c>
    </row>
    <row r="666" spans="1:8" hidden="1" x14ac:dyDescent="0.2">
      <c r="D666" s="10"/>
      <c r="E666" s="10"/>
      <c r="F666" s="10"/>
      <c r="G666" s="10"/>
      <c r="H666" s="10"/>
    </row>
    <row r="667" spans="1:8" x14ac:dyDescent="0.2">
      <c r="A667" s="5" t="s">
        <v>1123</v>
      </c>
      <c r="B667" s="2" t="str">
        <f>IF(D$7="ASD","Pn-t/Ω",IF(D$7="LRFD","φPn-t"))</f>
        <v>φPn-t</v>
      </c>
      <c r="C667" s="3" t="s">
        <v>419</v>
      </c>
      <c r="D667" s="24">
        <f>IF(D$7="ASD",MIN(D$670/1.67,D$671/2),IF(D$7="LRFD",MIN(0.9*D$670,0.75*D$671)))</f>
        <v>404.1565875</v>
      </c>
      <c r="E667" s="24">
        <f>IF(E$7="ASD",MIN(E$670/1.67,E$671/2),IF(E$7="LRFD",MIN(0.9*E$670,0.75*E$671)))</f>
        <v>268.89992514970061</v>
      </c>
      <c r="F667" s="24">
        <f>IF(F$7="ASD",MIN(F$670/1.67,F$671/2),IF(F$7="LRFD",MIN(0.9*F$670,0.75*F$671)))</f>
        <v>0</v>
      </c>
      <c r="G667" s="24">
        <f>IF(G$7="ASD",MIN(G$670/1.67,G$671/2),IF(G$7="LRFD",MIN(0.9*G$670,0.75*G$671)))</f>
        <v>0</v>
      </c>
      <c r="H667" s="24">
        <f>IF(H$7="ASD",MIN(H$670/1.67,H$671/2),IF(H$7="LRFD",MIN(0.9*H$670,0.75*H$671)))</f>
        <v>0</v>
      </c>
    </row>
    <row r="668" spans="1:8" ht="15" hidden="1" x14ac:dyDescent="0.25">
      <c r="A668" s="5" t="s">
        <v>933</v>
      </c>
      <c r="B668" s="2" t="s">
        <v>934</v>
      </c>
      <c r="C668" s="3" t="s">
        <v>900</v>
      </c>
      <c r="D668" s="124">
        <f>D$360</f>
        <v>8.9812574999999999</v>
      </c>
      <c r="E668" s="124">
        <f>E$360</f>
        <v>8.9812574999999999</v>
      </c>
      <c r="F668" s="124">
        <f>F$360</f>
        <v>5.26</v>
      </c>
      <c r="G668" s="124">
        <f>G$360</f>
        <v>5.26</v>
      </c>
      <c r="H668" s="124">
        <f>H$360</f>
        <v>5.26</v>
      </c>
    </row>
    <row r="669" spans="1:8" hidden="1" x14ac:dyDescent="0.2">
      <c r="A669" s="5" t="s">
        <v>1167</v>
      </c>
      <c r="B669" s="2" t="s">
        <v>1166</v>
      </c>
      <c r="D669" s="124">
        <v>1</v>
      </c>
      <c r="E669" s="124">
        <v>1</v>
      </c>
      <c r="F669" s="124">
        <v>1</v>
      </c>
      <c r="G669" s="124">
        <v>1</v>
      </c>
      <c r="H669" s="124">
        <v>1</v>
      </c>
    </row>
    <row r="670" spans="1:8" ht="14.25" hidden="1" x14ac:dyDescent="0.25">
      <c r="A670" s="5" t="s">
        <v>1165</v>
      </c>
      <c r="B670" s="2" t="s">
        <v>935</v>
      </c>
      <c r="C670" s="3" t="s">
        <v>419</v>
      </c>
      <c r="D670" s="6">
        <f>D$11*D$360</f>
        <v>449.06287500000002</v>
      </c>
      <c r="E670" s="6">
        <f>E$11*E$360</f>
        <v>449.06287500000002</v>
      </c>
      <c r="F670" s="6">
        <f>F$11*F$360</f>
        <v>0</v>
      </c>
      <c r="G670" s="6">
        <f>G$11*G$360</f>
        <v>0</v>
      </c>
      <c r="H670" s="6">
        <f>H$11*H$360</f>
        <v>0</v>
      </c>
    </row>
    <row r="671" spans="1:8" ht="14.25" hidden="1" x14ac:dyDescent="0.25">
      <c r="A671" s="5" t="s">
        <v>1169</v>
      </c>
      <c r="B671" s="2" t="s">
        <v>936</v>
      </c>
      <c r="C671" s="3" t="s">
        <v>419</v>
      </c>
      <c r="D671" s="6">
        <f>D$12*D$668*D$669</f>
        <v>583.78173749999996</v>
      </c>
      <c r="E671" s="6">
        <f>E$12*E$668*E$669</f>
        <v>583.78173749999996</v>
      </c>
      <c r="F671" s="6">
        <f>F$12*F$668*F$669</f>
        <v>0</v>
      </c>
      <c r="G671" s="6">
        <f>G$12*G$668*G$669</f>
        <v>0</v>
      </c>
      <c r="H671" s="6">
        <f>H$12*H$668*H$669</f>
        <v>0</v>
      </c>
    </row>
    <row r="672" spans="1:8" hidden="1" x14ac:dyDescent="0.2"/>
    <row r="673" spans="1:8" x14ac:dyDescent="0.2">
      <c r="A673" s="16" t="s">
        <v>2167</v>
      </c>
      <c r="C673" s="3" t="s">
        <v>876</v>
      </c>
      <c r="D673" s="125">
        <f>D$148/D$499</f>
        <v>0.33467612930496959</v>
      </c>
      <c r="E673" s="125">
        <f>E$148/E$499</f>
        <v>0.32537957015760932</v>
      </c>
      <c r="F673" s="125" t="e">
        <f>F$148/F$499</f>
        <v>#DIV/0!</v>
      </c>
      <c r="G673" s="125" t="e">
        <f>G$148/G$499</f>
        <v>#DIV/0!</v>
      </c>
      <c r="H673" s="125" t="e">
        <f>H$148/H$499</f>
        <v>#DIV/0!</v>
      </c>
    </row>
    <row r="674" spans="1:8" x14ac:dyDescent="0.2">
      <c r="A674" s="16" t="s">
        <v>2168</v>
      </c>
      <c r="C674" s="3" t="s">
        <v>876</v>
      </c>
      <c r="D674" s="125">
        <f>D$149/D$511</f>
        <v>0</v>
      </c>
      <c r="E674" s="125">
        <f>E$149/E$511</f>
        <v>0</v>
      </c>
      <c r="F674" s="125" t="e">
        <f>F$149/F$511</f>
        <v>#DIV/0!</v>
      </c>
      <c r="G674" s="125" t="e">
        <f>G$149/G$511</f>
        <v>#DIV/0!</v>
      </c>
      <c r="H674" s="125" t="e">
        <f>H$149/H$511</f>
        <v>#DIV/0!</v>
      </c>
    </row>
    <row r="675" spans="1:8" x14ac:dyDescent="0.2">
      <c r="A675" s="16" t="s">
        <v>998</v>
      </c>
      <c r="C675" s="3" t="s">
        <v>876</v>
      </c>
      <c r="D675" s="125">
        <f>IF(AND(D$678&gt;=0,D$679=0),IF(D$678&gt;=0.2,D$678+(8/9)*(D$676+D$677),0.5*D$678+(D$676+D$677)),IF(AND(D$679&gt;=0,D$678=0),IF(D$679&gt;=0.2,D$679+(8/9)*(D$676+D$677),0.5*D$679+(D$676+D$677))))</f>
        <v>1.1236979743117035</v>
      </c>
      <c r="E675" s="125">
        <f>IF(AND(E$678&gt;=0,E$679=0),IF(E$678&gt;=0.2,E$678+(8/9)*(E$676+E$677),0.5*E$678+(E$676+E$677)),IF(AND(E$679&gt;=0,E$678=0),IF(E$679&gt;=0.2,E$679+(8/9)*(E$676+E$677),0.5*E$679+(E$676+E$677))))</f>
        <v>1.0946691099753179</v>
      </c>
      <c r="F675" s="125" t="e">
        <f>IF(AND(F$678&gt;=0,F$679=0),IF(F$678&gt;=0.2,F$678+(8/9)*(F$676+F$677),0.5*F$678+(F$676+F$677)),IF(AND(F$679&gt;=0,F$678=0),IF(F$679&gt;=0.2,F$679+(8/9)*(F$676+F$677),0.5*F$679+(F$676+F$677))))</f>
        <v>#DIV/0!</v>
      </c>
      <c r="G675" s="125" t="e">
        <f>IF(AND(G$678&gt;=0,G$679=0),IF(G$678&gt;=0.2,G$678+(8/9)*(G$676+G$677),0.5*G$678+(G$676+G$677)),IF(AND(G$679&gt;=0,G$678=0),IF(G$679&gt;=0.2,G$679+(8/9)*(G$676+G$677),0.5*G$679+(G$676+G$677))))</f>
        <v>#DIV/0!</v>
      </c>
      <c r="H675" s="125" t="e">
        <f>IF(AND(H$678&gt;=0,H$679=0),IF(H$678&gt;=0.2,H$678+(8/9)*(H$676+H$677),0.5*H$678+(H$676+H$677)),IF(AND(H$679&gt;=0,H$678=0),IF(H$679&gt;=0.2,H$679+(8/9)*(H$676+H$677),0.5*H$679+(H$676+H$677))))</f>
        <v>#DIV/0!</v>
      </c>
    </row>
    <row r="676" spans="1:8" ht="14.25" hidden="1" x14ac:dyDescent="0.25">
      <c r="A676" s="5" t="s">
        <v>429</v>
      </c>
      <c r="B676" s="2" t="s">
        <v>937</v>
      </c>
      <c r="D676" s="12">
        <f>D$150/D$520</f>
        <v>1.1236979743117035</v>
      </c>
      <c r="E676" s="12">
        <f>E$150/E$520</f>
        <v>1.0946691099753179</v>
      </c>
      <c r="F676" s="12" t="e">
        <f>F$150/F$520</f>
        <v>#DIV/0!</v>
      </c>
      <c r="G676" s="12" t="e">
        <f>G$150/G$520</f>
        <v>#DIV/0!</v>
      </c>
      <c r="H676" s="12" t="e">
        <f>H$150/H$520</f>
        <v>#DIV/0!</v>
      </c>
    </row>
    <row r="677" spans="1:8" ht="14.25" hidden="1" x14ac:dyDescent="0.25">
      <c r="A677" s="5" t="s">
        <v>430</v>
      </c>
      <c r="B677" s="2" t="s">
        <v>938</v>
      </c>
      <c r="D677" s="12">
        <f>D$151/D$604</f>
        <v>0</v>
      </c>
      <c r="E677" s="12">
        <f>E$151/E$604</f>
        <v>0</v>
      </c>
      <c r="F677" s="12" t="e">
        <f>F$151/F$604</f>
        <v>#DIV/0!</v>
      </c>
      <c r="G677" s="12" t="e">
        <f>G$151/G$604</f>
        <v>#DIV/0!</v>
      </c>
      <c r="H677" s="12" t="e">
        <f>H$151/H$604</f>
        <v>#DIV/0!</v>
      </c>
    </row>
    <row r="678" spans="1:8" ht="14.25" hidden="1" x14ac:dyDescent="0.25">
      <c r="A678" s="5" t="s">
        <v>431</v>
      </c>
      <c r="B678" s="2" t="s">
        <v>939</v>
      </c>
      <c r="D678" s="12">
        <f>D$152/D$610</f>
        <v>0</v>
      </c>
      <c r="E678" s="12">
        <f>E$152/E$610</f>
        <v>0</v>
      </c>
      <c r="F678" s="12" t="e">
        <f>F$152/F$610</f>
        <v>#DIV/0!</v>
      </c>
      <c r="G678" s="12" t="e">
        <f>G$152/G$610</f>
        <v>#DIV/0!</v>
      </c>
      <c r="H678" s="12" t="e">
        <f>H$152/H$610</f>
        <v>#DIV/0!</v>
      </c>
    </row>
    <row r="679" spans="1:8" ht="14.25" hidden="1" x14ac:dyDescent="0.25">
      <c r="A679" s="5" t="s">
        <v>845</v>
      </c>
      <c r="B679" s="2" t="s">
        <v>940</v>
      </c>
      <c r="D679" s="12">
        <f>D$153/D$667</f>
        <v>0</v>
      </c>
      <c r="E679" s="12">
        <f>E$153/E$667</f>
        <v>0</v>
      </c>
      <c r="F679" s="12" t="e">
        <f>F$153/F$667</f>
        <v>#DIV/0!</v>
      </c>
      <c r="G679" s="12" t="e">
        <f>G$153/G$667</f>
        <v>#DIV/0!</v>
      </c>
      <c r="H679" s="12" t="e">
        <f>H$153/H$667</f>
        <v>#DIV/0!</v>
      </c>
    </row>
    <row r="680" spans="1:8" x14ac:dyDescent="0.2">
      <c r="D680" s="12"/>
      <c r="E680" s="12"/>
      <c r="F680" s="12"/>
      <c r="G680" s="12"/>
      <c r="H680" s="12"/>
    </row>
    <row r="681" spans="1:8" ht="15" x14ac:dyDescent="0.25">
      <c r="A681" s="142" t="s">
        <v>1904</v>
      </c>
      <c r="B681" s="30"/>
    </row>
    <row r="682" spans="1:8" x14ac:dyDescent="0.2">
      <c r="A682" s="143" t="s">
        <v>2667</v>
      </c>
      <c r="D682" s="72" t="s">
        <v>242</v>
      </c>
      <c r="E682" s="72" t="s">
        <v>242</v>
      </c>
      <c r="F682" s="72"/>
      <c r="G682" s="72"/>
      <c r="H682" s="72"/>
    </row>
    <row r="683" spans="1:8" ht="38.25" x14ac:dyDescent="0.2">
      <c r="A683" s="143" t="s">
        <v>2670</v>
      </c>
      <c r="D683" s="73" t="s">
        <v>2740</v>
      </c>
      <c r="E683" s="73" t="s">
        <v>2740</v>
      </c>
      <c r="F683" s="73"/>
      <c r="G683" s="73"/>
      <c r="H683" s="73"/>
    </row>
    <row r="684" spans="1:8" x14ac:dyDescent="0.2">
      <c r="A684" s="13" t="s">
        <v>2586</v>
      </c>
      <c r="B684" s="4"/>
      <c r="C684" s="2" t="s">
        <v>2027</v>
      </c>
      <c r="D684" s="8" t="s">
        <v>2028</v>
      </c>
      <c r="E684" s="8" t="s">
        <v>2028</v>
      </c>
      <c r="F684" s="8" t="s">
        <v>2072</v>
      </c>
      <c r="G684" s="8" t="s">
        <v>2072</v>
      </c>
      <c r="H684" s="8" t="s">
        <v>2072</v>
      </c>
    </row>
    <row r="685" spans="1:8" ht="14.25" customHeight="1" x14ac:dyDescent="0.25">
      <c r="A685" s="5" t="s">
        <v>1063</v>
      </c>
      <c r="B685" s="2" t="s">
        <v>1065</v>
      </c>
      <c r="C685" s="3" t="s">
        <v>405</v>
      </c>
      <c r="D685" s="8">
        <v>50</v>
      </c>
      <c r="E685" s="8">
        <v>50</v>
      </c>
      <c r="F685" s="8"/>
      <c r="G685" s="8"/>
      <c r="H685" s="8"/>
    </row>
    <row r="686" spans="1:8" ht="14.25" customHeight="1" x14ac:dyDescent="0.25">
      <c r="A686" s="5" t="s">
        <v>1059</v>
      </c>
      <c r="B686" s="2" t="s">
        <v>1064</v>
      </c>
      <c r="C686" s="3" t="s">
        <v>405</v>
      </c>
      <c r="D686" s="8">
        <v>50</v>
      </c>
      <c r="E686" s="8">
        <v>50</v>
      </c>
      <c r="F686" s="8"/>
      <c r="G686" s="8"/>
      <c r="H686" s="8"/>
    </row>
    <row r="687" spans="1:8" ht="14.25" customHeight="1" x14ac:dyDescent="0.25">
      <c r="A687" s="5" t="s">
        <v>1074</v>
      </c>
      <c r="B687" s="2" t="s">
        <v>1072</v>
      </c>
      <c r="C687" s="3" t="s">
        <v>405</v>
      </c>
      <c r="D687" s="8">
        <v>65</v>
      </c>
      <c r="E687" s="8">
        <v>65</v>
      </c>
      <c r="F687" s="8"/>
      <c r="G687" s="8"/>
      <c r="H687" s="8"/>
    </row>
    <row r="688" spans="1:8" ht="14.25" customHeight="1" x14ac:dyDescent="0.25">
      <c r="A688" s="5" t="s">
        <v>1075</v>
      </c>
      <c r="B688" s="2" t="s">
        <v>1073</v>
      </c>
      <c r="C688" s="3" t="s">
        <v>405</v>
      </c>
      <c r="D688" s="8">
        <v>65</v>
      </c>
      <c r="E688" s="8">
        <v>65</v>
      </c>
      <c r="F688" s="8"/>
      <c r="G688" s="8"/>
      <c r="H688" s="8"/>
    </row>
    <row r="689" spans="1:8" ht="14.25" customHeight="1" x14ac:dyDescent="0.25">
      <c r="A689" s="5" t="s">
        <v>428</v>
      </c>
      <c r="B689" s="2" t="s">
        <v>896</v>
      </c>
      <c r="C689" s="3" t="s">
        <v>403</v>
      </c>
      <c r="D689" s="42">
        <f t="shared" ref="D689:H692" si="406">D15</f>
        <v>12</v>
      </c>
      <c r="E689" s="42">
        <f t="shared" si="406"/>
        <v>12</v>
      </c>
      <c r="F689" s="42">
        <f t="shared" si="406"/>
        <v>0</v>
      </c>
      <c r="G689" s="42">
        <f t="shared" si="406"/>
        <v>0</v>
      </c>
      <c r="H689" s="42">
        <f t="shared" si="406"/>
        <v>0</v>
      </c>
    </row>
    <row r="690" spans="1:8" ht="14.25" customHeight="1" x14ac:dyDescent="0.25">
      <c r="A690" s="5" t="s">
        <v>432</v>
      </c>
      <c r="B690" s="2" t="s">
        <v>897</v>
      </c>
      <c r="C690" s="3" t="s">
        <v>403</v>
      </c>
      <c r="D690" s="42">
        <f t="shared" si="406"/>
        <v>24</v>
      </c>
      <c r="E690" s="42">
        <f t="shared" si="406"/>
        <v>24</v>
      </c>
      <c r="F690" s="42">
        <f t="shared" si="406"/>
        <v>0</v>
      </c>
      <c r="G690" s="42">
        <f t="shared" si="406"/>
        <v>0</v>
      </c>
      <c r="H690" s="42">
        <f t="shared" si="406"/>
        <v>0</v>
      </c>
    </row>
    <row r="691" spans="1:8" ht="14.25" customHeight="1" x14ac:dyDescent="0.25">
      <c r="A691" s="5" t="s">
        <v>433</v>
      </c>
      <c r="B691" s="2" t="s">
        <v>898</v>
      </c>
      <c r="C691" s="3" t="s">
        <v>403</v>
      </c>
      <c r="D691" s="42">
        <f t="shared" si="406"/>
        <v>12</v>
      </c>
      <c r="E691" s="42">
        <f t="shared" si="406"/>
        <v>12</v>
      </c>
      <c r="F691" s="42">
        <f t="shared" si="406"/>
        <v>0</v>
      </c>
      <c r="G691" s="42">
        <f t="shared" si="406"/>
        <v>0</v>
      </c>
      <c r="H691" s="42">
        <f t="shared" si="406"/>
        <v>0</v>
      </c>
    </row>
    <row r="692" spans="1:8" ht="14.25" customHeight="1" x14ac:dyDescent="0.25">
      <c r="A692" s="5" t="s">
        <v>1620</v>
      </c>
      <c r="B692" s="2" t="s">
        <v>1619</v>
      </c>
      <c r="C692" s="3" t="s">
        <v>403</v>
      </c>
      <c r="D692" s="42">
        <f t="shared" si="406"/>
        <v>12</v>
      </c>
      <c r="E692" s="42">
        <f t="shared" si="406"/>
        <v>12</v>
      </c>
      <c r="F692" s="42">
        <f t="shared" si="406"/>
        <v>0</v>
      </c>
      <c r="G692" s="42">
        <f t="shared" si="406"/>
        <v>0</v>
      </c>
      <c r="H692" s="42">
        <f t="shared" si="406"/>
        <v>0</v>
      </c>
    </row>
    <row r="693" spans="1:8" ht="12.75" customHeight="1" x14ac:dyDescent="0.2">
      <c r="A693" s="5" t="s">
        <v>2135</v>
      </c>
      <c r="B693" s="2" t="s">
        <v>425</v>
      </c>
      <c r="D693" s="58">
        <v>1</v>
      </c>
      <c r="E693" s="58">
        <v>1</v>
      </c>
      <c r="F693" s="58">
        <v>1</v>
      </c>
      <c r="G693" s="58">
        <v>1</v>
      </c>
      <c r="H693" s="58">
        <v>1</v>
      </c>
    </row>
    <row r="694" spans="1:8" ht="14.25" customHeight="1" x14ac:dyDescent="0.25">
      <c r="A694" s="5" t="s">
        <v>2134</v>
      </c>
      <c r="B694" s="2" t="s">
        <v>1078</v>
      </c>
      <c r="D694" s="58">
        <v>0.97099999999999997</v>
      </c>
      <c r="E694" s="58">
        <v>0.97099999999999997</v>
      </c>
      <c r="F694" s="58">
        <v>1</v>
      </c>
      <c r="G694" s="58">
        <v>1</v>
      </c>
      <c r="H694" s="58">
        <v>1</v>
      </c>
    </row>
    <row r="695" spans="1:8" x14ac:dyDescent="0.2">
      <c r="A695" s="5" t="s">
        <v>1071</v>
      </c>
      <c r="B695" s="2" t="s">
        <v>4</v>
      </c>
      <c r="C695" s="3" t="s">
        <v>407</v>
      </c>
      <c r="D695" s="166">
        <v>12.167999999999999</v>
      </c>
      <c r="E695" s="166">
        <v>12.167999999999999</v>
      </c>
      <c r="F695" s="166"/>
      <c r="G695" s="166"/>
      <c r="H695" s="166"/>
    </row>
    <row r="696" spans="1:8" s="17" customFormat="1" ht="14.25" x14ac:dyDescent="0.25">
      <c r="A696" s="13" t="s">
        <v>411</v>
      </c>
      <c r="B696" s="14" t="s">
        <v>1811</v>
      </c>
      <c r="C696" s="86" t="s">
        <v>407</v>
      </c>
      <c r="D696" s="75">
        <v>0.221</v>
      </c>
      <c r="E696" s="75">
        <v>0.221</v>
      </c>
      <c r="F696" s="75"/>
      <c r="G696" s="75"/>
      <c r="H696" s="75"/>
    </row>
    <row r="697" spans="1:8" s="17" customFormat="1" ht="14.25" x14ac:dyDescent="0.25">
      <c r="A697" s="13" t="s">
        <v>1808</v>
      </c>
      <c r="B697" s="14" t="s">
        <v>1924</v>
      </c>
      <c r="C697" s="86" t="s">
        <v>407</v>
      </c>
      <c r="D697" s="75">
        <v>0.48899999999999999</v>
      </c>
      <c r="E697" s="75">
        <v>0.48899999999999999</v>
      </c>
      <c r="F697" s="75"/>
      <c r="G697" s="75"/>
      <c r="H697" s="75"/>
    </row>
    <row r="698" spans="1:8" ht="14.25" x14ac:dyDescent="0.25">
      <c r="A698" s="5" t="s">
        <v>1061</v>
      </c>
      <c r="B698" s="2" t="s">
        <v>1925</v>
      </c>
      <c r="C698" s="3" t="s">
        <v>407</v>
      </c>
      <c r="D698" s="167">
        <v>8.01</v>
      </c>
      <c r="E698" s="167">
        <v>8.01</v>
      </c>
      <c r="F698" s="167"/>
      <c r="G698" s="167"/>
      <c r="H698" s="167"/>
    </row>
    <row r="699" spans="1:8" ht="14.25" x14ac:dyDescent="0.25">
      <c r="A699" s="5" t="s">
        <v>1809</v>
      </c>
      <c r="B699" s="2" t="s">
        <v>1926</v>
      </c>
      <c r="C699" s="3" t="s">
        <v>407</v>
      </c>
      <c r="D699" s="75">
        <v>0.80899999999999994</v>
      </c>
      <c r="E699" s="75">
        <v>0.80899999999999994</v>
      </c>
      <c r="F699" s="75"/>
      <c r="G699" s="75"/>
      <c r="H699" s="75"/>
    </row>
    <row r="700" spans="1:8" ht="14.25" x14ac:dyDescent="0.25">
      <c r="A700" s="5" t="s">
        <v>1810</v>
      </c>
      <c r="B700" s="2" t="s">
        <v>1927</v>
      </c>
      <c r="C700" s="3" t="s">
        <v>407</v>
      </c>
      <c r="D700" s="167">
        <v>10</v>
      </c>
      <c r="E700" s="167">
        <v>10</v>
      </c>
      <c r="F700" s="167"/>
      <c r="G700" s="167"/>
      <c r="H700" s="167"/>
    </row>
    <row r="701" spans="1:8" ht="14.25" x14ac:dyDescent="0.25">
      <c r="A701" s="5" t="s">
        <v>1842</v>
      </c>
      <c r="B701" s="2" t="s">
        <v>1818</v>
      </c>
      <c r="C701" s="3" t="s">
        <v>407</v>
      </c>
      <c r="D701" s="167">
        <v>7.4868641499175377</v>
      </c>
      <c r="E701" s="167">
        <v>7.4868641499175377</v>
      </c>
      <c r="F701" s="167"/>
      <c r="G701" s="167"/>
      <c r="H701" s="167"/>
    </row>
    <row r="702" spans="1:8" ht="14.25" x14ac:dyDescent="0.25">
      <c r="A702" s="5" t="s">
        <v>1822</v>
      </c>
      <c r="B702" s="2" t="s">
        <v>1821</v>
      </c>
      <c r="C702" s="3" t="s">
        <v>407</v>
      </c>
      <c r="D702" s="167">
        <v>11.431155430711611</v>
      </c>
      <c r="E702" s="167">
        <v>11.431155430711611</v>
      </c>
      <c r="F702" s="167"/>
      <c r="G702" s="167"/>
      <c r="H702" s="167"/>
    </row>
    <row r="703" spans="1:8" ht="15" x14ac:dyDescent="0.25">
      <c r="A703" s="5" t="s">
        <v>2071</v>
      </c>
      <c r="B703" s="2" t="s">
        <v>899</v>
      </c>
      <c r="C703" s="3" t="s">
        <v>900</v>
      </c>
      <c r="D703" s="167">
        <v>13.79425</v>
      </c>
      <c r="E703" s="167">
        <v>13.79425</v>
      </c>
      <c r="F703" s="167"/>
      <c r="G703" s="167"/>
      <c r="H703" s="167"/>
    </row>
    <row r="704" spans="1:8" ht="15" x14ac:dyDescent="0.25">
      <c r="A704" s="5" t="s">
        <v>866</v>
      </c>
      <c r="B704" s="2" t="s">
        <v>872</v>
      </c>
      <c r="C704" s="3" t="s">
        <v>873</v>
      </c>
      <c r="D704" s="167">
        <v>373.47680483331703</v>
      </c>
      <c r="E704" s="167">
        <v>373.47680483331703</v>
      </c>
      <c r="F704" s="167"/>
      <c r="G704" s="167"/>
      <c r="H704" s="167"/>
    </row>
    <row r="705" spans="1:8" ht="15" x14ac:dyDescent="0.25">
      <c r="A705" s="5" t="s">
        <v>867</v>
      </c>
      <c r="B705" s="2" t="s">
        <v>909</v>
      </c>
      <c r="C705" s="3" t="s">
        <v>873</v>
      </c>
      <c r="D705" s="167">
        <v>75.852283772255845</v>
      </c>
      <c r="E705" s="167">
        <v>75.852283772255845</v>
      </c>
      <c r="F705" s="167"/>
      <c r="G705" s="167"/>
      <c r="H705" s="167"/>
    </row>
    <row r="706" spans="1:8" ht="15" x14ac:dyDescent="0.25">
      <c r="A706" s="13" t="s">
        <v>413</v>
      </c>
      <c r="B706" s="14" t="s">
        <v>949</v>
      </c>
      <c r="C706" s="86" t="s">
        <v>948</v>
      </c>
      <c r="D706" s="167">
        <v>59.726309446488756</v>
      </c>
      <c r="E706" s="167">
        <v>59.726309446488756</v>
      </c>
      <c r="F706" s="167"/>
      <c r="G706" s="167"/>
      <c r="H706" s="167"/>
    </row>
    <row r="707" spans="1:8" ht="15" x14ac:dyDescent="0.25">
      <c r="A707" s="5" t="s">
        <v>416</v>
      </c>
      <c r="B707" s="2" t="s">
        <v>910</v>
      </c>
      <c r="C707" s="3" t="s">
        <v>906</v>
      </c>
      <c r="D707" s="168">
        <v>25.4326653675</v>
      </c>
      <c r="E707" s="168">
        <v>25.4326653675</v>
      </c>
      <c r="F707" s="168"/>
      <c r="G707" s="168"/>
      <c r="H707" s="168"/>
    </row>
    <row r="708" spans="1:8" ht="15" x14ac:dyDescent="0.2">
      <c r="A708" s="5" t="s">
        <v>962</v>
      </c>
      <c r="B708" s="2" t="s">
        <v>6</v>
      </c>
      <c r="C708" s="3" t="s">
        <v>873</v>
      </c>
      <c r="D708" s="169">
        <v>0.84675466368333341</v>
      </c>
      <c r="E708" s="169">
        <v>0.84675466368333341</v>
      </c>
      <c r="F708" s="169"/>
      <c r="G708" s="169"/>
      <c r="H708" s="169"/>
    </row>
    <row r="709" spans="1:8" ht="14.25" x14ac:dyDescent="0.25">
      <c r="A709" s="5" t="s">
        <v>1936</v>
      </c>
      <c r="B709" s="2" t="s">
        <v>917</v>
      </c>
      <c r="C709" s="3" t="s">
        <v>407</v>
      </c>
      <c r="D709" s="42">
        <f>D197</f>
        <v>1.02</v>
      </c>
      <c r="E709" s="42">
        <f>E197</f>
        <v>1.02</v>
      </c>
      <c r="F709" s="42">
        <f>F197</f>
        <v>0.63</v>
      </c>
      <c r="G709" s="42">
        <f>G197</f>
        <v>0.63</v>
      </c>
      <c r="H709" s="42">
        <f>H197</f>
        <v>0.63</v>
      </c>
    </row>
    <row r="710" spans="1:8" s="30" customFormat="1" x14ac:dyDescent="0.2">
      <c r="A710" s="16" t="s">
        <v>2185</v>
      </c>
    </row>
    <row r="711" spans="1:8" s="30" customFormat="1" ht="15" x14ac:dyDescent="0.2">
      <c r="A711" s="5" t="s">
        <v>422</v>
      </c>
      <c r="B711" s="3" t="s">
        <v>913</v>
      </c>
      <c r="C711" s="3" t="s">
        <v>914</v>
      </c>
      <c r="D711" s="74"/>
      <c r="E711" s="74"/>
      <c r="F711" s="74"/>
      <c r="G711" s="74"/>
      <c r="H711" s="74"/>
    </row>
    <row r="712" spans="1:8" ht="15" customHeight="1" x14ac:dyDescent="0.2">
      <c r="A712" s="5" t="s">
        <v>964</v>
      </c>
      <c r="B712" s="3" t="s">
        <v>1826</v>
      </c>
      <c r="C712" s="3" t="s">
        <v>873</v>
      </c>
      <c r="D712" s="74"/>
      <c r="E712" s="74"/>
      <c r="F712" s="74"/>
      <c r="G712" s="74"/>
      <c r="H712" s="74"/>
    </row>
    <row r="713" spans="1:8" ht="15" x14ac:dyDescent="0.25">
      <c r="A713" s="5" t="s">
        <v>1824</v>
      </c>
      <c r="B713" s="2" t="s">
        <v>1825</v>
      </c>
      <c r="C713" s="3" t="s">
        <v>900</v>
      </c>
      <c r="D713" s="57"/>
      <c r="E713" s="57"/>
      <c r="F713" s="57"/>
      <c r="G713" s="57"/>
      <c r="H713" s="57"/>
    </row>
    <row r="714" spans="1:8" ht="15" x14ac:dyDescent="0.2">
      <c r="A714" s="5" t="s">
        <v>1912</v>
      </c>
      <c r="B714" s="3" t="s">
        <v>1922</v>
      </c>
      <c r="C714" s="3" t="s">
        <v>873</v>
      </c>
      <c r="D714" s="74"/>
      <c r="E714" s="74"/>
      <c r="F714" s="74"/>
      <c r="G714" s="74"/>
      <c r="H714" s="74"/>
    </row>
    <row r="715" spans="1:8" ht="14.25" x14ac:dyDescent="0.25">
      <c r="A715" s="5" t="s">
        <v>1830</v>
      </c>
      <c r="B715" s="2" t="s">
        <v>1829</v>
      </c>
      <c r="C715" s="3" t="s">
        <v>407</v>
      </c>
      <c r="D715" s="57"/>
      <c r="E715" s="57"/>
      <c r="F715" s="57"/>
      <c r="G715" s="57"/>
      <c r="H715" s="57"/>
    </row>
    <row r="716" spans="1:8" ht="14.25" x14ac:dyDescent="0.25">
      <c r="A716" s="5" t="s">
        <v>1124</v>
      </c>
      <c r="B716" s="2" t="s">
        <v>1843</v>
      </c>
      <c r="C716" s="3" t="s">
        <v>407</v>
      </c>
      <c r="D716" s="164"/>
      <c r="E716" s="164"/>
      <c r="F716" s="164"/>
      <c r="G716" s="164"/>
      <c r="H716" s="164"/>
    </row>
    <row r="717" spans="1:8" ht="14.25" hidden="1" x14ac:dyDescent="0.25">
      <c r="A717" s="5" t="s">
        <v>885</v>
      </c>
      <c r="B717" s="2" t="s">
        <v>943</v>
      </c>
      <c r="C717" s="3" t="s">
        <v>407</v>
      </c>
      <c r="D717" s="6">
        <f t="shared" ref="D717:E717" si="407">D695-D697-D699</f>
        <v>10.87</v>
      </c>
      <c r="E717" s="6">
        <f t="shared" si="407"/>
        <v>10.87</v>
      </c>
      <c r="F717" s="6">
        <f t="shared" ref="F717:G717" si="408">F695-F697-F699</f>
        <v>0</v>
      </c>
      <c r="G717" s="6">
        <f t="shared" si="408"/>
        <v>0</v>
      </c>
      <c r="H717" s="6">
        <f t="shared" ref="H717" si="409">H695-H697-H699</f>
        <v>0</v>
      </c>
    </row>
    <row r="718" spans="1:8" ht="15" hidden="1" x14ac:dyDescent="0.25">
      <c r="A718" s="5" t="s">
        <v>953</v>
      </c>
      <c r="B718" s="2" t="s">
        <v>955</v>
      </c>
      <c r="C718" s="3" t="s">
        <v>906</v>
      </c>
      <c r="D718" s="24">
        <f t="shared" ref="D718:E718" si="410">D704/D701</f>
        <v>49.884276962262042</v>
      </c>
      <c r="E718" s="24">
        <f t="shared" si="410"/>
        <v>49.884276962262042</v>
      </c>
      <c r="F718" s="24" t="e">
        <f t="shared" ref="F718:G718" si="411">F704/F701</f>
        <v>#DIV/0!</v>
      </c>
      <c r="G718" s="24" t="e">
        <f t="shared" si="411"/>
        <v>#DIV/0!</v>
      </c>
      <c r="H718" s="24" t="e">
        <f t="shared" ref="H718" si="412">H704/H701</f>
        <v>#DIV/0!</v>
      </c>
    </row>
    <row r="719" spans="1:8" ht="15" hidden="1" x14ac:dyDescent="0.25">
      <c r="A719" s="5" t="s">
        <v>954</v>
      </c>
      <c r="B719" s="2" t="s">
        <v>956</v>
      </c>
      <c r="C719" s="3" t="s">
        <v>906</v>
      </c>
      <c r="D719" s="24">
        <f t="shared" ref="D719:E719" si="413">D704/(D695-D701)</f>
        <v>79.783372410936963</v>
      </c>
      <c r="E719" s="24">
        <f t="shared" si="413"/>
        <v>79.783372410936963</v>
      </c>
      <c r="F719" s="24" t="e">
        <f t="shared" ref="F719:G719" si="414">F704/(F695-F701)</f>
        <v>#DIV/0!</v>
      </c>
      <c r="G719" s="24" t="e">
        <f t="shared" si="414"/>
        <v>#DIV/0!</v>
      </c>
      <c r="H719" s="24" t="e">
        <f t="shared" ref="H719" si="415">H704/(H695-H701)</f>
        <v>#DIV/0!</v>
      </c>
    </row>
    <row r="720" spans="1:8" ht="15" hidden="1" x14ac:dyDescent="0.25">
      <c r="A720" s="5" t="s">
        <v>417</v>
      </c>
      <c r="B720" s="2" t="s">
        <v>911</v>
      </c>
      <c r="C720" s="3" t="s">
        <v>906</v>
      </c>
      <c r="D720" s="24">
        <f t="shared" ref="D720:E720" si="416">D705/(0.5*MAX(D698,D700))</f>
        <v>15.17045675445117</v>
      </c>
      <c r="E720" s="24">
        <f t="shared" si="416"/>
        <v>15.17045675445117</v>
      </c>
      <c r="F720" s="24" t="e">
        <f t="shared" ref="F720:G720" si="417">F705/(0.5*MAX(F698,F700))</f>
        <v>#DIV/0!</v>
      </c>
      <c r="G720" s="24" t="e">
        <f t="shared" si="417"/>
        <v>#DIV/0!</v>
      </c>
      <c r="H720" s="24" t="e">
        <f t="shared" ref="H720" si="418">H705/(0.5*MAX(H698,H700))</f>
        <v>#DIV/0!</v>
      </c>
    </row>
    <row r="721" spans="1:8" ht="14.25" hidden="1" x14ac:dyDescent="0.25">
      <c r="A721" s="5" t="s">
        <v>415</v>
      </c>
      <c r="B721" s="2" t="s">
        <v>908</v>
      </c>
      <c r="C721" s="3" t="s">
        <v>407</v>
      </c>
      <c r="D721" s="6">
        <f t="shared" ref="D721:E721" si="419">SQRT(D704/D703)</f>
        <v>5.2033467841562802</v>
      </c>
      <c r="E721" s="6">
        <f t="shared" si="419"/>
        <v>5.2033467841562802</v>
      </c>
      <c r="F721" s="6" t="e">
        <f t="shared" ref="F721:G721" si="420">SQRT(F704/F703)</f>
        <v>#DIV/0!</v>
      </c>
      <c r="G721" s="6" t="e">
        <f t="shared" si="420"/>
        <v>#DIV/0!</v>
      </c>
      <c r="H721" s="6" t="e">
        <f t="shared" ref="H721" si="421">SQRT(H704/H703)</f>
        <v>#DIV/0!</v>
      </c>
    </row>
    <row r="722" spans="1:8" ht="14.25" hidden="1" x14ac:dyDescent="0.25">
      <c r="A722" s="5" t="s">
        <v>418</v>
      </c>
      <c r="B722" s="2" t="s">
        <v>912</v>
      </c>
      <c r="C722" s="3" t="s">
        <v>407</v>
      </c>
      <c r="D722" s="6">
        <f t="shared" ref="D722:E722" si="422">SQRT(D705/D703)</f>
        <v>2.3449591644536749</v>
      </c>
      <c r="E722" s="6">
        <f t="shared" si="422"/>
        <v>2.3449591644536749</v>
      </c>
      <c r="F722" s="6" t="e">
        <f t="shared" ref="F722:G722" si="423">SQRT(F705/F703)</f>
        <v>#DIV/0!</v>
      </c>
      <c r="G722" s="6" t="e">
        <f t="shared" si="423"/>
        <v>#DIV/0!</v>
      </c>
      <c r="H722" s="6" t="e">
        <f t="shared" ref="H722" si="424">SQRT(H705/H703)</f>
        <v>#DIV/0!</v>
      </c>
    </row>
    <row r="723" spans="1:8" ht="14.25" hidden="1" customHeight="1" x14ac:dyDescent="0.25">
      <c r="A723" s="5" t="s">
        <v>1077</v>
      </c>
      <c r="B723" s="2" t="s">
        <v>894</v>
      </c>
      <c r="C723" s="3" t="s">
        <v>405</v>
      </c>
      <c r="D723" s="1">
        <f>IF(D$686&gt;0,MIN(D$685,D$686),D$685)</f>
        <v>50</v>
      </c>
      <c r="E723" s="1">
        <f t="shared" ref="E723:H723" si="425">IF(E$686&gt;0,MIN(E$685,E$686),E$685)</f>
        <v>50</v>
      </c>
      <c r="F723" s="1">
        <f t="shared" si="425"/>
        <v>0</v>
      </c>
      <c r="G723" s="1">
        <f t="shared" si="425"/>
        <v>0</v>
      </c>
      <c r="H723" s="1">
        <f t="shared" si="425"/>
        <v>0</v>
      </c>
    </row>
    <row r="724" spans="1:8" ht="14.25" hidden="1" customHeight="1" x14ac:dyDescent="0.25">
      <c r="A724" s="5" t="s">
        <v>1076</v>
      </c>
      <c r="B724" s="2" t="s">
        <v>895</v>
      </c>
      <c r="C724" s="3" t="s">
        <v>405</v>
      </c>
      <c r="D724" s="1">
        <f>IF(D$688&gt;0,MIN(D$687,D$688),D$687)</f>
        <v>65</v>
      </c>
      <c r="E724" s="1">
        <f t="shared" ref="E724:H724" si="426">IF(E$688&gt;0,MIN(E$687,E$688),E$687)</f>
        <v>65</v>
      </c>
      <c r="F724" s="1">
        <f t="shared" si="426"/>
        <v>0</v>
      </c>
      <c r="G724" s="1">
        <f t="shared" si="426"/>
        <v>0</v>
      </c>
      <c r="H724" s="1">
        <f t="shared" si="426"/>
        <v>0</v>
      </c>
    </row>
    <row r="725" spans="1:8" ht="14.25" hidden="1" x14ac:dyDescent="0.25">
      <c r="A725" s="5" t="s">
        <v>1805</v>
      </c>
      <c r="B725" s="2" t="s">
        <v>997</v>
      </c>
      <c r="C725" s="3" t="s">
        <v>1049</v>
      </c>
      <c r="D725" s="24">
        <f>490*(D703/144)</f>
        <v>46.938767361111111</v>
      </c>
      <c r="E725" s="24">
        <f>490*(E703/144)</f>
        <v>46.938767361111111</v>
      </c>
      <c r="F725" s="24">
        <f>490*(F703/144)</f>
        <v>0</v>
      </c>
      <c r="G725" s="24">
        <f>490*(G703/144)</f>
        <v>0</v>
      </c>
      <c r="H725" s="24">
        <f>490*(H703/144)</f>
        <v>0</v>
      </c>
    </row>
    <row r="726" spans="1:8" x14ac:dyDescent="0.2">
      <c r="D726" s="10"/>
      <c r="E726" s="10"/>
      <c r="F726" s="10"/>
      <c r="G726" s="10"/>
      <c r="H726" s="10"/>
    </row>
    <row r="727" spans="1:8" hidden="1" x14ac:dyDescent="0.2">
      <c r="A727" s="16" t="s">
        <v>1234</v>
      </c>
      <c r="C727" s="86"/>
      <c r="D727" s="11"/>
      <c r="E727" s="11"/>
      <c r="F727" s="11"/>
      <c r="G727" s="11"/>
      <c r="H727" s="11"/>
    </row>
    <row r="728" spans="1:8" ht="15" hidden="1" x14ac:dyDescent="0.25">
      <c r="A728" s="5" t="s">
        <v>2092</v>
      </c>
      <c r="B728" s="2" t="s">
        <v>2091</v>
      </c>
      <c r="C728" s="3" t="s">
        <v>900</v>
      </c>
      <c r="D728" s="12">
        <f>D703-(D698*D697+D700*D699+D696*D717)</f>
        <v>-0.61491000000000007</v>
      </c>
      <c r="E728" s="12">
        <f>E703-(E698*E697+E700*E699+E696*E717)</f>
        <v>-0.61491000000000007</v>
      </c>
      <c r="F728" s="12">
        <f>F703-(F698*F697+F700*F699+F696*F717)</f>
        <v>0</v>
      </c>
      <c r="G728" s="12">
        <f>G703-(G698*G697+G700*G699+G696*G717)</f>
        <v>0</v>
      </c>
      <c r="H728" s="12">
        <f>H703-(H698*H697+H700*H699+H696*H717)</f>
        <v>0</v>
      </c>
    </row>
    <row r="729" spans="1:8" ht="14.25" hidden="1" x14ac:dyDescent="0.25">
      <c r="A729" s="5" t="s">
        <v>1858</v>
      </c>
      <c r="B729" s="2" t="s">
        <v>1831</v>
      </c>
      <c r="C729" s="3" t="s">
        <v>407</v>
      </c>
      <c r="D729" s="2">
        <f>MAX(D715,D695-D715)</f>
        <v>12.167999999999999</v>
      </c>
      <c r="E729" s="2">
        <f>MAX(E715,E695-E715)</f>
        <v>12.167999999999999</v>
      </c>
      <c r="F729" s="2">
        <f>MAX(F715,F695-F715)</f>
        <v>0</v>
      </c>
      <c r="G729" s="2">
        <f>MAX(G715,G695-G715)</f>
        <v>0</v>
      </c>
      <c r="H729" s="2">
        <f>MAX(H715,H695-H715)</f>
        <v>0</v>
      </c>
    </row>
    <row r="730" spans="1:8" hidden="1" x14ac:dyDescent="0.2">
      <c r="A730" s="13" t="s">
        <v>1236</v>
      </c>
      <c r="B730" s="14" t="s">
        <v>1062</v>
      </c>
      <c r="C730" s="86" t="s">
        <v>407</v>
      </c>
      <c r="D730" s="11">
        <f>IF(D709=0,D729-(D697+D699),D729-2*D709)</f>
        <v>10.128</v>
      </c>
      <c r="E730" s="11">
        <f>IF(E709=0,E729-(E697+E699),E729-2*E709)</f>
        <v>10.128</v>
      </c>
      <c r="F730" s="11">
        <f>IF(F709=0,F729-(F697+F699),F729-2*F709)</f>
        <v>-1.26</v>
      </c>
      <c r="G730" s="11">
        <f>IF(G709=0,G729-(G697+G699),G729-2*G709)</f>
        <v>-1.26</v>
      </c>
      <c r="H730" s="11">
        <f>IF(H709=0,H729-(H697+H699),H729-2*H709)</f>
        <v>-1.26</v>
      </c>
    </row>
    <row r="731" spans="1:8" ht="14.25" hidden="1" x14ac:dyDescent="0.25">
      <c r="A731" s="13" t="s">
        <v>1056</v>
      </c>
      <c r="B731" s="14" t="s">
        <v>1814</v>
      </c>
      <c r="C731" s="86" t="s">
        <v>407</v>
      </c>
      <c r="D731" s="10">
        <f>D729-0.5*(D697+D699)</f>
        <v>11.518999999999998</v>
      </c>
      <c r="E731" s="10">
        <f>E729-0.5*(E697+E699)</f>
        <v>11.518999999999998</v>
      </c>
      <c r="F731" s="10">
        <f>F729-0.5*(F697+F699)</f>
        <v>0</v>
      </c>
      <c r="G731" s="10">
        <f>G729-0.5*(G697+G699)</f>
        <v>0</v>
      </c>
      <c r="H731" s="10">
        <f>H729-0.5*(H697+H699)</f>
        <v>0</v>
      </c>
    </row>
    <row r="732" spans="1:8" ht="14.25" hidden="1" x14ac:dyDescent="0.25">
      <c r="A732" s="5" t="s">
        <v>1820</v>
      </c>
      <c r="B732" s="2" t="s">
        <v>960</v>
      </c>
      <c r="C732" s="3" t="s">
        <v>407</v>
      </c>
      <c r="D732" s="10">
        <f t="shared" ref="D732:H732" si="427">IF(D$709=0,2*ABS(D$701-D$697),2*ABS(D$701-D$709))</f>
        <v>12.933728299835074</v>
      </c>
      <c r="E732" s="10">
        <f t="shared" si="427"/>
        <v>12.933728299835074</v>
      </c>
      <c r="F732" s="10">
        <f t="shared" si="427"/>
        <v>1.26</v>
      </c>
      <c r="G732" s="10">
        <f t="shared" si="427"/>
        <v>1.26</v>
      </c>
      <c r="H732" s="10">
        <f t="shared" si="427"/>
        <v>1.26</v>
      </c>
    </row>
    <row r="733" spans="1:8" ht="14.25" hidden="1" x14ac:dyDescent="0.25">
      <c r="A733" s="5" t="s">
        <v>1819</v>
      </c>
      <c r="B733" s="2" t="s">
        <v>969</v>
      </c>
      <c r="C733" s="3" t="s">
        <v>407</v>
      </c>
      <c r="D733" s="10">
        <f t="shared" ref="D733:H733" si="428">IF(D$709=0,2*ABS(D$702-D$697),2*ABS(D$702-D$709))</f>
        <v>20.822310861423222</v>
      </c>
      <c r="E733" s="10">
        <f t="shared" si="428"/>
        <v>20.822310861423222</v>
      </c>
      <c r="F733" s="10">
        <f t="shared" si="428"/>
        <v>1.26</v>
      </c>
      <c r="G733" s="10">
        <f t="shared" si="428"/>
        <v>1.26</v>
      </c>
      <c r="H733" s="10">
        <f t="shared" si="428"/>
        <v>1.26</v>
      </c>
    </row>
    <row r="734" spans="1:8" ht="15" hidden="1" x14ac:dyDescent="0.25">
      <c r="A734" s="5" t="s">
        <v>964</v>
      </c>
      <c r="B734" s="2" t="s">
        <v>963</v>
      </c>
      <c r="C734" s="3" t="s">
        <v>873</v>
      </c>
      <c r="D734" s="10">
        <f>IF(D$712=0,(1/12)*D$697*D$698^3,D$712)</f>
        <v>20.94233784075</v>
      </c>
      <c r="E734" s="10">
        <f>IF(E$712=0,(1/12)*E$697*E$698^3,E$712)</f>
        <v>20.94233784075</v>
      </c>
      <c r="F734" s="10">
        <f>IF(F$712=0,(1/12)*F$697*F$698^3,F$712)</f>
        <v>0</v>
      </c>
      <c r="G734" s="10">
        <f>IF(G$712=0,(1/12)*G$697*G$698^3,G$712)</f>
        <v>0</v>
      </c>
      <c r="H734" s="10">
        <f>IF(H$712=0,(1/12)*H$697*H$698^3,H$712)</f>
        <v>0</v>
      </c>
    </row>
    <row r="735" spans="1:8" ht="15" hidden="1" x14ac:dyDescent="0.25">
      <c r="A735" s="5" t="s">
        <v>1912</v>
      </c>
      <c r="B735" s="2" t="s">
        <v>1923</v>
      </c>
      <c r="C735" s="3" t="s">
        <v>873</v>
      </c>
      <c r="D735" s="10">
        <f t="shared" ref="D735:H735" si="429">IF(D$714=0,(1/12)*D$699*D$700^3,D$714)</f>
        <v>67.416666666666657</v>
      </c>
      <c r="E735" s="10">
        <f t="shared" si="429"/>
        <v>67.416666666666657</v>
      </c>
      <c r="F735" s="10">
        <f t="shared" si="429"/>
        <v>0</v>
      </c>
      <c r="G735" s="10">
        <f t="shared" si="429"/>
        <v>0</v>
      </c>
      <c r="H735" s="10">
        <f t="shared" si="429"/>
        <v>0</v>
      </c>
    </row>
    <row r="736" spans="1:8" hidden="1" x14ac:dyDescent="0.2">
      <c r="A736" s="5" t="s">
        <v>1920</v>
      </c>
      <c r="B736" s="34" t="s">
        <v>1918</v>
      </c>
      <c r="D736" s="10">
        <f t="shared" ref="D736:E736" si="430">1/(1+D734/D735)</f>
        <v>0.76298581047286307</v>
      </c>
      <c r="E736" s="10">
        <f t="shared" si="430"/>
        <v>0.76298581047286307</v>
      </c>
      <c r="F736" s="10" t="e">
        <f t="shared" ref="F736:G736" si="431">1/(1+F734/F735)</f>
        <v>#DIV/0!</v>
      </c>
      <c r="G736" s="10" t="e">
        <f t="shared" si="431"/>
        <v>#DIV/0!</v>
      </c>
      <c r="H736" s="10" t="e">
        <f t="shared" ref="H736" si="432">1/(1+H734/H735)</f>
        <v>#DIV/0!</v>
      </c>
    </row>
    <row r="737" spans="1:8" ht="15" hidden="1" x14ac:dyDescent="0.25">
      <c r="A737" s="5" t="s">
        <v>1921</v>
      </c>
      <c r="B737" s="2" t="s">
        <v>913</v>
      </c>
      <c r="C737" s="3" t="s">
        <v>914</v>
      </c>
      <c r="D737" s="22">
        <f>IF(D711=0,D736*D734*D731^2,D711)</f>
        <v>2120.1724123565737</v>
      </c>
      <c r="E737" s="22">
        <f>IF(E711=0,E736*E734*E731^2,E711)</f>
        <v>2120.1724123565737</v>
      </c>
      <c r="F737" s="22" t="e">
        <f>IF(F711=0,F736*F734*F731^2,F711)</f>
        <v>#DIV/0!</v>
      </c>
      <c r="G737" s="22" t="e">
        <f>IF(G711=0,G736*G734*G731^2,G711)</f>
        <v>#DIV/0!</v>
      </c>
      <c r="H737" s="22" t="e">
        <f>IF(H711=0,H736*H734*H731^2,H711)</f>
        <v>#DIV/0!</v>
      </c>
    </row>
    <row r="738" spans="1:8" s="102" customFormat="1" ht="25.5" hidden="1" x14ac:dyDescent="0.25">
      <c r="A738" s="99" t="s">
        <v>2053</v>
      </c>
      <c r="B738" s="3" t="s">
        <v>6</v>
      </c>
      <c r="C738" s="3" t="s">
        <v>873</v>
      </c>
      <c r="D738" s="144">
        <f>IF(D708=0,((D$717*D$696^3)/3)+((D$698*D$697^3)/3)*(1-0.63*(D$697/D$698))+((D$700*D$699^3)/3)*(1-0.63*(D$699/D$700)),D708)</f>
        <v>0.84675466368333341</v>
      </c>
      <c r="E738" s="144">
        <f>IF(E708=0,((E$717*E$696^3)/3)+((E$698*E$697^3)/3)*(1-0.63*(E$697/E$698))+((E$700*E$699^3)/3)*(1-0.63*(E$699/E$700)),E708)</f>
        <v>0.84675466368333341</v>
      </c>
      <c r="F738" s="144" t="e">
        <f>IF(F708=0,((F$717*F$696^3)/3)+((F$698*F$697^3)/3)*(1-0.63*(F$697/F$698))+((F$700*F$699^3)/3)*(1-0.63*(F$699/F$700)),F708)</f>
        <v>#DIV/0!</v>
      </c>
      <c r="G738" s="144" t="e">
        <f>IF(G708=0,((G$717*G$696^3)/3)+((G$698*G$697^3)/3)*(1-0.63*(G$697/G$698))+((G$700*G$699^3)/3)*(1-0.63*(G$699/G$700)),G708)</f>
        <v>#DIV/0!</v>
      </c>
      <c r="H738" s="144" t="e">
        <f>IF(H708=0,((H$717*H$696^3)/3)+((H$698*H$697^3)/3)*(1-0.63*(H$697/H$698))+((H$700*H$699^3)/3)*(1-0.63*(H$699/H$700)),H708)</f>
        <v>#DIV/0!</v>
      </c>
    </row>
    <row r="739" spans="1:8" s="14" customFormat="1" ht="14.25" hidden="1" x14ac:dyDescent="0.25">
      <c r="A739" s="5" t="s">
        <v>1823</v>
      </c>
      <c r="B739" s="2" t="s">
        <v>961</v>
      </c>
      <c r="C739" s="3" t="s">
        <v>407</v>
      </c>
      <c r="D739" s="12">
        <f>IF(D713=0,0,SQRT(D712/D713))</f>
        <v>0</v>
      </c>
      <c r="E739" s="12">
        <f>IF(E713=0,0,SQRT(E712/E713))</f>
        <v>0</v>
      </c>
      <c r="F739" s="12">
        <f>IF(F713=0,0,SQRT(F712/F713))</f>
        <v>0</v>
      </c>
      <c r="G739" s="12">
        <f>IF(G713=0,0,SQRT(G712/G713))</f>
        <v>0</v>
      </c>
      <c r="H739" s="12">
        <f>IF(H713=0,0,SQRT(H712/H713))</f>
        <v>0</v>
      </c>
    </row>
    <row r="740" spans="1:8" s="17" customFormat="1" ht="14.25" hidden="1" x14ac:dyDescent="0.25">
      <c r="A740" s="145" t="s">
        <v>1827</v>
      </c>
      <c r="B740" s="14" t="s">
        <v>1816</v>
      </c>
      <c r="C740" s="14" t="s">
        <v>405</v>
      </c>
      <c r="D740" s="11">
        <f>IF(D$797&gt;=0.7,0.7*D$723,MAX(D$723*D$797,0.5*D$723))</f>
        <v>35</v>
      </c>
      <c r="E740" s="11">
        <f>IF(E$797&gt;=0.7,0.7*E$723,MAX(E$723*E$797,0.5*E$723))</f>
        <v>35</v>
      </c>
      <c r="F740" s="11" t="e">
        <f>IF(F$797&gt;=0.7,0.7*F$723,MAX(F$723*F$797,0.5*F$723))</f>
        <v>#DIV/0!</v>
      </c>
      <c r="G740" s="11" t="e">
        <f>IF(G$797&gt;=0.7,0.7*G$723,MAX(G$723*G$797,0.5*G$723))</f>
        <v>#DIV/0!</v>
      </c>
      <c r="H740" s="11" t="e">
        <f>IF(H$797&gt;=0.7,0.7*H$723,MAX(H$723*H$797,0.5*H$723))</f>
        <v>#DIV/0!</v>
      </c>
    </row>
    <row r="741" spans="1:8" ht="14.25" hidden="1" x14ac:dyDescent="0.25">
      <c r="A741" s="13" t="s">
        <v>837</v>
      </c>
      <c r="B741" s="14" t="s">
        <v>1817</v>
      </c>
      <c r="C741" s="86"/>
      <c r="D741" s="11">
        <f>IF(4/SQRT(D730/D696)&gt;0.76,0.76,IF(4/SQRT(D730/D696)&lt;0.35,0.35,4/SQRT(D730/D696)))</f>
        <v>0.59087318575390602</v>
      </c>
      <c r="E741" s="11">
        <f>IF(4/SQRT(E730/E696)&gt;0.76,0.76,IF(4/SQRT(E730/E696)&lt;0.35,0.35,4/SQRT(E730/E696)))</f>
        <v>0.59087318575390602</v>
      </c>
      <c r="F741" s="11" t="e">
        <f>IF(4/SQRT(F730/F696)&gt;0.76,0.76,IF(4/SQRT(F730/F696)&lt;0.35,0.35,4/SQRT(F730/F696)))</f>
        <v>#DIV/0!</v>
      </c>
      <c r="G741" s="11" t="e">
        <f>IF(4/SQRT(G730/G696)&gt;0.76,0.76,IF(4/SQRT(G730/G696)&lt;0.35,0.35,4/SQRT(G730/G696)))</f>
        <v>#DIV/0!</v>
      </c>
      <c r="H741" s="11" t="e">
        <f>IF(4/SQRT(H730/H696)&gt;0.76,0.76,IF(4/SQRT(H730/H696)&lt;0.35,0.35,4/SQRT(H730/H696)))</f>
        <v>#DIV/0!</v>
      </c>
    </row>
    <row r="742" spans="1:8" ht="14.25" hidden="1" x14ac:dyDescent="0.25">
      <c r="A742" s="5" t="s">
        <v>1191</v>
      </c>
      <c r="B742" s="2" t="s">
        <v>1806</v>
      </c>
      <c r="C742" s="3" t="s">
        <v>408</v>
      </c>
      <c r="D742" s="10">
        <f>D$723*D$718</f>
        <v>2494.2138481131019</v>
      </c>
      <c r="E742" s="10">
        <f>E$723*E$718</f>
        <v>2494.2138481131019</v>
      </c>
      <c r="F742" s="10" t="e">
        <f>F$723*F$718</f>
        <v>#DIV/0!</v>
      </c>
      <c r="G742" s="10" t="e">
        <f>G$723*G$718</f>
        <v>#DIV/0!</v>
      </c>
      <c r="H742" s="10" t="e">
        <f>H$723*H$718</f>
        <v>#DIV/0!</v>
      </c>
    </row>
    <row r="743" spans="1:8" ht="14.25" hidden="1" x14ac:dyDescent="0.25">
      <c r="A743" s="5" t="s">
        <v>1198</v>
      </c>
      <c r="B743" s="2" t="s">
        <v>1235</v>
      </c>
      <c r="C743" s="3" t="s">
        <v>408</v>
      </c>
      <c r="D743" s="10">
        <f>D$723*D$719</f>
        <v>3989.1686205468482</v>
      </c>
      <c r="E743" s="10">
        <f>E$723*E$719</f>
        <v>3989.1686205468482</v>
      </c>
      <c r="F743" s="10" t="e">
        <f>F$723*F$719</f>
        <v>#DIV/0!</v>
      </c>
      <c r="G743" s="10" t="e">
        <f>G$723*G$719</f>
        <v>#DIV/0!</v>
      </c>
      <c r="H743" s="10" t="e">
        <f>H$723*H$719</f>
        <v>#DIV/0!</v>
      </c>
    </row>
    <row r="744" spans="1:8" ht="14.25" hidden="1" x14ac:dyDescent="0.25">
      <c r="A744" s="5" t="s">
        <v>1812</v>
      </c>
      <c r="B744" s="2" t="s">
        <v>1813</v>
      </c>
      <c r="C744" s="3" t="s">
        <v>408</v>
      </c>
      <c r="D744" s="10">
        <f>MIN(D742,D743)</f>
        <v>2494.2138481131019</v>
      </c>
      <c r="E744" s="10">
        <f>MIN(E742,E743)</f>
        <v>2494.2138481131019</v>
      </c>
      <c r="F744" s="10" t="e">
        <f>MIN(F742,F743)</f>
        <v>#DIV/0!</v>
      </c>
      <c r="G744" s="10" t="e">
        <f>MIN(G742,G743)</f>
        <v>#DIV/0!</v>
      </c>
      <c r="H744" s="10" t="e">
        <f>MIN(H742,H743)</f>
        <v>#DIV/0!</v>
      </c>
    </row>
    <row r="745" spans="1:8" ht="14.25" hidden="1" x14ac:dyDescent="0.25">
      <c r="A745" s="5" t="s">
        <v>2177</v>
      </c>
      <c r="B745" s="2" t="s">
        <v>1804</v>
      </c>
      <c r="D745" s="10">
        <f>D$698/(2*D$697)</f>
        <v>8.1901840490797539</v>
      </c>
      <c r="E745" s="10">
        <f>E$698/(2*E$697)</f>
        <v>8.1901840490797539</v>
      </c>
      <c r="F745" s="10" t="e">
        <f>F$698/(2*F$697)</f>
        <v>#DIV/0!</v>
      </c>
      <c r="G745" s="10" t="e">
        <f>G$698/(2*G$697)</f>
        <v>#DIV/0!</v>
      </c>
      <c r="H745" s="10" t="e">
        <f>H$698/(2*H$697)</f>
        <v>#DIV/0!</v>
      </c>
    </row>
    <row r="746" spans="1:8" ht="14.25" hidden="1" x14ac:dyDescent="0.25">
      <c r="A746" s="5" t="s">
        <v>1848</v>
      </c>
      <c r="B746" s="2" t="s">
        <v>1807</v>
      </c>
      <c r="D746" s="10">
        <f>IF(D718=D719,D$730/D$696,D732/D696)</f>
        <v>58.523657465317079</v>
      </c>
      <c r="E746" s="10">
        <f>IF(E718=E719,E$730/E$696,E732/E696)</f>
        <v>58.523657465317079</v>
      </c>
      <c r="F746" s="10" t="e">
        <f>IF(F718=F719,F$730/F$696,F732/F696)</f>
        <v>#DIV/0!</v>
      </c>
      <c r="G746" s="10" t="e">
        <f>IF(G718=G719,G$730/G$696,G732/G696)</f>
        <v>#DIV/0!</v>
      </c>
      <c r="H746" s="10" t="e">
        <f>IF(H718=H719,H$730/H$696,H732/H696)</f>
        <v>#DIV/0!</v>
      </c>
    </row>
    <row r="747" spans="1:8" ht="14.25" hidden="1" x14ac:dyDescent="0.25">
      <c r="A747" s="5" t="s">
        <v>1790</v>
      </c>
      <c r="B747" s="2" t="s">
        <v>1802</v>
      </c>
      <c r="D747" s="10">
        <f>IF(D709=0,0.64*SQRT((D741*29000)/D723),0.56*SQRT(29000/D$723))</f>
        <v>13.486585928247372</v>
      </c>
      <c r="E747" s="10">
        <f>IF(E709=0,0.64*SQRT((E741*29000)/E723),0.56*SQRT(29000/E$723))</f>
        <v>13.486585928247372</v>
      </c>
      <c r="F747" s="10" t="e">
        <f>IF(F709=0,0.64*SQRT((F741*29000)/F723),0.56*SQRT(29000/F$723))</f>
        <v>#DIV/0!</v>
      </c>
      <c r="G747" s="10" t="e">
        <f>IF(G709=0,0.64*SQRT((G741*29000)/G723),0.56*SQRT(29000/G$723))</f>
        <v>#DIV/0!</v>
      </c>
      <c r="H747" s="10" t="e">
        <f>IF(H709=0,0.64*SQRT((H741*29000)/H723),0.56*SQRT(29000/H$723))</f>
        <v>#DIV/0!</v>
      </c>
    </row>
    <row r="748" spans="1:8" ht="14.25" hidden="1" x14ac:dyDescent="0.25">
      <c r="A748" s="5" t="s">
        <v>1795</v>
      </c>
      <c r="B748" s="2" t="s">
        <v>1803</v>
      </c>
      <c r="D748" s="10">
        <f>1.49*SQRT(29000/D$723)</f>
        <v>35.883951844801039</v>
      </c>
      <c r="E748" s="10">
        <f>1.49*SQRT(29000/E$723)</f>
        <v>35.883951844801039</v>
      </c>
      <c r="F748" s="10" t="e">
        <f>1.49*SQRT(29000/F$723)</f>
        <v>#DIV/0!</v>
      </c>
      <c r="G748" s="10" t="e">
        <f>1.49*SQRT(29000/G$723)</f>
        <v>#DIV/0!</v>
      </c>
      <c r="H748" s="10" t="e">
        <f>1.49*SQRT(29000/H$723)</f>
        <v>#DIV/0!</v>
      </c>
    </row>
    <row r="749" spans="1:8" ht="14.25" hidden="1" x14ac:dyDescent="0.25">
      <c r="A749" s="5" t="s">
        <v>1792</v>
      </c>
      <c r="B749" s="2" t="s">
        <v>1799</v>
      </c>
      <c r="D749" s="10">
        <f>0.38*SQRT(29000/D$723)</f>
        <v>9.1516118798821449</v>
      </c>
      <c r="E749" s="10">
        <f>0.38*SQRT(29000/E$723)</f>
        <v>9.1516118798821449</v>
      </c>
      <c r="F749" s="10" t="e">
        <f>0.38*SQRT(29000/F$723)</f>
        <v>#DIV/0!</v>
      </c>
      <c r="G749" s="10" t="e">
        <f>0.38*SQRT(29000/G$723)</f>
        <v>#DIV/0!</v>
      </c>
      <c r="H749" s="10" t="e">
        <f>0.38*SQRT(29000/H$723)</f>
        <v>#DIV/0!</v>
      </c>
    </row>
    <row r="750" spans="1:8" ht="14.25" hidden="1" x14ac:dyDescent="0.25">
      <c r="A750" s="5" t="s">
        <v>1791</v>
      </c>
      <c r="B750" s="2" t="s">
        <v>1798</v>
      </c>
      <c r="D750" s="10">
        <f>IF(D709=0,0.95*SQRT((D741*29000)/D740),SQRT(29000/D$723))</f>
        <v>24.083189157584592</v>
      </c>
      <c r="E750" s="10">
        <f>IF(E709=0,0.95*SQRT((E741*29000)/E740),SQRT(29000/E$723))</f>
        <v>24.083189157584592</v>
      </c>
      <c r="F750" s="10" t="e">
        <f>IF(F709=0,0.95*SQRT((F741*29000)/F740),SQRT(29000/F$723))</f>
        <v>#DIV/0!</v>
      </c>
      <c r="G750" s="10" t="e">
        <f>IF(G709=0,0.95*SQRT((G741*29000)/G740),SQRT(29000/G$723))</f>
        <v>#DIV/0!</v>
      </c>
      <c r="H750" s="10" t="e">
        <f>IF(H709=0,0.95*SQRT((H741*29000)/H740),SQRT(29000/H$723))</f>
        <v>#DIV/0!</v>
      </c>
    </row>
    <row r="751" spans="1:8" s="17" customFormat="1" ht="14.25" hidden="1" x14ac:dyDescent="0.25">
      <c r="A751" s="13" t="s">
        <v>1793</v>
      </c>
      <c r="B751" s="14" t="s">
        <v>1815</v>
      </c>
      <c r="C751" s="86"/>
      <c r="D751" s="11">
        <f>IF(D718=D719,3.76*SQRT(29000/D723),MIN(((D732/D733)*SQRT(29000/D723))/(((0.54*D723*D706)/D744)-0.09)^2,D752))</f>
        <v>48.296449228246409</v>
      </c>
      <c r="E751" s="11">
        <f>IF(E718=E719,3.76*SQRT(29000/E723),MIN(((E732/E733)*SQRT(29000/E723))/(((0.54*E723*E706)/E744)-0.09)^2,E752))</f>
        <v>48.296449228246409</v>
      </c>
      <c r="F751" s="11" t="e">
        <f>IF(F718=F719,3.76*SQRT(29000/F723),MIN(((F732/F733)*SQRT(29000/F723))/(((0.54*F723*F706)/F744)-0.09)^2,F752))</f>
        <v>#DIV/0!</v>
      </c>
      <c r="G751" s="11" t="e">
        <f>IF(G718=G719,3.76*SQRT(29000/G723),MIN(((G732/G733)*SQRT(29000/G723))/(((0.54*G723*G706)/G744)-0.09)^2,G752))</f>
        <v>#DIV/0!</v>
      </c>
      <c r="H751" s="11" t="e">
        <f>IF(H718=H719,3.76*SQRT(29000/H723),MIN(((H732/H733)*SQRT(29000/H723))/(((0.54*H723*H706)/H744)-0.09)^2,H752))</f>
        <v>#DIV/0!</v>
      </c>
    </row>
    <row r="752" spans="1:8" ht="14.25" hidden="1" x14ac:dyDescent="0.25">
      <c r="A752" s="5" t="s">
        <v>1794</v>
      </c>
      <c r="B752" s="2" t="s">
        <v>1801</v>
      </c>
      <c r="D752" s="10">
        <f>5.7*SQRT(29000/D$723)</f>
        <v>137.27417819823216</v>
      </c>
      <c r="E752" s="10">
        <f>5.7*SQRT(29000/E$723)</f>
        <v>137.27417819823216</v>
      </c>
      <c r="F752" s="10" t="e">
        <f>5.7*SQRT(29000/F$723)</f>
        <v>#DIV/0!</v>
      </c>
      <c r="G752" s="10" t="e">
        <f>5.7*SQRT(29000/G$723)</f>
        <v>#DIV/0!</v>
      </c>
      <c r="H752" s="10" t="e">
        <f>5.7*SQRT(29000/H$723)</f>
        <v>#DIV/0!</v>
      </c>
    </row>
    <row r="753" spans="1:8" ht="14.25" x14ac:dyDescent="0.25">
      <c r="A753" s="5" t="s">
        <v>1872</v>
      </c>
      <c r="B753" s="2" t="s">
        <v>919</v>
      </c>
      <c r="C753" s="3" t="s">
        <v>403</v>
      </c>
      <c r="D753" s="6">
        <f>D801/12</f>
        <v>4.8194377116578337</v>
      </c>
      <c r="E753" s="6">
        <f>E801/12</f>
        <v>4.8194377116578337</v>
      </c>
      <c r="F753" s="6" t="e">
        <f>F801/12</f>
        <v>#DIV/0!</v>
      </c>
      <c r="G753" s="6" t="e">
        <f>G801/12</f>
        <v>#DIV/0!</v>
      </c>
      <c r="H753" s="6" t="e">
        <f>H801/12</f>
        <v>#DIV/0!</v>
      </c>
    </row>
    <row r="754" spans="1:8" ht="14.25" x14ac:dyDescent="0.25">
      <c r="A754" s="5" t="s">
        <v>1873</v>
      </c>
      <c r="B754" s="2" t="s">
        <v>920</v>
      </c>
      <c r="C754" s="3" t="s">
        <v>403</v>
      </c>
      <c r="D754" s="6">
        <f t="shared" ref="D754:E754" si="433">IF(D758="Slender",D826/12,D802/12)</f>
        <v>20.660053596904483</v>
      </c>
      <c r="E754" s="6">
        <f t="shared" si="433"/>
        <v>20.660053596904483</v>
      </c>
      <c r="F754" s="6" t="e">
        <f t="shared" ref="F754:G754" si="434">IF(F758="Slender",F826/12,F802/12)</f>
        <v>#DIV/0!</v>
      </c>
      <c r="G754" s="6" t="e">
        <f t="shared" si="434"/>
        <v>#DIV/0!</v>
      </c>
      <c r="H754" s="6" t="e">
        <f t="shared" ref="H754" si="435">IF(H758="Slender",H826/12,H802/12)</f>
        <v>#DIV/0!</v>
      </c>
    </row>
    <row r="755" spans="1:8" x14ac:dyDescent="0.2">
      <c r="A755" s="5" t="s">
        <v>1909</v>
      </c>
      <c r="D755" s="113" t="str">
        <f>IF(D745&lt;D747,"Nonslender","Slender")</f>
        <v>Nonslender</v>
      </c>
      <c r="E755" s="113" t="str">
        <f>IF(E745&lt;E747,"Nonslender","Slender")</f>
        <v>Nonslender</v>
      </c>
      <c r="F755" s="113" t="e">
        <f>IF(F745&lt;F747,"Nonslender","Slender")</f>
        <v>#DIV/0!</v>
      </c>
      <c r="G755" s="113" t="e">
        <f>IF(G745&lt;G747,"Nonslender","Slender")</f>
        <v>#DIV/0!</v>
      </c>
      <c r="H755" s="113" t="e">
        <f>IF(H745&lt;H747,"Nonslender","Slender")</f>
        <v>#DIV/0!</v>
      </c>
    </row>
    <row r="756" spans="1:8" x14ac:dyDescent="0.2">
      <c r="A756" s="5" t="s">
        <v>1907</v>
      </c>
      <c r="D756" s="113" t="str">
        <f>IF(D730/D696&lt;D748,"Nonslender","Slender")</f>
        <v>Slender</v>
      </c>
      <c r="E756" s="113" t="str">
        <f>IF(E730/E696&lt;E748,"Nonslender","Slender")</f>
        <v>Slender</v>
      </c>
      <c r="F756" s="113" t="e">
        <f>IF(F730/F696&lt;F748,"Nonslender","Slender")</f>
        <v>#DIV/0!</v>
      </c>
      <c r="G756" s="113" t="e">
        <f>IF(G730/G696&lt;G748,"Nonslender","Slender")</f>
        <v>#DIV/0!</v>
      </c>
      <c r="H756" s="113" t="e">
        <f>IF(H730/H696&lt;H748,"Nonslender","Slender")</f>
        <v>#DIV/0!</v>
      </c>
    </row>
    <row r="757" spans="1:8" x14ac:dyDescent="0.2">
      <c r="A757" s="5" t="s">
        <v>1906</v>
      </c>
      <c r="D757" s="113" t="str">
        <f>IF(D745&lt;D749,"Compact",IF(D745&gt;D750,"Slender","Noncompact"))</f>
        <v>Compact</v>
      </c>
      <c r="E757" s="113" t="str">
        <f>IF(E745&lt;E749,"Compact",IF(E745&gt;E750,"Slender","Noncompact"))</f>
        <v>Compact</v>
      </c>
      <c r="F757" s="113" t="e">
        <f>IF(F745&lt;F749,"Compact",IF(F745&gt;F750,"Slender","Noncompact"))</f>
        <v>#DIV/0!</v>
      </c>
      <c r="G757" s="113" t="e">
        <f>IF(G745&lt;G749,"Compact",IF(G745&gt;G750,"Slender","Noncompact"))</f>
        <v>#DIV/0!</v>
      </c>
      <c r="H757" s="113" t="e">
        <f>IF(H745&lt;H749,"Compact",IF(H745&gt;H750,"Slender","Noncompact"))</f>
        <v>#DIV/0!</v>
      </c>
    </row>
    <row r="758" spans="1:8" x14ac:dyDescent="0.2">
      <c r="A758" s="5" t="s">
        <v>1905</v>
      </c>
      <c r="D758" s="113" t="str">
        <f>IF(D746&lt;D751,"Compact",IF(D746&gt;D752,"Slender","Noncompact"))</f>
        <v>Noncompact</v>
      </c>
      <c r="E758" s="113" t="str">
        <f>IF(E746&lt;E751,"Compact",IF(E746&gt;E752,"Slender","Noncompact"))</f>
        <v>Noncompact</v>
      </c>
      <c r="F758" s="113" t="e">
        <f>IF(F746&lt;F751,"Compact",IF(F746&gt;F752,"Slender","Noncompact"))</f>
        <v>#DIV/0!</v>
      </c>
      <c r="G758" s="113" t="e">
        <f>IF(G746&lt;G751,"Compact",IF(G746&gt;G752,"Slender","Noncompact"))</f>
        <v>#DIV/0!</v>
      </c>
      <c r="H758" s="113" t="e">
        <f>IF(H746&lt;H751,"Compact",IF(H746&gt;H752,"Slender","Noncompact"))</f>
        <v>#DIV/0!</v>
      </c>
    </row>
    <row r="759" spans="1:8" ht="12.75" hidden="1" customHeight="1" x14ac:dyDescent="0.2">
      <c r="A759" s="4"/>
      <c r="B759" s="4"/>
      <c r="C759" s="4"/>
      <c r="D759" s="4"/>
      <c r="E759" s="4"/>
      <c r="F759" s="4"/>
      <c r="G759" s="4"/>
      <c r="H759" s="4"/>
    </row>
    <row r="760" spans="1:8" ht="12.75" hidden="1" customHeight="1" x14ac:dyDescent="0.2">
      <c r="A760" s="31" t="s">
        <v>862</v>
      </c>
      <c r="D760" s="10"/>
      <c r="E760" s="10"/>
      <c r="F760" s="10"/>
      <c r="G760" s="10"/>
      <c r="H760" s="10"/>
    </row>
    <row r="761" spans="1:8" ht="12.75" hidden="1" customHeight="1" x14ac:dyDescent="0.2">
      <c r="A761" s="16" t="s">
        <v>1010</v>
      </c>
      <c r="B761" s="4"/>
      <c r="C761" s="4"/>
      <c r="D761" s="4"/>
      <c r="E761" s="4"/>
      <c r="F761" s="4"/>
      <c r="G761" s="4"/>
      <c r="H761" s="4"/>
    </row>
    <row r="762" spans="1:8" ht="14.25" hidden="1" customHeight="1" x14ac:dyDescent="0.25">
      <c r="A762" s="5" t="s">
        <v>863</v>
      </c>
      <c r="B762" s="2" t="s">
        <v>1138</v>
      </c>
      <c r="C762" s="3" t="s">
        <v>407</v>
      </c>
      <c r="D762" s="28">
        <f>((1728*5*(D$48+IF(D$8="ASCE 7-16",D$49,IF(D$8="ASCE 7-22",0.7*D$49))+D$50+0.6*D$51)*D$13^4)/(384*29000*D$704))</f>
        <v>0.82707919890656711</v>
      </c>
      <c r="E762" s="28">
        <f>((1728*5*(E$48+IF(E$8="ASCE 7-16",E$49,IF(E$8="ASCE 7-22",0.7*E$49))+E$50+0.6*E$51)*E$13^4)/(384*29000*E$704))</f>
        <v>0.82707919890656711</v>
      </c>
      <c r="F762" s="28" t="e">
        <f>((1728*5*(F$48+IF(F$8="ASCE 7-16",F$49,IF(F$8="ASCE 7-22",0.7*F$49))+F$50+0.6*F$51)*F$13^4)/(384*29000*F$704))</f>
        <v>#DIV/0!</v>
      </c>
      <c r="G762" s="28" t="e">
        <f>((1728*5*(G$48+IF(G$8="ASCE 7-16",G$49,IF(G$8="ASCE 7-22",0.7*G$49))+G$50+0.6*G$51)*G$13^4)/(384*29000*G$704))</f>
        <v>#DIV/0!</v>
      </c>
      <c r="H762" s="28" t="e">
        <f>((1728*5*(H$48+IF(H$8="ASCE 7-16",H$49,IF(H$8="ASCE 7-22",0.7*H$49))+H$50+0.6*H$51)*H$13^4)/(384*29000*H$704))</f>
        <v>#DIV/0!</v>
      </c>
    </row>
    <row r="763" spans="1:8" ht="14.25" hidden="1" customHeight="1" x14ac:dyDescent="0.25">
      <c r="A763" s="5" t="s">
        <v>870</v>
      </c>
      <c r="B763" s="2" t="s">
        <v>1139</v>
      </c>
      <c r="C763" s="3" t="s">
        <v>407</v>
      </c>
      <c r="D763" s="28">
        <f>((1728*5*(D$47+D$48+IF(D$8="ASCE 7-16",D$49,IF(D$8="ASCE 7-22",0.7*D$49))+D$50+0.6*D$51)*D$13^4)/(384*29000*D$704))</f>
        <v>0.96492573205766152</v>
      </c>
      <c r="E763" s="28">
        <f>((1728*5*(E$47+E$48+IF(E$8="ASCE 7-16",E$49,IF(E$8="ASCE 7-22",0.7*E$49))+E$50+0.6*E$51)*E$13^4)/(384*29000*E$704))</f>
        <v>0.96492573205766152</v>
      </c>
      <c r="F763" s="28" t="e">
        <f>((1728*5*(F$47+F$48+IF(F$8="ASCE 7-16",F$49,IF(F$8="ASCE 7-22",0.7*F$49))+F$50+0.6*F$51)*F$13^4)/(384*29000*F$704))</f>
        <v>#DIV/0!</v>
      </c>
      <c r="G763" s="28" t="e">
        <f>((1728*5*(G$47+G$48+IF(G$8="ASCE 7-16",G$49,IF(G$8="ASCE 7-22",0.7*G$49))+G$50+0.6*G$51)*G$13^4)/(384*29000*G$704))</f>
        <v>#DIV/0!</v>
      </c>
      <c r="H763" s="28" t="e">
        <f>((1728*5*(H$47+H$48+IF(H$8="ASCE 7-16",H$49,IF(H$8="ASCE 7-22",0.7*H$49))+H$50+0.6*H$51)*H$13^4)/(384*29000*H$704))</f>
        <v>#DIV/0!</v>
      </c>
    </row>
    <row r="764" spans="1:8" ht="12.75" hidden="1" customHeight="1" x14ac:dyDescent="0.2">
      <c r="A764" s="16" t="s">
        <v>1011</v>
      </c>
      <c r="D764" s="10"/>
      <c r="E764" s="10"/>
      <c r="F764" s="10"/>
      <c r="G764" s="10"/>
      <c r="H764" s="10"/>
    </row>
    <row r="765" spans="1:8" ht="14.25" hidden="1" customHeight="1" x14ac:dyDescent="0.25">
      <c r="A765" s="5" t="s">
        <v>863</v>
      </c>
      <c r="B765" s="2" t="s">
        <v>1138</v>
      </c>
      <c r="C765" s="3" t="s">
        <v>407</v>
      </c>
      <c r="D765" s="28">
        <f>((1728*(D$65+IF(D$8="ASCE 7-16",D$66,IF(D$8="ASCE 7-22",0.7*D$66))+D$67+0.6*D$68)*D$13^3)/(48*29000*D$704))</f>
        <v>0</v>
      </c>
      <c r="E765" s="28">
        <f>((1728*(E$65+IF(E$8="ASCE 7-16",E$66,IF(E$8="ASCE 7-22",0.7*E$66))+E$67+0.6*E$68)*E$13^3)/(48*29000*E$704))</f>
        <v>0</v>
      </c>
      <c r="F765" s="28" t="e">
        <f>((1728*(F$65+IF(F$8="ASCE 7-16",F$66,IF(F$8="ASCE 7-22",0.7*F$66))+F$67+0.6*F$68)*F$13^3)/(48*29000*F$704))</f>
        <v>#DIV/0!</v>
      </c>
      <c r="G765" s="28" t="e">
        <f>((1728*(G$65+IF(G$8="ASCE 7-16",G$66,IF(G$8="ASCE 7-22",0.7*G$66))+G$67+0.6*G$68)*G$13^3)/(48*29000*G$704))</f>
        <v>#DIV/0!</v>
      </c>
      <c r="H765" s="28" t="e">
        <f>((1728*(H$65+IF(H$8="ASCE 7-16",H$66,IF(H$8="ASCE 7-22",0.7*H$66))+H$67+0.6*H$68)*H$13^3)/(48*29000*H$704))</f>
        <v>#DIV/0!</v>
      </c>
    </row>
    <row r="766" spans="1:8" ht="14.25" hidden="1" customHeight="1" x14ac:dyDescent="0.25">
      <c r="A766" s="5" t="s">
        <v>870</v>
      </c>
      <c r="B766" s="2" t="s">
        <v>1139</v>
      </c>
      <c r="C766" s="3" t="s">
        <v>407</v>
      </c>
      <c r="D766" s="28">
        <f>((1728*(D$64+D$65+IF(D$8="ASCE 7-16",D$66,IF(D$8="ASCE 7-22",0.7*D$66))+D$67+0.6*D$68)*D$13^3)/(48*29000*D$704))</f>
        <v>0</v>
      </c>
      <c r="E766" s="28">
        <f>((1728*(E$64+E$65+IF(E$8="ASCE 7-16",E$66,IF(E$8="ASCE 7-22",0.7*E$66))+E$67+0.6*E$68)*E$13^3)/(48*29000*E$704))</f>
        <v>0</v>
      </c>
      <c r="F766" s="28" t="e">
        <f>((1728*(F$64+F$65+IF(F$8="ASCE 7-16",F$66,IF(F$8="ASCE 7-22",0.7*F$66))+F$67+0.6*F$68)*F$13^3)/(48*29000*F$704))</f>
        <v>#DIV/0!</v>
      </c>
      <c r="G766" s="28" t="e">
        <f>((1728*(G$64+G$65+IF(G$8="ASCE 7-16",G$66,IF(G$8="ASCE 7-22",0.7*G$66))+G$67+0.6*G$68)*G$13^3)/(48*29000*G$704))</f>
        <v>#DIV/0!</v>
      </c>
      <c r="H766" s="28" t="e">
        <f>((1728*(H$64+H$65+IF(H$8="ASCE 7-16",H$66,IF(H$8="ASCE 7-22",0.7*H$66))+H$67+0.6*H$68)*H$13^3)/(48*29000*H$704))</f>
        <v>#DIV/0!</v>
      </c>
    </row>
    <row r="767" spans="1:8" ht="12.75" hidden="1" customHeight="1" x14ac:dyDescent="0.2">
      <c r="A767" s="16" t="s">
        <v>1012</v>
      </c>
      <c r="B767" s="4"/>
      <c r="C767" s="4"/>
      <c r="D767" s="10"/>
      <c r="E767" s="10"/>
      <c r="F767" s="10"/>
      <c r="G767" s="10"/>
      <c r="H767" s="10"/>
    </row>
    <row r="768" spans="1:8" ht="14.25" hidden="1" customHeight="1" x14ac:dyDescent="0.25">
      <c r="A768" s="5" t="s">
        <v>863</v>
      </c>
      <c r="B768" s="2" t="s">
        <v>1138</v>
      </c>
      <c r="C768" s="3" t="s">
        <v>407</v>
      </c>
      <c r="D768" s="28">
        <f>((1728*(D$83+IF(D$8="ASCE 7-16",D$84,IF(D$8="ASCE 7-22",0.7*D$84))+D$85+0.6*D$86)*D$81)/(24*29000*D$704))*((3*D$13^2)-(4*D$81^2))</f>
        <v>0</v>
      </c>
      <c r="E768" s="28">
        <f>((1728*(E$83+IF(E$8="ASCE 7-16",E$84,IF(E$8="ASCE 7-22",0.7*E$84))+E$85+0.6*E$86)*E$81)/(24*29000*E$704))*((3*E$13^2)-(4*E$81^2))</f>
        <v>0</v>
      </c>
      <c r="F768" s="28" t="e">
        <f>((1728*(F$83+IF(F$8="ASCE 7-16",F$84,IF(F$8="ASCE 7-22",0.7*F$84))+F$85+0.6*F$86)*F$81)/(24*29000*F$704))*((3*F$13^2)-(4*F$81^2))</f>
        <v>#DIV/0!</v>
      </c>
      <c r="G768" s="28" t="e">
        <f>((1728*(G$83+IF(G$8="ASCE 7-16",G$84,IF(G$8="ASCE 7-22",0.7*G$84))+G$85+0.6*G$86)*G$81)/(24*29000*G$704))*((3*G$13^2)-(4*G$81^2))</f>
        <v>#DIV/0!</v>
      </c>
      <c r="H768" s="28" t="e">
        <f>((1728*(H$83+IF(H$8="ASCE 7-16",H$84,IF(H$8="ASCE 7-22",0.7*H$84))+H$85+0.6*H$86)*H$81)/(24*29000*H$704))*((3*H$13^2)-(4*H$81^2))</f>
        <v>#DIV/0!</v>
      </c>
    </row>
    <row r="769" spans="1:8" ht="14.25" hidden="1" customHeight="1" x14ac:dyDescent="0.25">
      <c r="A769" s="5" t="s">
        <v>870</v>
      </c>
      <c r="B769" s="2" t="s">
        <v>1139</v>
      </c>
      <c r="C769" s="3" t="s">
        <v>407</v>
      </c>
      <c r="D769" s="28">
        <f>((1728*(D$82+D$83+IF(D$8="ASCE 7-16",D$84,IF(D$8="ASCE 7-22",0.7*D$84))+D$85+0.6*D$86)*D$81)/(24*29000*D$704))*((3*D$13^2)-(4*D$81^2))</f>
        <v>0</v>
      </c>
      <c r="E769" s="28">
        <f>((1728*(E$82+E$83+IF(E$8="ASCE 7-16",E$84,IF(E$8="ASCE 7-22",0.7*E$84))+E$85+0.6*E$86)*E$81)/(24*29000*E$704))*((3*E$13^2)-(4*E$81^2))</f>
        <v>0</v>
      </c>
      <c r="F769" s="28" t="e">
        <f>((1728*(F$82+F$83+IF(F$8="ASCE 7-16",F$84,IF(F$8="ASCE 7-22",0.7*F$84))+F$85+0.6*F$86)*F$81)/(24*29000*F$704))*((3*F$13^2)-(4*F$81^2))</f>
        <v>#DIV/0!</v>
      </c>
      <c r="G769" s="28" t="e">
        <f>((1728*(G$82+G$83+IF(G$8="ASCE 7-16",G$84,IF(G$8="ASCE 7-22",0.7*G$84))+G$85+0.6*G$86)*G$81)/(24*29000*G$704))*((3*G$13^2)-(4*G$81^2))</f>
        <v>#DIV/0!</v>
      </c>
      <c r="H769" s="28" t="e">
        <f>((1728*(H$82+H$83+IF(H$8="ASCE 7-16",H$84,IF(H$8="ASCE 7-22",0.7*H$84))+H$85+0.6*H$86)*H$81)/(24*29000*H$704))*((3*H$13^2)-(4*H$81^2))</f>
        <v>#DIV/0!</v>
      </c>
    </row>
    <row r="770" spans="1:8" ht="12.75" hidden="1" customHeight="1" x14ac:dyDescent="0.2">
      <c r="A770" s="16" t="s">
        <v>1618</v>
      </c>
      <c r="D770" s="10"/>
      <c r="E770" s="10"/>
      <c r="F770" s="10"/>
      <c r="G770" s="10"/>
      <c r="H770" s="10"/>
    </row>
    <row r="771" spans="1:8" ht="14.25" x14ac:dyDescent="0.25">
      <c r="A771" s="5" t="s">
        <v>1145</v>
      </c>
      <c r="B771" s="2" t="s">
        <v>1138</v>
      </c>
      <c r="C771" s="3" t="s">
        <v>407</v>
      </c>
      <c r="D771" s="114">
        <f t="shared" ref="D771:F772" si="436">D762+D765+D768</f>
        <v>0.82707919890656711</v>
      </c>
      <c r="E771" s="114">
        <f t="shared" si="436"/>
        <v>0.82707919890656711</v>
      </c>
      <c r="F771" s="114" t="e">
        <f t="shared" si="436"/>
        <v>#DIV/0!</v>
      </c>
      <c r="G771" s="114" t="e">
        <f t="shared" ref="G771:H771" si="437">G762+G765+G768</f>
        <v>#DIV/0!</v>
      </c>
      <c r="H771" s="114" t="e">
        <f t="shared" si="437"/>
        <v>#DIV/0!</v>
      </c>
    </row>
    <row r="772" spans="1:8" ht="14.25" x14ac:dyDescent="0.25">
      <c r="A772" s="5" t="s">
        <v>1144</v>
      </c>
      <c r="B772" s="2" t="s">
        <v>1139</v>
      </c>
      <c r="C772" s="3" t="s">
        <v>407</v>
      </c>
      <c r="D772" s="115">
        <f t="shared" si="436"/>
        <v>0.96492573205766152</v>
      </c>
      <c r="E772" s="115">
        <f t="shared" si="436"/>
        <v>0.96492573205766152</v>
      </c>
      <c r="F772" s="115" t="e">
        <f t="shared" si="436"/>
        <v>#DIV/0!</v>
      </c>
      <c r="G772" s="115" t="e">
        <f t="shared" ref="G772:H772" si="438">G763+G766+G769</f>
        <v>#DIV/0!</v>
      </c>
      <c r="H772" s="115" t="e">
        <f t="shared" si="438"/>
        <v>#DIV/0!</v>
      </c>
    </row>
    <row r="773" spans="1:8" x14ac:dyDescent="0.2">
      <c r="A773" s="5" t="s">
        <v>1651</v>
      </c>
      <c r="B773" s="2" t="s">
        <v>1915</v>
      </c>
      <c r="C773" s="4"/>
      <c r="D773" s="116">
        <f>(D$13*12)/D$771</f>
        <v>348.21332755163945</v>
      </c>
      <c r="E773" s="116">
        <f>(E$13*12)/E$771</f>
        <v>348.21332755163945</v>
      </c>
      <c r="F773" s="116" t="e">
        <f>(F$13*12)/F$771</f>
        <v>#DIV/0!</v>
      </c>
      <c r="G773" s="116" t="e">
        <f>(G$13*12)/G$771</f>
        <v>#DIV/0!</v>
      </c>
      <c r="H773" s="116" t="e">
        <f>(H$13*12)/H$771</f>
        <v>#DIV/0!</v>
      </c>
    </row>
    <row r="774" spans="1:8" x14ac:dyDescent="0.2">
      <c r="A774" s="5" t="s">
        <v>1652</v>
      </c>
      <c r="B774" s="2" t="s">
        <v>1915</v>
      </c>
      <c r="C774" s="4"/>
      <c r="D774" s="116">
        <f>(D$13*12)/D$772</f>
        <v>298.46856647283386</v>
      </c>
      <c r="E774" s="116">
        <f>(E$13*12)/E$772</f>
        <v>298.46856647283386</v>
      </c>
      <c r="F774" s="116" t="e">
        <f>(F$13*12)/F$772</f>
        <v>#DIV/0!</v>
      </c>
      <c r="G774" s="116" t="e">
        <f>(G$13*12)/G$772</f>
        <v>#DIV/0!</v>
      </c>
      <c r="H774" s="116" t="e">
        <f>(H$13*12)/H$772</f>
        <v>#DIV/0!</v>
      </c>
    </row>
    <row r="775" spans="1:8" hidden="1" x14ac:dyDescent="0.2">
      <c r="D775" s="10"/>
      <c r="E775" s="10"/>
      <c r="F775" s="10"/>
      <c r="G775" s="10"/>
      <c r="H775" s="10"/>
    </row>
    <row r="776" spans="1:8" x14ac:dyDescent="0.2">
      <c r="A776" s="5" t="s">
        <v>2158</v>
      </c>
      <c r="B776" s="2" t="str">
        <f>IF(D$7="ASD","Vn-x/Ω",IF(D$7="LRFD","φVn-x"))</f>
        <v>φVn-x</v>
      </c>
      <c r="C776" s="3" t="s">
        <v>419</v>
      </c>
      <c r="D776" s="24">
        <f>IF(D$7="ASD",D$780/D$781,IF(D$7="LRFD",D$780*D$782))</f>
        <v>80.673839999999998</v>
      </c>
      <c r="E776" s="24">
        <f>IF(E$7="ASD",E$780/E$781,IF(E$7="LRFD",E$780*E$782))</f>
        <v>53.782559999999997</v>
      </c>
      <c r="F776" s="24" t="e">
        <f>IF(F$7="ASD",F$780/F$781,IF(F$7="LRFD",F$780*F$782))</f>
        <v>#DIV/0!</v>
      </c>
      <c r="G776" s="24" t="e">
        <f>IF(G$7="ASD",G$780/G$781,IF(G$7="LRFD",G$780*G$782))</f>
        <v>#DIV/0!</v>
      </c>
      <c r="H776" s="24" t="e">
        <f>IF(H$7="ASD",H$780/H$781,IF(H$7="LRFD",H$780*H$782))</f>
        <v>#DIV/0!</v>
      </c>
    </row>
    <row r="777" spans="1:8" hidden="1" x14ac:dyDescent="0.2">
      <c r="A777" s="5" t="s">
        <v>848</v>
      </c>
      <c r="D777" s="10">
        <f>2.24*SQRT(29000/D$723)</f>
        <v>53.946343712989488</v>
      </c>
      <c r="E777" s="10">
        <f>2.24*SQRT(29000/E$723)</f>
        <v>53.946343712989488</v>
      </c>
      <c r="F777" s="10" t="e">
        <f>2.24*SQRT(29000/F$723)</f>
        <v>#DIV/0!</v>
      </c>
      <c r="G777" s="10" t="e">
        <f>2.24*SQRT(29000/G$723)</f>
        <v>#DIV/0!</v>
      </c>
      <c r="H777" s="10" t="e">
        <f>2.24*SQRT(29000/H$723)</f>
        <v>#DIV/0!</v>
      </c>
    </row>
    <row r="778" spans="1:8" hidden="1" x14ac:dyDescent="0.2">
      <c r="A778" s="5" t="s">
        <v>849</v>
      </c>
      <c r="D778" s="10">
        <f>1.1*SQRT((5.34*29000)/D$723)</f>
        <v>61.217742526166383</v>
      </c>
      <c r="E778" s="10">
        <f>1.1*SQRT((5.34*29000)/E$723)</f>
        <v>61.217742526166383</v>
      </c>
      <c r="F778" s="10" t="e">
        <f>1.1*SQRT((5.34*29000)/F$723)</f>
        <v>#DIV/0!</v>
      </c>
      <c r="G778" s="10" t="e">
        <f>1.1*SQRT((5.34*29000)/G$723)</f>
        <v>#DIV/0!</v>
      </c>
      <c r="H778" s="10" t="e">
        <f>1.1*SQRT((5.34*29000)/H$723)</f>
        <v>#DIV/0!</v>
      </c>
    </row>
    <row r="779" spans="1:8" ht="14.25" hidden="1" x14ac:dyDescent="0.25">
      <c r="A779" s="5" t="s">
        <v>2161</v>
      </c>
      <c r="B779" s="2" t="s">
        <v>918</v>
      </c>
      <c r="C779" s="3" t="s">
        <v>2163</v>
      </c>
      <c r="D779" s="12">
        <f>IF(D709&gt;0,IF((D730/D696)&lt;=D777,1,D778/(D730/D696)),IF((D730/D696)&lt;=D778,1,D778/(D730/D696)))</f>
        <v>1</v>
      </c>
      <c r="E779" s="12">
        <f>IF(E709&gt;0,IF((E730/E696)&lt;=E777,1,E778/(E730/E696)),IF((E730/E696)&lt;=E778,1,E778/(E730/E696)))</f>
        <v>1</v>
      </c>
      <c r="F779" s="12" t="e">
        <f>IF(F709&gt;0,IF((F730/F696)&lt;=F777,1,F778/(F730/F696)),IF((F730/F696)&lt;=F778,1,F778/(F730/F696)))</f>
        <v>#DIV/0!</v>
      </c>
      <c r="G779" s="12" t="e">
        <f>IF(G709&gt;0,IF((G730/G696)&lt;=G777,1,G778/(G730/G696)),IF((G730/G696)&lt;=G778,1,G778/(G730/G696)))</f>
        <v>#DIV/0!</v>
      </c>
      <c r="H779" s="12" t="e">
        <f>IF(H709&gt;0,IF((H730/H696)&lt;=H777,1,H778/(H730/H696)),IF((H730/H696)&lt;=H778,1,H778/(H730/H696)))</f>
        <v>#DIV/0!</v>
      </c>
    </row>
    <row r="780" spans="1:8" ht="14.25" hidden="1" x14ac:dyDescent="0.25">
      <c r="A780" s="5" t="s">
        <v>2159</v>
      </c>
      <c r="B780" s="2" t="s">
        <v>2165</v>
      </c>
      <c r="D780" s="6">
        <f>0.6*D$723*IF(D716=0,D695,D$716)*D$696*D$779</f>
        <v>80.673839999999998</v>
      </c>
      <c r="E780" s="6">
        <f>0.6*E$723*IF(E716=0,E695,E$716)*E$696*E$779</f>
        <v>80.673839999999998</v>
      </c>
      <c r="F780" s="6" t="e">
        <f>0.6*F$723*IF(F716=0,F695,F$716)*F$696*F$779</f>
        <v>#DIV/0!</v>
      </c>
      <c r="G780" s="6" t="e">
        <f>0.6*G$723*IF(G716=0,G695,G$716)*G$696*G$779</f>
        <v>#DIV/0!</v>
      </c>
      <c r="H780" s="6" t="e">
        <f>0.6*H$723*IF(H716=0,H695,H$716)*H$696*H$779</f>
        <v>#DIV/0!</v>
      </c>
    </row>
    <row r="781" spans="1:8" hidden="1" x14ac:dyDescent="0.2">
      <c r="A781" s="5" t="s">
        <v>1121</v>
      </c>
      <c r="B781" s="2" t="s">
        <v>850</v>
      </c>
      <c r="D781" s="10">
        <f>IF(D$709=0,1.67,IF((D$730/D$696)&lt;D$777,1.5,1.67))</f>
        <v>1.5</v>
      </c>
      <c r="E781" s="10">
        <f t="shared" ref="E781:H781" si="439">IF(E$709=0,1.67,IF((E$730/E$696)&lt;E$777,1.5,1.67))</f>
        <v>1.5</v>
      </c>
      <c r="F781" s="10" t="e">
        <f t="shared" si="439"/>
        <v>#DIV/0!</v>
      </c>
      <c r="G781" s="10" t="e">
        <f t="shared" si="439"/>
        <v>#DIV/0!</v>
      </c>
      <c r="H781" s="10" t="e">
        <f t="shared" si="439"/>
        <v>#DIV/0!</v>
      </c>
    </row>
    <row r="782" spans="1:8" hidden="1" x14ac:dyDescent="0.2">
      <c r="A782" s="5" t="s">
        <v>1122</v>
      </c>
      <c r="B782" s="34" t="s">
        <v>1120</v>
      </c>
      <c r="D782" s="10">
        <f>IF(D$709=0,0.9,IF((D$730/D$696)&lt;D$777,1,0.9))</f>
        <v>1</v>
      </c>
      <c r="E782" s="10">
        <f>IF(E$709=0,0.9,IF((E$730/E$696)&lt;E$777,1,0.9))</f>
        <v>1</v>
      </c>
      <c r="F782" s="10" t="e">
        <f>IF(F$709=0,0.9,IF((F$730/F$696)&lt;F$777,1,0.9))</f>
        <v>#DIV/0!</v>
      </c>
      <c r="G782" s="10" t="e">
        <f>IF(G$709=0,0.9,IF((G$730/G$696)&lt;G$777,1,0.9))</f>
        <v>#DIV/0!</v>
      </c>
      <c r="H782" s="10" t="e">
        <f>IF(H$709=0,0.9,IF((H$730/H$696)&lt;H$777,1,0.9))</f>
        <v>#DIV/0!</v>
      </c>
    </row>
    <row r="783" spans="1:8" hidden="1" x14ac:dyDescent="0.2"/>
    <row r="784" spans="1:8" x14ac:dyDescent="0.2">
      <c r="A784" s="5" t="s">
        <v>2157</v>
      </c>
      <c r="B784" s="2" t="str">
        <f>IF(D$7="ASD","Vn-y/Ω",IF(D$7="LRFD","φVn-y"))</f>
        <v>φVn-y</v>
      </c>
      <c r="C784" s="3" t="s">
        <v>419</v>
      </c>
      <c r="D784" s="24">
        <f>IF(D$7="ASD",D791/1.67,IF(D$7="LRFD",0.9*D791))</f>
        <v>324.18603000000002</v>
      </c>
      <c r="E784" s="24">
        <f>IF(E$7="ASD",E791/1.67,IF(E$7="LRFD",0.9*E791))</f>
        <v>215.69263473053894</v>
      </c>
      <c r="F784" s="24" t="e">
        <f>IF(F$7="ASD",F791/1.67,IF(F$7="LRFD",0.9*F791))</f>
        <v>#DIV/0!</v>
      </c>
      <c r="G784" s="24" t="e">
        <f>IF(G$7="ASD",G791/1.67,IF(G$7="LRFD",0.9*G791))</f>
        <v>#DIV/0!</v>
      </c>
      <c r="H784" s="24" t="e">
        <f>IF(H$7="ASD",H791/1.67,IF(H$7="LRFD",0.9*H791))</f>
        <v>#DIV/0!</v>
      </c>
    </row>
    <row r="785" spans="1:8" ht="14.25" hidden="1" x14ac:dyDescent="0.25">
      <c r="A785" s="5" t="s">
        <v>1850</v>
      </c>
      <c r="B785" s="2" t="s">
        <v>2175</v>
      </c>
      <c r="C785" s="4"/>
      <c r="D785" s="10">
        <f>D745</f>
        <v>8.1901840490797539</v>
      </c>
      <c r="E785" s="10">
        <f>E745</f>
        <v>8.1901840490797539</v>
      </c>
      <c r="F785" s="10" t="e">
        <f>F745</f>
        <v>#DIV/0!</v>
      </c>
      <c r="G785" s="10" t="e">
        <f>G745</f>
        <v>#DIV/0!</v>
      </c>
      <c r="H785" s="10" t="e">
        <f>H745</f>
        <v>#DIV/0!</v>
      </c>
    </row>
    <row r="786" spans="1:8" ht="14.25" hidden="1" x14ac:dyDescent="0.25">
      <c r="A786" s="5" t="s">
        <v>1853</v>
      </c>
      <c r="B786" s="2" t="s">
        <v>2176</v>
      </c>
      <c r="C786" s="4"/>
      <c r="D786" s="10">
        <f>D700/(2*D699)</f>
        <v>6.1804697156983934</v>
      </c>
      <c r="E786" s="10">
        <f>E700/(2*E699)</f>
        <v>6.1804697156983934</v>
      </c>
      <c r="F786" s="10" t="e">
        <f>F700/(2*F699)</f>
        <v>#DIV/0!</v>
      </c>
      <c r="G786" s="10" t="e">
        <f>G700/(2*G699)</f>
        <v>#DIV/0!</v>
      </c>
      <c r="H786" s="10" t="e">
        <f>H700/(2*H699)</f>
        <v>#DIV/0!</v>
      </c>
    </row>
    <row r="787" spans="1:8" hidden="1" x14ac:dyDescent="0.2">
      <c r="A787" s="5" t="s">
        <v>849</v>
      </c>
      <c r="D787" s="9">
        <f>1.1*SQRT((1.2*29000)/D$723)</f>
        <v>29.019993108200424</v>
      </c>
      <c r="E787" s="9">
        <f>1.1*SQRT((1.2*29000)/E$723)</f>
        <v>29.019993108200424</v>
      </c>
      <c r="F787" s="9" t="e">
        <f>1.1*SQRT((1.2*29000)/F$723)</f>
        <v>#DIV/0!</v>
      </c>
      <c r="G787" s="9" t="e">
        <f>1.1*SQRT((1.2*29000)/G$723)</f>
        <v>#DIV/0!</v>
      </c>
      <c r="H787" s="9" t="e">
        <f>1.1*SQRT((1.2*29000)/H$723)</f>
        <v>#DIV/0!</v>
      </c>
    </row>
    <row r="788" spans="1:8" hidden="1" x14ac:dyDescent="0.2">
      <c r="A788" s="5" t="s">
        <v>2156</v>
      </c>
      <c r="D788" s="9">
        <f>1.37*SQRT((1.2*29000)/D$723)</f>
        <v>36.143082325667805</v>
      </c>
      <c r="E788" s="9">
        <f>1.37*SQRT((1.2*29000)/E$723)</f>
        <v>36.143082325667805</v>
      </c>
      <c r="F788" s="9" t="e">
        <f>1.37*SQRT((1.2*29000)/F$723)</f>
        <v>#DIV/0!</v>
      </c>
      <c r="G788" s="9" t="e">
        <f>1.37*SQRT((1.2*29000)/G$723)</f>
        <v>#DIV/0!</v>
      </c>
      <c r="H788" s="9" t="e">
        <f>1.37*SQRT((1.2*29000)/H$723)</f>
        <v>#DIV/0!</v>
      </c>
    </row>
    <row r="789" spans="1:8" ht="14.25" hidden="1" x14ac:dyDescent="0.25">
      <c r="A789" s="5" t="s">
        <v>2172</v>
      </c>
      <c r="B789" s="2" t="s">
        <v>2155</v>
      </c>
      <c r="C789" s="3" t="s">
        <v>2162</v>
      </c>
      <c r="D789" s="10">
        <f>IF(D785&lt;=D787,1,IF(D785&gt;D788,(1.51*1.2*29000)/(D$723*D785^2),D787/D785))</f>
        <v>1</v>
      </c>
      <c r="E789" s="10">
        <f>IF(E785&lt;=E787,1,IF(E785&gt;E788,(1.51*1.2*29000)/(E$723*E785^2),E787/E785))</f>
        <v>1</v>
      </c>
      <c r="F789" s="10" t="e">
        <f>IF(F785&lt;=F787,1,IF(F785&gt;F788,(1.51*1.2*29000)/(F$723*F785^2),F787/F785))</f>
        <v>#DIV/0!</v>
      </c>
      <c r="G789" s="10" t="e">
        <f>IF(G785&lt;=G787,1,IF(G785&gt;G788,(1.51*1.2*29000)/(G$723*G785^2),G787/G785))</f>
        <v>#DIV/0!</v>
      </c>
      <c r="H789" s="10" t="e">
        <f>IF(H785&lt;=H787,1,IF(H785&gt;H788,(1.51*1.2*29000)/(H$723*H785^2),H787/H785))</f>
        <v>#DIV/0!</v>
      </c>
    </row>
    <row r="790" spans="1:8" ht="14.25" hidden="1" x14ac:dyDescent="0.25">
      <c r="A790" s="5" t="s">
        <v>2173</v>
      </c>
      <c r="B790" s="2" t="s">
        <v>2155</v>
      </c>
      <c r="C790" s="3" t="s">
        <v>2162</v>
      </c>
      <c r="D790" s="10">
        <f>IF(D786&lt;=D787,1,IF(D786&gt;D788,(1.51*1.2*29000)/(D$723*D786^2),D787/D786))</f>
        <v>1</v>
      </c>
      <c r="E790" s="10">
        <f>IF(E786&lt;=E787,1,IF(E786&gt;E788,(1.51*1.2*29000)/(E$723*E786^2),E787/E786))</f>
        <v>1</v>
      </c>
      <c r="F790" s="10" t="e">
        <f>IF(F786&lt;=F787,1,IF(F786&gt;F788,(1.51*1.2*29000)/(F$723*F786^2),F787/F786))</f>
        <v>#DIV/0!</v>
      </c>
      <c r="G790" s="10" t="e">
        <f>IF(G786&lt;=G787,1,IF(G786&gt;G788,(1.51*1.2*29000)/(G$723*G786^2),G787/G786))</f>
        <v>#DIV/0!</v>
      </c>
      <c r="H790" s="10" t="e">
        <f>IF(H786&lt;=H787,1,IF(H786&gt;H788,(1.51*1.2*29000)/(H$723*H786^2),H787/H786))</f>
        <v>#DIV/0!</v>
      </c>
    </row>
    <row r="791" spans="1:8" ht="14.25" hidden="1" x14ac:dyDescent="0.25">
      <c r="A791" s="5" t="s">
        <v>2166</v>
      </c>
      <c r="B791" s="2" t="s">
        <v>2164</v>
      </c>
      <c r="D791" s="6">
        <f>0.6*D$723*(D789*D697*D698+D790*D699*D700)</f>
        <v>360.20670000000001</v>
      </c>
      <c r="E791" s="6">
        <f>0.6*E$723*(E789*E697*E698+E790*E699*E700)</f>
        <v>360.20670000000001</v>
      </c>
      <c r="F791" s="6" t="e">
        <f>0.6*F$723*(F789*F697*F698+F790*F699*F700)</f>
        <v>#DIV/0!</v>
      </c>
      <c r="G791" s="6" t="e">
        <f>0.6*G$723*(G789*G697*G698+G790*G699*G700)</f>
        <v>#DIV/0!</v>
      </c>
      <c r="H791" s="6" t="e">
        <f>0.6*H$723*(H789*H697*H698+H790*H699*H700)</f>
        <v>#DIV/0!</v>
      </c>
    </row>
    <row r="792" spans="1:8" hidden="1" x14ac:dyDescent="0.2"/>
    <row r="793" spans="1:8" x14ac:dyDescent="0.2">
      <c r="A793" s="5" t="s">
        <v>1158</v>
      </c>
      <c r="B793" s="2" t="str">
        <f>IF(D$7="ASD","Mn-x/Ω",IF(D$7="LRFD","φMn-x"))</f>
        <v>φMn-x</v>
      </c>
      <c r="C793" s="3" t="s">
        <v>406</v>
      </c>
      <c r="D793" s="24">
        <f>IF(D$7="ASD",D$845/1.67,IF(D$7="LRFD",0.9*D$845))</f>
        <v>166.1205690907808</v>
      </c>
      <c r="E793" s="24">
        <f>IF(E$7="ASD",E$845/1.67,IF(E$7="LRFD",0.9*E$845))</f>
        <v>110.52599407237578</v>
      </c>
      <c r="F793" s="24" t="e">
        <f>IF(F$7="ASD",F$845/1.67,IF(F$7="LRFD",0.9*F$845))</f>
        <v>#DIV/0!</v>
      </c>
      <c r="G793" s="24" t="e">
        <f>IF(G$7="ASD",G$845/1.67,IF(G$7="LRFD",0.9*G$845))</f>
        <v>#DIV/0!</v>
      </c>
      <c r="H793" s="24" t="e">
        <f>IF(H$7="ASD",H$845/1.67,IF(H$7="LRFD",0.9*H$845))</f>
        <v>#DIV/0!</v>
      </c>
    </row>
    <row r="794" spans="1:8" hidden="1" x14ac:dyDescent="0.2">
      <c r="A794" s="118" t="s">
        <v>1155</v>
      </c>
      <c r="D794" s="10"/>
      <c r="E794" s="10"/>
      <c r="F794" s="10"/>
      <c r="G794" s="10"/>
      <c r="H794" s="10"/>
    </row>
    <row r="795" spans="1:8" ht="14.25" hidden="1" x14ac:dyDescent="0.25">
      <c r="A795" s="5" t="s">
        <v>1196</v>
      </c>
      <c r="B795" s="2" t="s">
        <v>965</v>
      </c>
      <c r="D795" s="10">
        <f>D$734/D$705</f>
        <v>0.27609370211750944</v>
      </c>
      <c r="E795" s="10">
        <f>E$734/E$705</f>
        <v>0.27609370211750944</v>
      </c>
      <c r="F795" s="10" t="e">
        <f>F$734/F$705</f>
        <v>#DIV/0!</v>
      </c>
      <c r="G795" s="10" t="e">
        <f>G$734/G$705</f>
        <v>#DIV/0!</v>
      </c>
      <c r="H795" s="10" t="e">
        <f>H$734/H$705</f>
        <v>#DIV/0!</v>
      </c>
    </row>
    <row r="796" spans="1:8" ht="15" hidden="1" x14ac:dyDescent="0.2">
      <c r="A796" s="5" t="s">
        <v>966</v>
      </c>
      <c r="B796" s="2" t="s">
        <v>6</v>
      </c>
      <c r="C796" s="3" t="s">
        <v>873</v>
      </c>
      <c r="D796" s="12">
        <f t="shared" ref="D796:H796" si="440">IF(D$795&lt;=0.23,0,D$738)</f>
        <v>0.84675466368333341</v>
      </c>
      <c r="E796" s="12">
        <f t="shared" si="440"/>
        <v>0.84675466368333341</v>
      </c>
      <c r="F796" s="12" t="e">
        <f t="shared" si="440"/>
        <v>#DIV/0!</v>
      </c>
      <c r="G796" s="12" t="e">
        <f t="shared" si="440"/>
        <v>#DIV/0!</v>
      </c>
      <c r="H796" s="12" t="e">
        <f t="shared" si="440"/>
        <v>#DIV/0!</v>
      </c>
    </row>
    <row r="797" spans="1:8" ht="14.25" hidden="1" x14ac:dyDescent="0.25">
      <c r="A797" s="5" t="s">
        <v>967</v>
      </c>
      <c r="B797" s="2" t="s">
        <v>957</v>
      </c>
      <c r="D797" s="10">
        <f t="shared" ref="D797:H797" si="441">D$719/D$718</f>
        <v>1.5993691252916002</v>
      </c>
      <c r="E797" s="10">
        <f t="shared" si="441"/>
        <v>1.5993691252916002</v>
      </c>
      <c r="F797" s="10" t="e">
        <f t="shared" si="441"/>
        <v>#DIV/0!</v>
      </c>
      <c r="G797" s="10" t="e">
        <f t="shared" si="441"/>
        <v>#DIV/0!</v>
      </c>
      <c r="H797" s="10" t="e">
        <f t="shared" si="441"/>
        <v>#DIV/0!</v>
      </c>
    </row>
    <row r="798" spans="1:8" ht="14.25" hidden="1" x14ac:dyDescent="0.25">
      <c r="A798" s="5" t="s">
        <v>1193</v>
      </c>
      <c r="B798" s="2" t="s">
        <v>959</v>
      </c>
      <c r="D798" s="10">
        <f>(D$732*D$696)/(D$698*D$697)</f>
        <v>0.729750887633697</v>
      </c>
      <c r="E798" s="10">
        <f>(E$732*E$696)/(E$698*E$697)</f>
        <v>0.729750887633697</v>
      </c>
      <c r="F798" s="10" t="e">
        <f>(F$732*F$696)/(F$698*F$697)</f>
        <v>#DIV/0!</v>
      </c>
      <c r="G798" s="10" t="e">
        <f>(G$732*G$696)/(G$698*G$697)</f>
        <v>#DIV/0!</v>
      </c>
      <c r="H798" s="10" t="e">
        <f>(H$732*H$696)/(H$698*H$697)</f>
        <v>#DIV/0!</v>
      </c>
    </row>
    <row r="799" spans="1:8" ht="14.25" hidden="1" x14ac:dyDescent="0.25">
      <c r="A799" s="5" t="s">
        <v>1194</v>
      </c>
      <c r="B799" s="2" t="s">
        <v>961</v>
      </c>
      <c r="C799" s="3" t="s">
        <v>407</v>
      </c>
      <c r="D799" s="10">
        <f>IF(D739=0,D$698/SQRT(12*(1+(0.167*D$798))),D739+(D696/(2*SQRT(3))))</f>
        <v>2.1830864584900103</v>
      </c>
      <c r="E799" s="10">
        <f>IF(E739=0,E$698/SQRT(12*(1+(0.167*E$798))),E739+(E696/(2*SQRT(3))))</f>
        <v>2.1830864584900103</v>
      </c>
      <c r="F799" s="10" t="e">
        <f>IF(F739=0,F$698/SQRT(12*(1+(0.167*F$798))),F739+(F696/(2*SQRT(3))))</f>
        <v>#DIV/0!</v>
      </c>
      <c r="G799" s="10" t="e">
        <f>IF(G739=0,G$698/SQRT(12*(1+(0.167*G$798))),G739+(G696/(2*SQRT(3))))</f>
        <v>#DIV/0!</v>
      </c>
      <c r="H799" s="10" t="e">
        <f>IF(H739=0,H$698/SQRT(12*(1+(0.167*H$798))),H739+(H696/(2*SQRT(3))))</f>
        <v>#DIV/0!</v>
      </c>
    </row>
    <row r="800" spans="1:8" ht="14.25" hidden="1" x14ac:dyDescent="0.25">
      <c r="A800" s="5" t="s">
        <v>428</v>
      </c>
      <c r="B800" s="2" t="s">
        <v>896</v>
      </c>
      <c r="C800" s="3" t="s">
        <v>407</v>
      </c>
      <c r="D800" s="10">
        <f>D$689*12</f>
        <v>144</v>
      </c>
      <c r="E800" s="10">
        <f>E$689*12</f>
        <v>144</v>
      </c>
      <c r="F800" s="10">
        <f>F$689*12</f>
        <v>0</v>
      </c>
      <c r="G800" s="10">
        <f>G$689*12</f>
        <v>0</v>
      </c>
      <c r="H800" s="10">
        <f>H$689*12</f>
        <v>0</v>
      </c>
    </row>
    <row r="801" spans="1:8" ht="14.25" hidden="1" x14ac:dyDescent="0.25">
      <c r="A801" s="5" t="s">
        <v>1188</v>
      </c>
      <c r="B801" s="2" t="s">
        <v>919</v>
      </c>
      <c r="C801" s="3" t="s">
        <v>407</v>
      </c>
      <c r="D801" s="10">
        <f>1.1*D$799*SQRT(29000/D$723)</f>
        <v>57.833252539894005</v>
      </c>
      <c r="E801" s="10">
        <f>1.1*E$799*SQRT(29000/E$723)</f>
        <v>57.833252539894005</v>
      </c>
      <c r="F801" s="10" t="e">
        <f>1.1*F$799*SQRT(29000/F$723)</f>
        <v>#DIV/0!</v>
      </c>
      <c r="G801" s="10" t="e">
        <f>1.1*G$799*SQRT(29000/G$723)</f>
        <v>#DIV/0!</v>
      </c>
      <c r="H801" s="10" t="e">
        <f>1.1*H$799*SQRT(29000/H$723)</f>
        <v>#DIV/0!</v>
      </c>
    </row>
    <row r="802" spans="1:8" ht="14.25" hidden="1" x14ac:dyDescent="0.25">
      <c r="A802" s="5" t="s">
        <v>1189</v>
      </c>
      <c r="B802" s="2" t="s">
        <v>920</v>
      </c>
      <c r="C802" s="3" t="s">
        <v>407</v>
      </c>
      <c r="D802" s="10">
        <f>1.95*D$799*(29000/D$740)*SQRT((D$738/(D$718*D$731))+SQRT(((D$738/(D$718*D$731))^2)+6.76*((D$740)/29000)^2))</f>
        <v>247.92064316285379</v>
      </c>
      <c r="E802" s="10">
        <f>1.95*E$799*(29000/E$740)*SQRT((E$738/(E$718*E$731))+SQRT(((E$738/(E$718*E$731))^2)+6.76*((E$740)/29000)^2))</f>
        <v>247.92064316285379</v>
      </c>
      <c r="F802" s="10" t="e">
        <f>1.95*F$799*(29000/F$740)*SQRT((F$738/(F$718*F$731))+SQRT(((F$738/(F$718*F$731))^2)+6.76*((F$740)/29000)^2))</f>
        <v>#DIV/0!</v>
      </c>
      <c r="G802" s="10" t="e">
        <f>1.95*G$799*(29000/G$740)*SQRT((G$738/(G$718*G$731))+SQRT(((G$738/(G$718*G$731))^2)+6.76*((G$740)/29000)^2))</f>
        <v>#DIV/0!</v>
      </c>
      <c r="H802" s="10" t="e">
        <f>1.95*H$799*(29000/H$740)*SQRT((H$738/(H$718*H$731))+SQRT(((H$738/(H$718*H$731))^2)+6.76*((H$740)/29000)^2))</f>
        <v>#DIV/0!</v>
      </c>
    </row>
    <row r="803" spans="1:8" ht="14.25" hidden="1" x14ac:dyDescent="0.25">
      <c r="A803" s="5" t="s">
        <v>1195</v>
      </c>
      <c r="B803" s="2" t="s">
        <v>921</v>
      </c>
      <c r="C803" s="3" t="s">
        <v>408</v>
      </c>
      <c r="D803" s="10">
        <f>MIN((D$723*D$706),(1.6*D$723*D$718))</f>
        <v>2986.3154723244379</v>
      </c>
      <c r="E803" s="10">
        <f>MIN((E$723*E$706),(1.6*E$723*E$718))</f>
        <v>2986.3154723244379</v>
      </c>
      <c r="F803" s="10" t="e">
        <f>MIN((F$723*F$706),(1.6*F$723*F$718))</f>
        <v>#DIV/0!</v>
      </c>
      <c r="G803" s="10" t="e">
        <f>MIN((G$723*G$706),(1.6*G$723*G$718))</f>
        <v>#DIV/0!</v>
      </c>
      <c r="H803" s="10" t="e">
        <f>MIN((H$723*H$706),(1.6*H$723*H$718))</f>
        <v>#DIV/0!</v>
      </c>
    </row>
    <row r="804" spans="1:8" ht="14.25" hidden="1" x14ac:dyDescent="0.25">
      <c r="A804" s="5" t="s">
        <v>1192</v>
      </c>
      <c r="B804" s="2" t="s">
        <v>931</v>
      </c>
      <c r="C804" s="3" t="s">
        <v>405</v>
      </c>
      <c r="D804" s="10">
        <f>((((D$694*PI()^2)*29000)/(D$800/D$799)^2)*(SQRT(1+(0.078*(D$796/(D$718*D$731))*(D$800/D$799)^2))))</f>
        <v>78.233717180993409</v>
      </c>
      <c r="E804" s="10">
        <f>((((E$694*PI()^2)*29000)/(E$800/E$799)^2)*(SQRT(1+(0.078*(E$796/(E$718*E$731))*(E$800/E$799)^2))))</f>
        <v>78.233717180993409</v>
      </c>
      <c r="F804" s="10" t="e">
        <f>((((F$694*PI()^2)*29000)/(F$800/F$799)^2)*(SQRT(1+(0.078*(F$796/(F$718*F$731))*(F$800/F$799)^2))))</f>
        <v>#DIV/0!</v>
      </c>
      <c r="G804" s="10" t="e">
        <f>((((G$694*PI()^2)*29000)/(G$800/G$799)^2)*(SQRT(1+(0.078*(G$796/(G$718*G$731))*(G$800/G$799)^2))))</f>
        <v>#DIV/0!</v>
      </c>
      <c r="H804" s="10" t="e">
        <f>((((H$694*PI()^2)*29000)/(H$800/H$799)^2)*(SQRT(1+(0.078*(H$796/(H$718*H$731))*(H$800/H$799)^2))))</f>
        <v>#DIV/0!</v>
      </c>
    </row>
    <row r="805" spans="1:8" ht="26.25" hidden="1" x14ac:dyDescent="0.25">
      <c r="A805" s="132" t="s">
        <v>1190</v>
      </c>
      <c r="B805" s="2" t="s">
        <v>968</v>
      </c>
      <c r="C805" s="2"/>
      <c r="D805" s="12">
        <f t="shared" ref="D805:H805" si="442">IF(D$795&gt;0.23,IF(D$746&lt;=D$751,(D$803/D$742),MIN((D$803/D$742)-((D$803/D$742)-1)*((D$746-D$751)/(D$752-D$751)),(D$803/D$742))),1)</f>
        <v>1.1746196967691549</v>
      </c>
      <c r="E805" s="12">
        <f t="shared" si="442"/>
        <v>1.1746196967691549</v>
      </c>
      <c r="F805" s="12" t="e">
        <f t="shared" si="442"/>
        <v>#DIV/0!</v>
      </c>
      <c r="G805" s="12" t="e">
        <f t="shared" si="442"/>
        <v>#DIV/0!</v>
      </c>
      <c r="H805" s="12" t="e">
        <f t="shared" si="442"/>
        <v>#DIV/0!</v>
      </c>
    </row>
    <row r="806" spans="1:8" ht="26.25" hidden="1" x14ac:dyDescent="0.25">
      <c r="A806" s="132" t="s">
        <v>1199</v>
      </c>
      <c r="B806" s="2" t="s">
        <v>972</v>
      </c>
      <c r="D806" s="12">
        <f t="shared" ref="D806:H806" si="443">IF(D$795&gt;0.23,IF(D$746&lt;=D$751,(D$803/D$743),MIN((D$803/D$743)-((D$803/D$743)-1)*((D$746-D$751)/(D$752-D$751)),(D$803/D$743))),1)</f>
        <v>0.74860597693036701</v>
      </c>
      <c r="E806" s="12">
        <f t="shared" si="443"/>
        <v>0.74860597693036701</v>
      </c>
      <c r="F806" s="12" t="e">
        <f t="shared" si="443"/>
        <v>#DIV/0!</v>
      </c>
      <c r="G806" s="12" t="e">
        <f t="shared" si="443"/>
        <v>#DIV/0!</v>
      </c>
      <c r="H806" s="12" t="e">
        <f t="shared" si="443"/>
        <v>#DIV/0!</v>
      </c>
    </row>
    <row r="807" spans="1:8" hidden="1" x14ac:dyDescent="0.2">
      <c r="A807" s="119" t="s">
        <v>1200</v>
      </c>
      <c r="D807" s="11"/>
      <c r="E807" s="11"/>
      <c r="F807" s="11"/>
      <c r="G807" s="11"/>
      <c r="H807" s="11"/>
    </row>
    <row r="808" spans="1:8" ht="14.25" hidden="1" x14ac:dyDescent="0.25">
      <c r="A808" s="13" t="s">
        <v>1187</v>
      </c>
      <c r="B808" s="2" t="s">
        <v>1219</v>
      </c>
      <c r="C808" s="3" t="s">
        <v>408</v>
      </c>
      <c r="D808" s="6">
        <f>D$805*D$742</f>
        <v>2929.7527139480389</v>
      </c>
      <c r="E808" s="6">
        <f t="shared" ref="E808:H808" si="444">E$805*E$742</f>
        <v>2929.7527139480389</v>
      </c>
      <c r="F808" s="6" t="e">
        <f t="shared" si="444"/>
        <v>#DIV/0!</v>
      </c>
      <c r="G808" s="6" t="e">
        <f t="shared" si="444"/>
        <v>#DIV/0!</v>
      </c>
      <c r="H808" s="6" t="e">
        <f t="shared" si="444"/>
        <v>#DIV/0!</v>
      </c>
    </row>
    <row r="809" spans="1:8" hidden="1" x14ac:dyDescent="0.2">
      <c r="A809" s="119" t="s">
        <v>1201</v>
      </c>
      <c r="D809" s="10"/>
      <c r="E809" s="10"/>
      <c r="F809" s="10"/>
      <c r="G809" s="10"/>
      <c r="H809" s="10"/>
    </row>
    <row r="810" spans="1:8" ht="14.25" hidden="1" x14ac:dyDescent="0.25">
      <c r="A810" s="13" t="s">
        <v>1204</v>
      </c>
      <c r="B810" s="2" t="s">
        <v>922</v>
      </c>
      <c r="C810" s="3" t="s">
        <v>408</v>
      </c>
      <c r="D810" s="10">
        <f>MIN(D$694*(D$808-((D$808-(IF(D958=0,D$740,D960)*D$718))*((D$800-D$801)/(D$802-D$801)))),D$808)</f>
        <v>2214.9409212104106</v>
      </c>
      <c r="E810" s="10">
        <f t="shared" ref="E810:F810" si="445">MIN(E$694*(E$808-((E$808-(IF(E958=0,E$740,E960)*E$718))*((E$800-E$801)/(E$802-E$801)))),E$808)</f>
        <v>2214.9409212104106</v>
      </c>
      <c r="F810" s="10" t="e">
        <f t="shared" si="445"/>
        <v>#DIV/0!</v>
      </c>
      <c r="G810" s="10" t="e">
        <f t="shared" ref="G810:H810" si="446">MIN(G$694*(G$808-((G$808-(IF(G958=0,G$740,G960)*G$718))*((G$800-G$801)/(G$802-G$801)))),G$808)</f>
        <v>#DIV/0!</v>
      </c>
      <c r="H810" s="10" t="e">
        <f t="shared" si="446"/>
        <v>#DIV/0!</v>
      </c>
    </row>
    <row r="811" spans="1:8" ht="14.25" hidden="1" x14ac:dyDescent="0.25">
      <c r="A811" s="13" t="s">
        <v>1205</v>
      </c>
      <c r="B811" s="2" t="s">
        <v>923</v>
      </c>
      <c r="C811" s="3" t="s">
        <v>408</v>
      </c>
      <c r="D811" s="10">
        <f>MIN((D$804*D$718),D$808)</f>
        <v>2929.7527139480389</v>
      </c>
      <c r="E811" s="10">
        <f>MIN((E$804*E$718),E$808)</f>
        <v>2929.7527139480389</v>
      </c>
      <c r="F811" s="10" t="e">
        <f>MIN((F$804*F$718),F$808)</f>
        <v>#DIV/0!</v>
      </c>
      <c r="G811" s="10" t="e">
        <f>MIN((G$804*G$718),G$808)</f>
        <v>#DIV/0!</v>
      </c>
      <c r="H811" s="10" t="e">
        <f>MIN((H$804*H$718),H$808)</f>
        <v>#DIV/0!</v>
      </c>
    </row>
    <row r="812" spans="1:8" ht="14.25" hidden="1" x14ac:dyDescent="0.25">
      <c r="A812" s="13" t="s">
        <v>839</v>
      </c>
      <c r="B812" s="2" t="s">
        <v>924</v>
      </c>
      <c r="C812" s="3" t="s">
        <v>408</v>
      </c>
      <c r="D812" s="120">
        <f t="shared" ref="D812:H812" si="447">(IF(D$800&lt;=D$801,D$808,IF(D$800&gt;D$802,D$811,D$810)))</f>
        <v>2214.9409212104106</v>
      </c>
      <c r="E812" s="120">
        <f t="shared" si="447"/>
        <v>2214.9409212104106</v>
      </c>
      <c r="F812" s="120" t="e">
        <f t="shared" si="447"/>
        <v>#DIV/0!</v>
      </c>
      <c r="G812" s="120" t="e">
        <f t="shared" si="447"/>
        <v>#DIV/0!</v>
      </c>
      <c r="H812" s="120" t="e">
        <f t="shared" si="447"/>
        <v>#DIV/0!</v>
      </c>
    </row>
    <row r="813" spans="1:8" hidden="1" x14ac:dyDescent="0.2">
      <c r="A813" s="119" t="s">
        <v>1202</v>
      </c>
      <c r="B813" s="4"/>
      <c r="C813" s="4"/>
      <c r="D813" s="4"/>
      <c r="E813" s="4"/>
      <c r="F813" s="4"/>
      <c r="G813" s="4"/>
      <c r="H813" s="4"/>
    </row>
    <row r="814" spans="1:8" ht="14.25" hidden="1" x14ac:dyDescent="0.25">
      <c r="A814" s="5" t="s">
        <v>1216</v>
      </c>
      <c r="B814" s="2" t="s">
        <v>922</v>
      </c>
      <c r="D814" s="11">
        <f>D$808-(D$808-(IF(D958=0,D$740,D960)*D$718))*((D$745-D$749)/(D$750-D$749))</f>
        <v>3021.8913548720943</v>
      </c>
      <c r="E814" s="11">
        <f t="shared" ref="E814:F814" si="448">E$808-(E$808-(IF(E958=0,E$740,E960)*E$718))*((E$745-E$749)/(E$750-E$749))</f>
        <v>3021.8913548720943</v>
      </c>
      <c r="F814" s="11" t="e">
        <f t="shared" si="448"/>
        <v>#DIV/0!</v>
      </c>
      <c r="G814" s="11" t="e">
        <f t="shared" ref="G814:H814" si="449">G$808-(G$808-(IF(G958=0,G$740,G960)*G$718))*((G$745-G$749)/(G$750-G$749))</f>
        <v>#DIV/0!</v>
      </c>
      <c r="H814" s="11" t="e">
        <f t="shared" si="449"/>
        <v>#DIV/0!</v>
      </c>
    </row>
    <row r="815" spans="1:8" ht="14.25" hidden="1" x14ac:dyDescent="0.25">
      <c r="A815" s="5" t="s">
        <v>1217</v>
      </c>
      <c r="B815" s="2" t="s">
        <v>923</v>
      </c>
      <c r="D815" s="10">
        <f>(0.9*29000*D$741*D$718)/D$745^2</f>
        <v>11468.619611085174</v>
      </c>
      <c r="E815" s="10">
        <f>(0.9*29000*E$741*E$718)/E$745^2</f>
        <v>11468.619611085174</v>
      </c>
      <c r="F815" s="10" t="e">
        <f>(0.9*29000*F$741*F$718)/F$745^2</f>
        <v>#DIV/0!</v>
      </c>
      <c r="G815" s="10" t="e">
        <f>(0.9*29000*G$741*G$718)/G$745^2</f>
        <v>#DIV/0!</v>
      </c>
      <c r="H815" s="10" t="e">
        <f>(0.9*29000*H$741*H$718)/H$745^2</f>
        <v>#DIV/0!</v>
      </c>
    </row>
    <row r="816" spans="1:8" ht="14.25" hidden="1" x14ac:dyDescent="0.25">
      <c r="A816" s="13" t="s">
        <v>838</v>
      </c>
      <c r="B816" s="2" t="s">
        <v>926</v>
      </c>
      <c r="D816" s="120">
        <f t="shared" ref="D816:H816" si="450">IF(D$757="Noncompact",D$814,IF(D$757="Slender",D$815,D$808))</f>
        <v>2929.7527139480389</v>
      </c>
      <c r="E816" s="120">
        <f t="shared" si="450"/>
        <v>2929.7527139480389</v>
      </c>
      <c r="F816" s="120" t="e">
        <f t="shared" si="450"/>
        <v>#DIV/0!</v>
      </c>
      <c r="G816" s="120" t="e">
        <f t="shared" si="450"/>
        <v>#DIV/0!</v>
      </c>
      <c r="H816" s="120" t="e">
        <f t="shared" si="450"/>
        <v>#DIV/0!</v>
      </c>
    </row>
    <row r="817" spans="1:8" hidden="1" x14ac:dyDescent="0.2">
      <c r="A817" s="119" t="s">
        <v>1203</v>
      </c>
      <c r="B817" s="4"/>
      <c r="C817" s="4"/>
      <c r="D817" s="4"/>
      <c r="E817" s="4"/>
      <c r="F817" s="4"/>
      <c r="G817" s="4"/>
      <c r="H817" s="4"/>
    </row>
    <row r="818" spans="1:8" ht="14.25" hidden="1" x14ac:dyDescent="0.25">
      <c r="A818" s="13" t="s">
        <v>973</v>
      </c>
      <c r="B818" s="2" t="s">
        <v>1218</v>
      </c>
      <c r="C818" s="3" t="s">
        <v>408</v>
      </c>
      <c r="D818" s="6">
        <f t="shared" ref="D818:H818" si="451">D$806*D$743</f>
        <v>2986.3154723244379</v>
      </c>
      <c r="E818" s="6">
        <f t="shared" si="451"/>
        <v>2986.3154723244379</v>
      </c>
      <c r="F818" s="6" t="e">
        <f t="shared" si="451"/>
        <v>#DIV/0!</v>
      </c>
      <c r="G818" s="6" t="e">
        <f t="shared" si="451"/>
        <v>#DIV/0!</v>
      </c>
      <c r="H818" s="6" t="e">
        <f t="shared" si="451"/>
        <v>#DIV/0!</v>
      </c>
    </row>
    <row r="819" spans="1:8" hidden="1" x14ac:dyDescent="0.2">
      <c r="A819" s="119" t="s">
        <v>1220</v>
      </c>
      <c r="D819" s="10"/>
      <c r="E819" s="10"/>
      <c r="F819" s="10"/>
      <c r="G819" s="10"/>
      <c r="H819" s="10"/>
    </row>
    <row r="820" spans="1:8" ht="14.25" hidden="1" x14ac:dyDescent="0.25">
      <c r="A820" s="37" t="s">
        <v>1151</v>
      </c>
      <c r="B820" s="40" t="s">
        <v>1233</v>
      </c>
      <c r="C820" s="41" t="s">
        <v>408</v>
      </c>
      <c r="D820" s="133">
        <f>MIN(D$808,D$812,D$816,D$818)</f>
        <v>2214.9409212104106</v>
      </c>
      <c r="E820" s="133">
        <f>MIN(E$808,E$812,E$816,E$818)</f>
        <v>2214.9409212104106</v>
      </c>
      <c r="F820" s="133" t="e">
        <f>MIN(F$808,F$812,F$816,F$818)</f>
        <v>#DIV/0!</v>
      </c>
      <c r="G820" s="133" t="e">
        <f>MIN(G$808,G$812,G$816,G$818)</f>
        <v>#DIV/0!</v>
      </c>
      <c r="H820" s="133" t="e">
        <f>MIN(H$808,H$812,H$816,H$818)</f>
        <v>#DIV/0!</v>
      </c>
    </row>
    <row r="821" spans="1:8" hidden="1" x14ac:dyDescent="0.2">
      <c r="A821" s="118" t="s">
        <v>1154</v>
      </c>
      <c r="D821" s="10"/>
      <c r="E821" s="10"/>
      <c r="F821" s="10"/>
      <c r="G821" s="10"/>
      <c r="H821" s="10"/>
    </row>
    <row r="822" spans="1:8" ht="14.25" hidden="1" x14ac:dyDescent="0.25">
      <c r="A822" s="5" t="s">
        <v>1222</v>
      </c>
      <c r="B822" s="2" t="s">
        <v>959</v>
      </c>
      <c r="D822" s="10">
        <f>MIN(D$798,10)</f>
        <v>0.729750887633697</v>
      </c>
      <c r="E822" s="10">
        <f>MIN(E$798,10)</f>
        <v>0.729750887633697</v>
      </c>
      <c r="F822" s="10" t="e">
        <f>MIN(F$798,10)</f>
        <v>#DIV/0!</v>
      </c>
      <c r="G822" s="10" t="e">
        <f>MIN(G$798,10)</f>
        <v>#DIV/0!</v>
      </c>
      <c r="H822" s="10" t="e">
        <f>MIN(H$798,10)</f>
        <v>#DIV/0!</v>
      </c>
    </row>
    <row r="823" spans="1:8" ht="14.25" hidden="1" x14ac:dyDescent="0.25">
      <c r="A823" s="5" t="s">
        <v>1221</v>
      </c>
      <c r="B823" s="2" t="s">
        <v>1140</v>
      </c>
      <c r="D823" s="10">
        <f>MIN(1-((D$822/(1200+300*D$822))*((D$732/D$696)-5.7*(SQRT(29000/D$723)))),1)</f>
        <v>1</v>
      </c>
      <c r="E823" s="10">
        <f>MIN(1-((E$822/(1200+300*E$822))*((E$732/E$696)-5.7*(SQRT(29000/E$723)))),1)</f>
        <v>1</v>
      </c>
      <c r="F823" s="10" t="e">
        <f>MIN(1-((F$822/(1200+300*F$822))*((F$732/F$696)-5.7*(SQRT(29000/F$723)))),1)</f>
        <v>#DIV/0!</v>
      </c>
      <c r="G823" s="10" t="e">
        <f>MIN(1-((G$822/(1200+300*G$822))*((G$732/G$696)-5.7*(SQRT(29000/G$723)))),1)</f>
        <v>#DIV/0!</v>
      </c>
      <c r="H823" s="10" t="e">
        <f>MIN(1-((H$822/(1200+300*H$822))*((H$732/H$696)-5.7*(SQRT(29000/H$723)))),1)</f>
        <v>#DIV/0!</v>
      </c>
    </row>
    <row r="824" spans="1:8" ht="14.25" hidden="1" x14ac:dyDescent="0.25">
      <c r="A824" s="5" t="s">
        <v>428</v>
      </c>
      <c r="B824" s="2" t="s">
        <v>896</v>
      </c>
      <c r="C824" s="3" t="s">
        <v>407</v>
      </c>
      <c r="D824" s="10">
        <f>D$689*12</f>
        <v>144</v>
      </c>
      <c r="E824" s="10">
        <f>E$689*12</f>
        <v>144</v>
      </c>
      <c r="F824" s="10">
        <f>F$689*12</f>
        <v>0</v>
      </c>
      <c r="G824" s="10">
        <f>G$689*12</f>
        <v>0</v>
      </c>
      <c r="H824" s="10">
        <f>H$689*12</f>
        <v>0</v>
      </c>
    </row>
    <row r="825" spans="1:8" ht="14.25" hidden="1" x14ac:dyDescent="0.25">
      <c r="A825" s="5" t="s">
        <v>1188</v>
      </c>
      <c r="B825" s="2" t="s">
        <v>919</v>
      </c>
      <c r="C825" s="3" t="s">
        <v>407</v>
      </c>
      <c r="D825" s="10">
        <f>D$801</f>
        <v>57.833252539894005</v>
      </c>
      <c r="E825" s="10">
        <f>E$801</f>
        <v>57.833252539894005</v>
      </c>
      <c r="F825" s="10" t="e">
        <f>F$801</f>
        <v>#DIV/0!</v>
      </c>
      <c r="G825" s="10" t="e">
        <f>G$801</f>
        <v>#DIV/0!</v>
      </c>
      <c r="H825" s="10" t="e">
        <f>H$801</f>
        <v>#DIV/0!</v>
      </c>
    </row>
    <row r="826" spans="1:8" ht="14.25" hidden="1" x14ac:dyDescent="0.25">
      <c r="A826" s="5" t="s">
        <v>2113</v>
      </c>
      <c r="B826" s="2" t="s">
        <v>920</v>
      </c>
      <c r="C826" s="3" t="s">
        <v>407</v>
      </c>
      <c r="D826" s="10">
        <f>PI()*D$799*SQRT(29000/(0.7*D$723))</f>
        <v>197.41756241854782</v>
      </c>
      <c r="E826" s="10">
        <f>PI()*E$799*SQRT(29000/(0.7*E$723))</f>
        <v>197.41756241854782</v>
      </c>
      <c r="F826" s="10" t="e">
        <f>PI()*F$799*SQRT(29000/(0.7*F$723))</f>
        <v>#DIV/0!</v>
      </c>
      <c r="G826" s="10" t="e">
        <f>PI()*G$799*SQRT(29000/(0.7*G$723))</f>
        <v>#DIV/0!</v>
      </c>
      <c r="H826" s="10" t="e">
        <f>PI()*H$799*SQRT(29000/(0.7*H$723))</f>
        <v>#DIV/0!</v>
      </c>
    </row>
    <row r="827" spans="1:8" ht="14.25" hidden="1" x14ac:dyDescent="0.25">
      <c r="A827" s="5" t="s">
        <v>837</v>
      </c>
      <c r="B827" s="2" t="s">
        <v>925</v>
      </c>
      <c r="D827" s="10">
        <f t="shared" ref="D827:H827" si="452">D$741</f>
        <v>0.59087318575390602</v>
      </c>
      <c r="E827" s="10">
        <f t="shared" si="452"/>
        <v>0.59087318575390602</v>
      </c>
      <c r="F827" s="10" t="e">
        <f t="shared" si="452"/>
        <v>#DIV/0!</v>
      </c>
      <c r="G827" s="10" t="e">
        <f t="shared" si="452"/>
        <v>#DIV/0!</v>
      </c>
      <c r="H827" s="10" t="e">
        <f t="shared" si="452"/>
        <v>#DIV/0!</v>
      </c>
    </row>
    <row r="828" spans="1:8" hidden="1" x14ac:dyDescent="0.2">
      <c r="A828" s="119" t="s">
        <v>1200</v>
      </c>
      <c r="D828" s="10"/>
      <c r="E828" s="10"/>
      <c r="F828" s="10"/>
      <c r="G828" s="10"/>
      <c r="H828" s="10"/>
    </row>
    <row r="829" spans="1:8" ht="14.25" hidden="1" x14ac:dyDescent="0.25">
      <c r="A829" s="13" t="s">
        <v>1223</v>
      </c>
      <c r="B829" s="2" t="s">
        <v>1141</v>
      </c>
      <c r="C829" s="3" t="s">
        <v>408</v>
      </c>
      <c r="D829" s="6">
        <f>D$823*D$723*D$718</f>
        <v>2494.2138481131019</v>
      </c>
      <c r="E829" s="6">
        <f>E$823*E$723*E$718</f>
        <v>2494.2138481131019</v>
      </c>
      <c r="F829" s="6" t="e">
        <f>F$823*F$723*F$718</f>
        <v>#DIV/0!</v>
      </c>
      <c r="G829" s="6" t="e">
        <f>G$823*G$723*G$718</f>
        <v>#DIV/0!</v>
      </c>
      <c r="H829" s="6" t="e">
        <f>H$823*H$723*H$718</f>
        <v>#DIV/0!</v>
      </c>
    </row>
    <row r="830" spans="1:8" hidden="1" x14ac:dyDescent="0.2">
      <c r="A830" s="119" t="s">
        <v>1201</v>
      </c>
      <c r="D830" s="10"/>
      <c r="E830" s="10"/>
      <c r="F830" s="10"/>
      <c r="G830" s="10"/>
      <c r="H830" s="10"/>
    </row>
    <row r="831" spans="1:8" ht="14.25" hidden="1" x14ac:dyDescent="0.25">
      <c r="A831" s="5" t="s">
        <v>1225</v>
      </c>
      <c r="B831" s="2" t="s">
        <v>1148</v>
      </c>
      <c r="C831" s="3" t="s">
        <v>405</v>
      </c>
      <c r="D831" s="10">
        <f>MIN(D$694*(D$723-(0.3*D$723)*((D$824-D$825)/(D$826-D$825))),D$723)</f>
        <v>39.558884323406531</v>
      </c>
      <c r="E831" s="10">
        <f>MIN(E$694*(E$723-(0.3*E$723)*((E$824-E$825)/(E$826-E$825))),E$723)</f>
        <v>39.558884323406531</v>
      </c>
      <c r="F831" s="10" t="e">
        <f>MIN(F$694*(F$723-(0.3*F$723)*((F$824-F$825)/(F$826-F$825))),F$723)</f>
        <v>#DIV/0!</v>
      </c>
      <c r="G831" s="10" t="e">
        <f>MIN(G$694*(G$723-(0.3*G$723)*((G$824-G$825)/(G$826-G$825))),G$723)</f>
        <v>#DIV/0!</v>
      </c>
      <c r="H831" s="10" t="e">
        <f>MIN(H$694*(H$723-(0.3*H$723)*((H$824-H$825)/(H$826-H$825))),H$723)</f>
        <v>#DIV/0!</v>
      </c>
    </row>
    <row r="832" spans="1:8" ht="14.25" hidden="1" x14ac:dyDescent="0.25">
      <c r="A832" s="5" t="s">
        <v>1226</v>
      </c>
      <c r="B832" s="2" t="s">
        <v>1149</v>
      </c>
      <c r="C832" s="3" t="s">
        <v>405</v>
      </c>
      <c r="D832" s="10">
        <f>MIN((D$694*(PI()^2)*29000)/(D$824/D$799)^2,D$723)</f>
        <v>50</v>
      </c>
      <c r="E832" s="10">
        <f>MIN((E$694*(PI()^2)*29000)/(E$824/E$799)^2,E$723)</f>
        <v>50</v>
      </c>
      <c r="F832" s="10" t="e">
        <f>MIN((F$694*(PI()^2)*29000)/(F$824/F$799)^2,F$723)</f>
        <v>#DIV/0!</v>
      </c>
      <c r="G832" s="10" t="e">
        <f>MIN((G$694*(PI()^2)*29000)/(G$824/G$799)^2,G$723)</f>
        <v>#DIV/0!</v>
      </c>
      <c r="H832" s="10" t="e">
        <f>MIN((H$694*(PI()^2)*29000)/(H$824/H$799)^2,H$723)</f>
        <v>#DIV/0!</v>
      </c>
    </row>
    <row r="833" spans="1:8" ht="14.25" hidden="1" x14ac:dyDescent="0.25">
      <c r="A833" s="5" t="s">
        <v>1227</v>
      </c>
      <c r="B833" s="2" t="s">
        <v>931</v>
      </c>
      <c r="C833" s="3" t="s">
        <v>405</v>
      </c>
      <c r="D833" s="11">
        <f>IF(D$824&lt;=D$825,D$723,IF(D$824&gt;D$826,D$832,D$831))</f>
        <v>39.558884323406531</v>
      </c>
      <c r="E833" s="11">
        <f>IF(E$824&lt;=E$825,E$723,IF(E$824&gt;E$826,E$832,E$831))</f>
        <v>39.558884323406531</v>
      </c>
      <c r="F833" s="11" t="e">
        <f>IF(F$824&lt;=F$825,F$723,IF(F$824&gt;F$826,F$832,F$831))</f>
        <v>#DIV/0!</v>
      </c>
      <c r="G833" s="11" t="e">
        <f>IF(G$824&lt;=G$825,G$723,IF(G$824&gt;G$826,G$832,G$831))</f>
        <v>#DIV/0!</v>
      </c>
      <c r="H833" s="11" t="e">
        <f>IF(H$824&lt;=H$825,H$723,IF(H$824&gt;H$826,H$832,H$831))</f>
        <v>#DIV/0!</v>
      </c>
    </row>
    <row r="834" spans="1:8" ht="14.25" hidden="1" x14ac:dyDescent="0.25">
      <c r="A834" s="13" t="s">
        <v>1224</v>
      </c>
      <c r="B834" s="2" t="s">
        <v>1150</v>
      </c>
      <c r="C834" s="3" t="s">
        <v>408</v>
      </c>
      <c r="D834" s="6">
        <f>D$823*D$833*D$718</f>
        <v>1973.3663419068976</v>
      </c>
      <c r="E834" s="6">
        <f>E$823*E$833*E$718</f>
        <v>1973.3663419068976</v>
      </c>
      <c r="F834" s="6" t="e">
        <f>F$823*F$833*F$718</f>
        <v>#DIV/0!</v>
      </c>
      <c r="G834" s="6" t="e">
        <f>G$823*G$833*G$718</f>
        <v>#DIV/0!</v>
      </c>
      <c r="H834" s="6" t="e">
        <f>H$823*H$833*H$718</f>
        <v>#DIV/0!</v>
      </c>
    </row>
    <row r="835" spans="1:8" hidden="1" x14ac:dyDescent="0.2">
      <c r="A835" s="119" t="s">
        <v>1202</v>
      </c>
    </row>
    <row r="836" spans="1:8" ht="14.25" hidden="1" x14ac:dyDescent="0.25">
      <c r="A836" s="5" t="s">
        <v>1230</v>
      </c>
      <c r="B836" s="2" t="s">
        <v>1148</v>
      </c>
      <c r="C836" s="3" t="s">
        <v>405</v>
      </c>
      <c r="D836" s="10">
        <f>D$723-((0.3*D$723)*((D$745-D$749)/(D$750-D$749)))</f>
        <v>50.965833494601512</v>
      </c>
      <c r="E836" s="10">
        <f>E$723-((0.3*E$723)*((E$745-E$749)/(E$750-E$749)))</f>
        <v>50.965833494601512</v>
      </c>
      <c r="F836" s="10" t="e">
        <f>F$723-((0.3*F$723)*((F$745-F$749)/(F$750-F$749)))</f>
        <v>#DIV/0!</v>
      </c>
      <c r="G836" s="10" t="e">
        <f>G$723-((0.3*G$723)*((G$745-G$749)/(G$750-G$749)))</f>
        <v>#DIV/0!</v>
      </c>
      <c r="H836" s="10" t="e">
        <f>H$723-((0.3*H$723)*((H$745-H$749)/(H$750-H$749)))</f>
        <v>#DIV/0!</v>
      </c>
    </row>
    <row r="837" spans="1:8" ht="14.25" hidden="1" x14ac:dyDescent="0.25">
      <c r="A837" s="5" t="s">
        <v>1229</v>
      </c>
      <c r="B837" s="2" t="s">
        <v>1149</v>
      </c>
      <c r="C837" s="3" t="s">
        <v>405</v>
      </c>
      <c r="D837" s="10">
        <f t="shared" ref="D837:H837" si="453">(0.9*29000*D$827)/D$745^2</f>
        <v>229.90449715771766</v>
      </c>
      <c r="E837" s="10">
        <f t="shared" si="453"/>
        <v>229.90449715771766</v>
      </c>
      <c r="F837" s="10" t="e">
        <f t="shared" si="453"/>
        <v>#DIV/0!</v>
      </c>
      <c r="G837" s="10" t="e">
        <f t="shared" si="453"/>
        <v>#DIV/0!</v>
      </c>
      <c r="H837" s="10" t="e">
        <f t="shared" si="453"/>
        <v>#DIV/0!</v>
      </c>
    </row>
    <row r="838" spans="1:8" ht="14.25" hidden="1" x14ac:dyDescent="0.25">
      <c r="A838" s="5" t="s">
        <v>1227</v>
      </c>
      <c r="B838" s="2" t="s">
        <v>931</v>
      </c>
      <c r="C838" s="3" t="s">
        <v>405</v>
      </c>
      <c r="D838" s="11">
        <f>IF(D$757="Noncompact",D$836,IF(D$757="Slender",D$837,D$723))</f>
        <v>50</v>
      </c>
      <c r="E838" s="11">
        <f>IF(E$757="Noncompact",E$836,IF(E$757="Slender",E$837,E$723))</f>
        <v>50</v>
      </c>
      <c r="F838" s="11" t="e">
        <f>IF(F$757="Noncompact",F$836,IF(F$757="Slender",F$837,F$723))</f>
        <v>#DIV/0!</v>
      </c>
      <c r="G838" s="11" t="e">
        <f>IF(G$757="Noncompact",G$836,IF(G$757="Slender",G$837,G$723))</f>
        <v>#DIV/0!</v>
      </c>
      <c r="H838" s="11" t="e">
        <f>IF(H$757="Noncompact",H$836,IF(H$757="Slender",H$837,H$723))</f>
        <v>#DIV/0!</v>
      </c>
    </row>
    <row r="839" spans="1:8" ht="14.25" hidden="1" x14ac:dyDescent="0.25">
      <c r="A839" s="13" t="s">
        <v>1228</v>
      </c>
      <c r="B839" s="2" t="s">
        <v>1150</v>
      </c>
      <c r="C839" s="3" t="s">
        <v>408</v>
      </c>
      <c r="D839" s="6">
        <f>D$823*D$838*D$718</f>
        <v>2494.2138481131019</v>
      </c>
      <c r="E839" s="6">
        <f>E$823*E$838*E$718</f>
        <v>2494.2138481131019</v>
      </c>
      <c r="F839" s="6" t="e">
        <f>F$823*F$838*F$718</f>
        <v>#DIV/0!</v>
      </c>
      <c r="G839" s="6" t="e">
        <f>G$823*G$838*G$718</f>
        <v>#DIV/0!</v>
      </c>
      <c r="H839" s="6" t="e">
        <f>H$823*H$838*H$718</f>
        <v>#DIV/0!</v>
      </c>
    </row>
    <row r="840" spans="1:8" hidden="1" x14ac:dyDescent="0.2">
      <c r="A840" s="119" t="s">
        <v>1203</v>
      </c>
    </row>
    <row r="841" spans="1:8" ht="14.25" hidden="1" x14ac:dyDescent="0.25">
      <c r="A841" s="13" t="s">
        <v>1231</v>
      </c>
      <c r="B841" s="2" t="s">
        <v>1235</v>
      </c>
      <c r="C841" s="3" t="s">
        <v>408</v>
      </c>
      <c r="D841" s="6">
        <f>IF(D$719&lt;D$718,D$743,D$829)</f>
        <v>2494.2138481131019</v>
      </c>
      <c r="E841" s="6">
        <f>IF(E$719&lt;E$718,E$743,E$829)</f>
        <v>2494.2138481131019</v>
      </c>
      <c r="F841" s="6" t="e">
        <f>IF(F$719&lt;F$718,F$743,F$829)</f>
        <v>#DIV/0!</v>
      </c>
      <c r="G841" s="6" t="e">
        <f>IF(G$719&lt;G$718,G$743,G$829)</f>
        <v>#DIV/0!</v>
      </c>
      <c r="H841" s="6" t="e">
        <f>IF(H$719&lt;H$718,H$743,H$829)</f>
        <v>#DIV/0!</v>
      </c>
    </row>
    <row r="842" spans="1:8" hidden="1" x14ac:dyDescent="0.2">
      <c r="A842" s="119" t="s">
        <v>1232</v>
      </c>
    </row>
    <row r="843" spans="1:8" ht="14.25" hidden="1" x14ac:dyDescent="0.25">
      <c r="A843" s="37" t="s">
        <v>1152</v>
      </c>
      <c r="B843" s="40" t="s">
        <v>1233</v>
      </c>
      <c r="C843" s="41" t="s">
        <v>408</v>
      </c>
      <c r="D843" s="133">
        <f>MIN(D$829,D$834,D$839,D$841)</f>
        <v>1973.3663419068976</v>
      </c>
      <c r="E843" s="133">
        <f>MIN(E$829,E$834,E$839,E$841)</f>
        <v>1973.3663419068976</v>
      </c>
      <c r="F843" s="133" t="e">
        <f>MIN(F$829,F$834,F$839,F$841)</f>
        <v>#DIV/0!</v>
      </c>
      <c r="G843" s="133" t="e">
        <f>MIN(G$829,G$834,G$839,G$841)</f>
        <v>#DIV/0!</v>
      </c>
      <c r="H843" s="133" t="e">
        <f>MIN(H$829,H$834,H$839,H$841)</f>
        <v>#DIV/0!</v>
      </c>
    </row>
    <row r="844" spans="1:8" hidden="1" x14ac:dyDescent="0.2">
      <c r="A844" s="118" t="s">
        <v>1215</v>
      </c>
      <c r="D844" s="10"/>
      <c r="E844" s="10"/>
      <c r="F844" s="10"/>
      <c r="G844" s="10"/>
      <c r="H844" s="10"/>
    </row>
    <row r="845" spans="1:8" ht="14.25" hidden="1" x14ac:dyDescent="0.25">
      <c r="A845" s="121" t="s">
        <v>1153</v>
      </c>
      <c r="B845" s="39" t="s">
        <v>1212</v>
      </c>
      <c r="C845" s="122" t="s">
        <v>406</v>
      </c>
      <c r="D845" s="123">
        <f t="shared" ref="D845:H845" si="454">IF(D$758="Slender",D$843,D$820)/12</f>
        <v>184.57841010086756</v>
      </c>
      <c r="E845" s="123">
        <f t="shared" si="454"/>
        <v>184.57841010086756</v>
      </c>
      <c r="F845" s="123" t="e">
        <f t="shared" si="454"/>
        <v>#DIV/0!</v>
      </c>
      <c r="G845" s="123" t="e">
        <f t="shared" si="454"/>
        <v>#DIV/0!</v>
      </c>
      <c r="H845" s="123" t="e">
        <f t="shared" si="454"/>
        <v>#DIV/0!</v>
      </c>
    </row>
    <row r="846" spans="1:8" hidden="1" x14ac:dyDescent="0.2">
      <c r="D846" s="10"/>
      <c r="E846" s="10"/>
      <c r="F846" s="10"/>
      <c r="G846" s="10"/>
      <c r="H846" s="10"/>
    </row>
    <row r="847" spans="1:8" x14ac:dyDescent="0.2">
      <c r="A847" s="5" t="s">
        <v>1157</v>
      </c>
      <c r="B847" s="2" t="str">
        <f>IF(D$7="ASD","Mn-y/Ω",IF(D$7="LRFD","φMn-y"))</f>
        <v>φMn-y</v>
      </c>
      <c r="C847" s="3" t="s">
        <v>406</v>
      </c>
      <c r="D847" s="24">
        <f>IF(D$7="ASD",D$851/1.67,IF(D$7="LRFD",0.9*D$851))</f>
        <v>91.022740526707011</v>
      </c>
      <c r="E847" s="24">
        <f>IF(E$7="ASD",E$851/1.67,IF(E$7="LRFD",0.9*E$851))</f>
        <v>60.560705606591497</v>
      </c>
      <c r="F847" s="24" t="e">
        <f>IF(F$7="ASD",F$851/1.67,IF(F$7="LRFD",0.9*F$851))</f>
        <v>#DIV/0!</v>
      </c>
      <c r="G847" s="24" t="e">
        <f>IF(G$7="ASD",G$851/1.67,IF(G$7="LRFD",0.9*G$851))</f>
        <v>#DIV/0!</v>
      </c>
      <c r="H847" s="24" t="e">
        <f>IF(H$7="ASD",H$851/1.67,IF(H$7="LRFD",0.9*H$851))</f>
        <v>#DIV/0!</v>
      </c>
    </row>
    <row r="848" spans="1:8" ht="14.25" hidden="1" x14ac:dyDescent="0.25">
      <c r="A848" s="5" t="s">
        <v>1173</v>
      </c>
      <c r="B848" s="2" t="s">
        <v>921</v>
      </c>
      <c r="C848" s="3" t="s">
        <v>408</v>
      </c>
      <c r="D848" s="10">
        <f>MIN(D$723*D$707,1.6*D$723*D$720)</f>
        <v>1213.6365403560935</v>
      </c>
      <c r="E848" s="10">
        <f>MIN(E$723*E$707,1.6*E$723*E$720)</f>
        <v>1213.6365403560935</v>
      </c>
      <c r="F848" s="10" t="e">
        <f>MIN(F$723*F$707,1.6*F$723*F$720)</f>
        <v>#DIV/0!</v>
      </c>
      <c r="G848" s="10" t="e">
        <f>MIN(G$723*G$707,1.6*G$723*G$720)</f>
        <v>#DIV/0!</v>
      </c>
      <c r="H848" s="10" t="e">
        <f>MIN(H$723*H$707,1.6*H$723*H$720)</f>
        <v>#DIV/0!</v>
      </c>
    </row>
    <row r="849" spans="1:8" ht="14.25" hidden="1" x14ac:dyDescent="0.25">
      <c r="A849" s="5" t="s">
        <v>1175</v>
      </c>
      <c r="B849" s="2" t="s">
        <v>922</v>
      </c>
      <c r="C849" s="3" t="s">
        <v>408</v>
      </c>
      <c r="D849" s="10">
        <f>D$848-(D$848-0.7*D$723*D$720)*(D$745-D$749)/(D$750-D$749)</f>
        <v>1257.5929461416515</v>
      </c>
      <c r="E849" s="10">
        <f>E$848-(E$848-0.7*E$723*E$720)*(E$745-E$749)/(E$750-E$749)</f>
        <v>1257.5929461416515</v>
      </c>
      <c r="F849" s="10" t="e">
        <f>F$848-(F$848-0.7*F$723*F$720)*(F$745-F$749)/(F$750-F$749)</f>
        <v>#DIV/0!</v>
      </c>
      <c r="G849" s="10" t="e">
        <f>G$848-(G$848-0.7*G$723*G$720)*(G$745-G$749)/(G$750-G$749)</f>
        <v>#DIV/0!</v>
      </c>
      <c r="H849" s="10" t="e">
        <f>H$848-(H$848-0.7*H$723*H$720)*(H$745-H$749)/(H$750-H$749)</f>
        <v>#DIV/0!</v>
      </c>
    </row>
    <row r="850" spans="1:8" ht="14.25" hidden="1" x14ac:dyDescent="0.25">
      <c r="A850" s="5" t="s">
        <v>1174</v>
      </c>
      <c r="B850" s="2" t="s">
        <v>923</v>
      </c>
      <c r="C850" s="3" t="s">
        <v>408</v>
      </c>
      <c r="D850" s="10">
        <f>((0.69*29000)/D$745^2)*D$720</f>
        <v>4525.415112477579</v>
      </c>
      <c r="E850" s="10">
        <f>((0.69*29000)/E$745^2)*E$720</f>
        <v>4525.415112477579</v>
      </c>
      <c r="F850" s="10" t="e">
        <f>((0.69*29000)/F$745^2)*F$720</f>
        <v>#DIV/0!</v>
      </c>
      <c r="G850" s="10" t="e">
        <f>((0.69*29000)/G$745^2)*G$720</f>
        <v>#DIV/0!</v>
      </c>
      <c r="H850" s="10" t="e">
        <f>((0.69*29000)/H$745^2)*H$720</f>
        <v>#DIV/0!</v>
      </c>
    </row>
    <row r="851" spans="1:8" ht="14.25" hidden="1" x14ac:dyDescent="0.25">
      <c r="A851" s="5" t="s">
        <v>424</v>
      </c>
      <c r="B851" s="2" t="s">
        <v>927</v>
      </c>
      <c r="C851" s="3" t="s">
        <v>406</v>
      </c>
      <c r="D851" s="6">
        <f t="shared" ref="D851:H851" si="455">IF(D$757="Compact",D$848,IF(D$757="Noncompact",D$849,IF(D$757="Slender",D$850,"")))/12</f>
        <v>101.13637836300779</v>
      </c>
      <c r="E851" s="6">
        <f t="shared" si="455"/>
        <v>101.13637836300779</v>
      </c>
      <c r="F851" s="6" t="e">
        <f t="shared" si="455"/>
        <v>#DIV/0!</v>
      </c>
      <c r="G851" s="6" t="e">
        <f t="shared" si="455"/>
        <v>#DIV/0!</v>
      </c>
      <c r="H851" s="6" t="e">
        <f t="shared" si="455"/>
        <v>#DIV/0!</v>
      </c>
    </row>
    <row r="852" spans="1:8" hidden="1" x14ac:dyDescent="0.2"/>
    <row r="853" spans="1:8" x14ac:dyDescent="0.2">
      <c r="A853" s="5" t="s">
        <v>1778</v>
      </c>
      <c r="B853" s="2" t="str">
        <f>IF(D$7="ASD","Pn-c/Ω",IF(D$7="LRFD","φPn-c"))</f>
        <v>φPn-c</v>
      </c>
      <c r="C853" s="3" t="s">
        <v>419</v>
      </c>
      <c r="D853" s="24">
        <f>IF(D$7="ASD",D$912/1.67,IF(D$7="LRFD",0.9*D$912))</f>
        <v>438.52978696148887</v>
      </c>
      <c r="E853" s="24">
        <f>IF(E$7="ASD",E$912/1.67,IF(E$7="LRFD",0.9*E$912))</f>
        <v>291.76965200365197</v>
      </c>
      <c r="F853" s="24" t="e">
        <f>IF(F$7="ASD",F$912/1.67,IF(F$7="LRFD",0.9*F$912))</f>
        <v>#DIV/0!</v>
      </c>
      <c r="G853" s="24" t="e">
        <f>IF(G$7="ASD",G$912/1.67,IF(G$7="LRFD",0.9*G$912))</f>
        <v>#DIV/0!</v>
      </c>
      <c r="H853" s="24" t="e">
        <f>IF(H$7="ASD",H$912/1.67,IF(H$7="LRFD",0.9*H$912))</f>
        <v>#DIV/0!</v>
      </c>
    </row>
    <row r="854" spans="1:8" hidden="1" x14ac:dyDescent="0.2">
      <c r="A854" s="118" t="s">
        <v>1626</v>
      </c>
      <c r="D854" s="9"/>
      <c r="E854" s="9"/>
      <c r="F854" s="9"/>
      <c r="G854" s="9"/>
      <c r="H854" s="9"/>
    </row>
    <row r="855" spans="1:8" ht="14.25" hidden="1" x14ac:dyDescent="0.25">
      <c r="A855" s="5" t="s">
        <v>427</v>
      </c>
      <c r="B855" s="2" t="s">
        <v>928</v>
      </c>
      <c r="D855" s="10">
        <f t="shared" ref="D855:H855" si="456">D$693*D$690*12/D$721</f>
        <v>55.348992090424169</v>
      </c>
      <c r="E855" s="10">
        <f t="shared" si="456"/>
        <v>55.348992090424169</v>
      </c>
      <c r="F855" s="10" t="e">
        <f t="shared" si="456"/>
        <v>#DIV/0!</v>
      </c>
      <c r="G855" s="10" t="e">
        <f t="shared" si="456"/>
        <v>#DIV/0!</v>
      </c>
      <c r="H855" s="10" t="e">
        <f t="shared" si="456"/>
        <v>#DIV/0!</v>
      </c>
    </row>
    <row r="856" spans="1:8" ht="14.25" hidden="1" x14ac:dyDescent="0.25">
      <c r="A856" s="5" t="s">
        <v>426</v>
      </c>
      <c r="B856" s="2" t="s">
        <v>929</v>
      </c>
      <c r="D856" s="10">
        <f t="shared" ref="D856:H856" si="457">D$693*D$691*12/D$722</f>
        <v>61.408318823986392</v>
      </c>
      <c r="E856" s="10">
        <f t="shared" si="457"/>
        <v>61.408318823986392</v>
      </c>
      <c r="F856" s="10" t="e">
        <f t="shared" si="457"/>
        <v>#DIV/0!</v>
      </c>
      <c r="G856" s="10" t="e">
        <f t="shared" si="457"/>
        <v>#DIV/0!</v>
      </c>
      <c r="H856" s="10" t="e">
        <f t="shared" si="457"/>
        <v>#DIV/0!</v>
      </c>
    </row>
    <row r="857" spans="1:8" ht="14.25" hidden="1" x14ac:dyDescent="0.25">
      <c r="A857" s="5" t="s">
        <v>1170</v>
      </c>
      <c r="B857" s="2" t="s">
        <v>930</v>
      </c>
      <c r="C857" s="3" t="s">
        <v>405</v>
      </c>
      <c r="D857" s="10">
        <f>(PI()^2*29000)/MAX(D$855,D$856)^2</f>
        <v>75.900271179723887</v>
      </c>
      <c r="E857" s="10">
        <f>(PI()^2*29000)/MAX(E$855,E$856)^2</f>
        <v>75.900271179723887</v>
      </c>
      <c r="F857" s="10" t="e">
        <f>(PI()^2*29000)/MAX(F$855,F$856)^2</f>
        <v>#DIV/0!</v>
      </c>
      <c r="G857" s="10" t="e">
        <f>(PI()^2*29000)/MAX(G$855,G$856)^2</f>
        <v>#DIV/0!</v>
      </c>
      <c r="H857" s="10" t="e">
        <f>(PI()^2*29000)/MAX(H$855,H$856)^2</f>
        <v>#DIV/0!</v>
      </c>
    </row>
    <row r="858" spans="1:8" ht="14.25" hidden="1" x14ac:dyDescent="0.25">
      <c r="A858" s="5" t="s">
        <v>1171</v>
      </c>
      <c r="B858" s="2" t="s">
        <v>931</v>
      </c>
      <c r="C858" s="3" t="s">
        <v>405</v>
      </c>
      <c r="D858" s="10">
        <f>IF(D$723/D$857&lt;=2.25,(0.658^(D$723/D$857))*D$723,0.877*D$857)</f>
        <v>37.951124095798264</v>
      </c>
      <c r="E858" s="10">
        <f>IF(E$723/E$857&lt;=2.25,(0.658^(E$723/E$857))*E$723,0.877*E$857)</f>
        <v>37.951124095798264</v>
      </c>
      <c r="F858" s="10" t="e">
        <f>IF(F$723/F$857&lt;=2.25,(0.658^(F$723/F$857))*F$723,0.877*F$857)</f>
        <v>#DIV/0!</v>
      </c>
      <c r="G858" s="10" t="e">
        <f>IF(G$723/G$857&lt;=2.25,(0.658^(G$723/G$857))*G$723,0.877*G$857)</f>
        <v>#DIV/0!</v>
      </c>
      <c r="H858" s="10" t="e">
        <f>IF(H$723/H$857&lt;=2.25,(0.658^(H$723/H$857))*H$723,0.877*H$857)</f>
        <v>#DIV/0!</v>
      </c>
    </row>
    <row r="859" spans="1:8" ht="14.25" hidden="1" x14ac:dyDescent="0.25">
      <c r="A859" s="5" t="s">
        <v>1172</v>
      </c>
      <c r="B859" s="2" t="s">
        <v>932</v>
      </c>
      <c r="C859" s="3" t="s">
        <v>419</v>
      </c>
      <c r="D859" s="6">
        <f>D$858*D$703</f>
        <v>523.50729355846522</v>
      </c>
      <c r="E859" s="6">
        <f>E$858*E$703</f>
        <v>523.50729355846522</v>
      </c>
      <c r="F859" s="6" t="e">
        <f>F$858*F$703</f>
        <v>#DIV/0!</v>
      </c>
      <c r="G859" s="6" t="e">
        <f>G$858*G$703</f>
        <v>#DIV/0!</v>
      </c>
      <c r="H859" s="6" t="e">
        <f>H$858*H$703</f>
        <v>#DIV/0!</v>
      </c>
    </row>
    <row r="860" spans="1:8" hidden="1" x14ac:dyDescent="0.2">
      <c r="A860" s="118" t="s">
        <v>1627</v>
      </c>
    </row>
    <row r="861" spans="1:8" s="102" customFormat="1" ht="25.5" hidden="1" x14ac:dyDescent="0.25">
      <c r="A861" s="99" t="s">
        <v>1930</v>
      </c>
      <c r="B861" s="3" t="s">
        <v>1828</v>
      </c>
      <c r="C861" s="3" t="s">
        <v>407</v>
      </c>
      <c r="D861" s="141">
        <f>-(D701-0.5*D697)+(D736*D731)</f>
        <v>1.5464694009193716</v>
      </c>
      <c r="E861" s="141">
        <f>-(E701-0.5*E697)+(E736*E731)</f>
        <v>1.5464694009193716</v>
      </c>
      <c r="F861" s="141" t="e">
        <f>-(F701-0.5*F697)+(F736*F731)</f>
        <v>#DIV/0!</v>
      </c>
      <c r="G861" s="141" t="e">
        <f>-(G701-0.5*G697)+(G736*G731)</f>
        <v>#DIV/0!</v>
      </c>
      <c r="H861" s="141" t="e">
        <f>-(H701-0.5*H697)+(H736*H731)</f>
        <v>#DIV/0!</v>
      </c>
    </row>
    <row r="862" spans="1:8" ht="14.25" hidden="1" x14ac:dyDescent="0.25">
      <c r="A862" s="5" t="s">
        <v>1833</v>
      </c>
      <c r="B862" s="2" t="s">
        <v>1598</v>
      </c>
      <c r="C862" s="3" t="s">
        <v>407</v>
      </c>
      <c r="D862" s="10">
        <f>SQRT(D861^2+((D704+D705)/D703))</f>
        <v>5.9131395085119296</v>
      </c>
      <c r="E862" s="10">
        <f>SQRT(E861^2+((E704+E705)/E703))</f>
        <v>5.9131395085119296</v>
      </c>
      <c r="F862" s="10" t="e">
        <f>SQRT(F861^2+((F704+F705)/F703))</f>
        <v>#DIV/0!</v>
      </c>
      <c r="G862" s="10" t="e">
        <f>SQRT(G861^2+((G704+G705)/G703))</f>
        <v>#DIV/0!</v>
      </c>
      <c r="H862" s="10" t="e">
        <f>SQRT(H861^2+((H704+H705)/H703))</f>
        <v>#DIV/0!</v>
      </c>
    </row>
    <row r="863" spans="1:8" hidden="1" x14ac:dyDescent="0.2">
      <c r="A863" s="5" t="s">
        <v>1832</v>
      </c>
      <c r="B863" s="2" t="s">
        <v>1311</v>
      </c>
      <c r="D863" s="10">
        <f t="shared" ref="D863:E863" si="458">1-(D861^2/D862^2)</f>
        <v>0.93160152612124758</v>
      </c>
      <c r="E863" s="10">
        <f t="shared" si="458"/>
        <v>0.93160152612124758</v>
      </c>
      <c r="F863" s="10" t="e">
        <f t="shared" ref="F863:G863" si="459">1-(F861^2/F862^2)</f>
        <v>#DIV/0!</v>
      </c>
      <c r="G863" s="10" t="e">
        <f t="shared" si="459"/>
        <v>#DIV/0!</v>
      </c>
      <c r="H863" s="10" t="e">
        <f t="shared" ref="H863" si="460">1-(H861^2/H862^2)</f>
        <v>#DIV/0!</v>
      </c>
    </row>
    <row r="864" spans="1:8" ht="15" hidden="1" x14ac:dyDescent="0.25">
      <c r="A864" s="5" t="s">
        <v>1639</v>
      </c>
      <c r="C864" s="3" t="s">
        <v>1834</v>
      </c>
      <c r="D864" s="10">
        <f>(((29000*D$737*PI()^2)/(12*D$693*D$692)^2)+(11200*D$738))</f>
        <v>38748.342925277728</v>
      </c>
      <c r="E864" s="10">
        <f>(((29000*E$737*PI()^2)/(12*E$693*E$692)^2)+(11200*E$738))</f>
        <v>38748.342925277728</v>
      </c>
      <c r="F864" s="10" t="e">
        <f>(((29000*F$737*PI()^2)/(12*F$693*F$692)^2)+(11200*F$738))</f>
        <v>#DIV/0!</v>
      </c>
      <c r="G864" s="10" t="e">
        <f>(((29000*G$737*PI()^2)/(12*G$693*G$692)^2)+(11200*G$738))</f>
        <v>#DIV/0!</v>
      </c>
      <c r="H864" s="10" t="e">
        <f>(((29000*H$737*PI()^2)/(12*H$693*H$692)^2)+(11200*H$738))</f>
        <v>#DIV/0!</v>
      </c>
    </row>
    <row r="865" spans="1:8" ht="14.25" hidden="1" x14ac:dyDescent="0.25">
      <c r="A865" s="5" t="s">
        <v>1640</v>
      </c>
      <c r="B865" s="2" t="s">
        <v>1621</v>
      </c>
      <c r="C865" s="3" t="s">
        <v>405</v>
      </c>
      <c r="D865" s="10">
        <f>(29000*PI()^2)/(D$855^2)</f>
        <v>93.428270568940803</v>
      </c>
      <c r="E865" s="10">
        <f>(29000*PI()^2)/(E$855^2)</f>
        <v>93.428270568940803</v>
      </c>
      <c r="F865" s="10" t="e">
        <f>(29000*PI()^2)/(F$855^2)</f>
        <v>#DIV/0!</v>
      </c>
      <c r="G865" s="10" t="e">
        <f>(29000*PI()^2)/(G$855^2)</f>
        <v>#DIV/0!</v>
      </c>
      <c r="H865" s="10" t="e">
        <f>(29000*PI()^2)/(H$855^2)</f>
        <v>#DIV/0!</v>
      </c>
    </row>
    <row r="866" spans="1:8" ht="14.25" hidden="1" x14ac:dyDescent="0.25">
      <c r="A866" s="5" t="s">
        <v>1641</v>
      </c>
      <c r="B866" s="2" t="s">
        <v>1623</v>
      </c>
      <c r="C866" s="3" t="s">
        <v>405</v>
      </c>
      <c r="D866" s="10">
        <f>(29000*PI()^2)/(D$856^2)</f>
        <v>75.900271179723887</v>
      </c>
      <c r="E866" s="10">
        <f>(29000*PI()^2)/(E$856^2)</f>
        <v>75.900271179723887</v>
      </c>
      <c r="F866" s="10" t="e">
        <f>(29000*PI()^2)/(F$856^2)</f>
        <v>#DIV/0!</v>
      </c>
      <c r="G866" s="10" t="e">
        <f>(29000*PI()^2)/(G$856^2)</f>
        <v>#DIV/0!</v>
      </c>
      <c r="H866" s="10" t="e">
        <f>(29000*PI()^2)/(H$856^2)</f>
        <v>#DIV/0!</v>
      </c>
    </row>
    <row r="867" spans="1:8" ht="14.25" hidden="1" x14ac:dyDescent="0.25">
      <c r="A867" s="5" t="s">
        <v>1642</v>
      </c>
      <c r="B867" s="2" t="s">
        <v>1622</v>
      </c>
      <c r="C867" s="3" t="s">
        <v>405</v>
      </c>
      <c r="D867" s="10">
        <f>D$864*(1/(D$703*D$862^2))</f>
        <v>80.337588460794038</v>
      </c>
      <c r="E867" s="10">
        <f>E$864*(1/(E$703*E$862^2))</f>
        <v>80.337588460794038</v>
      </c>
      <c r="F867" s="10" t="e">
        <f>F$864*(1/(F$703*F$862^2))</f>
        <v>#DIV/0!</v>
      </c>
      <c r="G867" s="10" t="e">
        <f>G$864*(1/(G$703*G$862^2))</f>
        <v>#DIV/0!</v>
      </c>
      <c r="H867" s="10" t="e">
        <f>H$864*(1/(H$703*H$862^2))</f>
        <v>#DIV/0!</v>
      </c>
    </row>
    <row r="868" spans="1:8" ht="14.25" hidden="1" x14ac:dyDescent="0.25">
      <c r="A868" s="5" t="s">
        <v>1635</v>
      </c>
      <c r="B868" s="2" t="s">
        <v>1838</v>
      </c>
      <c r="C868" s="3" t="s">
        <v>405</v>
      </c>
      <c r="D868" s="10">
        <f>D$864*(1/(D$704+D$705))</f>
        <v>86.235999199445416</v>
      </c>
      <c r="E868" s="10">
        <f>E$864*(1/(E$704+E$705))</f>
        <v>86.235999199445416</v>
      </c>
      <c r="F868" s="10" t="e">
        <f>F$864*(1/(F$704+F$705))</f>
        <v>#DIV/0!</v>
      </c>
      <c r="G868" s="10" t="e">
        <f>G$864*(1/(G$704+G$705))</f>
        <v>#DIV/0!</v>
      </c>
      <c r="H868" s="10" t="e">
        <f>H$864*(1/(H$704+H$705))</f>
        <v>#DIV/0!</v>
      </c>
    </row>
    <row r="869" spans="1:8" ht="14.25" hidden="1" x14ac:dyDescent="0.25">
      <c r="A869" s="5" t="s">
        <v>1657</v>
      </c>
      <c r="B869" s="2" t="s">
        <v>1835</v>
      </c>
      <c r="C869" s="3" t="s">
        <v>405</v>
      </c>
      <c r="D869" s="10">
        <f>((D$866+D$867)/(2*D$863))*(1-SQRT(1-((4*D$866*D$867*D$863)/(D$866+D$867)^2)))</f>
        <v>61.803768385656426</v>
      </c>
      <c r="E869" s="10">
        <f>((E$866+E$867)/(2*E$863))*(1-SQRT(1-((4*E$866*E$867*E$863)/(E$866+E$867)^2)))</f>
        <v>61.803768385656426</v>
      </c>
      <c r="F869" s="10" t="e">
        <f>((F$866+F$867)/(2*F$863))*(1-SQRT(1-((4*F$866*F$867*F$863)/(F$866+F$867)^2)))</f>
        <v>#DIV/0!</v>
      </c>
      <c r="G869" s="10" t="e">
        <f>((G$866+G$867)/(2*G$863))*(1-SQRT(1-((4*G$866*G$867*G$863)/(G$866+G$867)^2)))</f>
        <v>#DIV/0!</v>
      </c>
      <c r="H869" s="10" t="e">
        <f>((H$866+H$867)/(2*H$863))*(1-SQRT(1-((4*H$866*H$867*H$863)/(H$866+H$867)^2)))</f>
        <v>#DIV/0!</v>
      </c>
    </row>
    <row r="870" spans="1:8" ht="14.25" hidden="1" x14ac:dyDescent="0.25">
      <c r="A870" s="5" t="s">
        <v>1658</v>
      </c>
      <c r="B870" s="2" t="s">
        <v>1836</v>
      </c>
      <c r="C870" s="3" t="s">
        <v>405</v>
      </c>
      <c r="D870" s="10">
        <f>((D$865+D$867)/(2*D$863))*(1-SQRT(1-((4*D$865*D$867*D$863)/(D$865+D$867)^2)))</f>
        <v>67.94585977305114</v>
      </c>
      <c r="E870" s="10">
        <f>((E$865+E$867)/(2*E$863))*(1-SQRT(1-((4*E$865*E$867*E$863)/(E$865+E$867)^2)))</f>
        <v>67.94585977305114</v>
      </c>
      <c r="F870" s="10" t="e">
        <f>((F$865+F$867)/(2*F$863))*(1-SQRT(1-((4*F$865*F$867*F$863)/(F$865+F$867)^2)))</f>
        <v>#DIV/0!</v>
      </c>
      <c r="G870" s="10" t="e">
        <f>((G$865+G$867)/(2*G$863))*(1-SQRT(1-((4*G$865*G$867*G$863)/(G$865+G$867)^2)))</f>
        <v>#DIV/0!</v>
      </c>
      <c r="H870" s="10" t="e">
        <f>((H$865+H$867)/(2*H$863))*(1-SQRT(1-((4*H$865*H$867*H$863)/(H$865+H$867)^2)))</f>
        <v>#DIV/0!</v>
      </c>
    </row>
    <row r="871" spans="1:8" ht="14.25" hidden="1" x14ac:dyDescent="0.25">
      <c r="A871" s="5" t="s">
        <v>1656</v>
      </c>
      <c r="B871" s="2" t="s">
        <v>1839</v>
      </c>
      <c r="C871" s="3" t="s">
        <v>405</v>
      </c>
      <c r="D871" s="10">
        <f>IF(D$178="C",D870,IF(D$178="MC",D870,D869))</f>
        <v>61.803768385656426</v>
      </c>
      <c r="E871" s="10">
        <f>IF(E$178="C",E870,IF(E$178="MC",E870,E869))</f>
        <v>61.803768385656426</v>
      </c>
      <c r="F871" s="10" t="e">
        <f>IF(F$178="C",F870,IF(F$178="MC",F870,F869))</f>
        <v>#DIV/0!</v>
      </c>
      <c r="G871" s="10" t="e">
        <f>IF(G$178="C",G870,IF(G$178="MC",G870,G869))</f>
        <v>#DIV/0!</v>
      </c>
      <c r="H871" s="10" t="e">
        <f>IF(H$178="C",H870,IF(H$178="MC",H870,H869))</f>
        <v>#DIV/0!</v>
      </c>
    </row>
    <row r="872" spans="1:8" ht="14.25" hidden="1" x14ac:dyDescent="0.25">
      <c r="A872" s="5" t="s">
        <v>1837</v>
      </c>
      <c r="B872" s="2" t="s">
        <v>1624</v>
      </c>
      <c r="C872" s="3" t="s">
        <v>405</v>
      </c>
      <c r="D872" s="10">
        <f>IF(D718=D719,D868,D871)</f>
        <v>61.803768385656426</v>
      </c>
      <c r="E872" s="10">
        <f>IF(E718=E719,E868,E871)</f>
        <v>61.803768385656426</v>
      </c>
      <c r="F872" s="10" t="e">
        <f>IF(F718=F719,F868,F871)</f>
        <v>#DIV/0!</v>
      </c>
      <c r="G872" s="10" t="e">
        <f>IF(G718=G719,G868,G871)</f>
        <v>#DIV/0!</v>
      </c>
      <c r="H872" s="10" t="e">
        <f>IF(H718=H719,H868,H871)</f>
        <v>#DIV/0!</v>
      </c>
    </row>
    <row r="873" spans="1:8" ht="14.25" hidden="1" x14ac:dyDescent="0.25">
      <c r="A873" s="5" t="s">
        <v>1840</v>
      </c>
      <c r="B873" s="2" t="s">
        <v>1148</v>
      </c>
      <c r="C873" s="3" t="s">
        <v>405</v>
      </c>
      <c r="D873" s="11">
        <f>IF(D$723/D$872&lt;=2.25,(0.658^(D$723/D$872))*D$723,0.877*D$872)</f>
        <v>35.637935900307852</v>
      </c>
      <c r="E873" s="11">
        <f>IF(E$723/E$872&lt;=2.25,(0.658^(E$723/E$872))*E$723,0.877*E$872)</f>
        <v>35.637935900307852</v>
      </c>
      <c r="F873" s="11" t="e">
        <f>IF(F$723/F$872&lt;=2.25,(0.658^(F$723/F$872))*F$723,0.877*F$872)</f>
        <v>#DIV/0!</v>
      </c>
      <c r="G873" s="11" t="e">
        <f>IF(G$723/G$872&lt;=2.25,(0.658^(G$723/G$872))*G$723,0.877*G$872)</f>
        <v>#DIV/0!</v>
      </c>
      <c r="H873" s="11" t="e">
        <f>IF(H$723/H$872&lt;=2.25,(0.658^(H$723/H$872))*H$723,0.877*H$872)</f>
        <v>#DIV/0!</v>
      </c>
    </row>
    <row r="874" spans="1:8" ht="14.25" hidden="1" x14ac:dyDescent="0.25">
      <c r="A874" s="5" t="s">
        <v>1634</v>
      </c>
      <c r="B874" s="2" t="s">
        <v>932</v>
      </c>
      <c r="C874" s="3" t="s">
        <v>419</v>
      </c>
      <c r="D874" s="6">
        <f>D873*D703</f>
        <v>491.59859729282158</v>
      </c>
      <c r="E874" s="6">
        <f>E873*E703</f>
        <v>491.59859729282158</v>
      </c>
      <c r="F874" s="6" t="e">
        <f>F873*F703</f>
        <v>#DIV/0!</v>
      </c>
      <c r="G874" s="6" t="e">
        <f>G873*G703</f>
        <v>#DIV/0!</v>
      </c>
      <c r="H874" s="6" t="e">
        <f>H873*H703</f>
        <v>#DIV/0!</v>
      </c>
    </row>
    <row r="875" spans="1:8" hidden="1" x14ac:dyDescent="0.2">
      <c r="A875" s="118" t="s">
        <v>1628</v>
      </c>
      <c r="D875" s="10"/>
      <c r="E875" s="10"/>
      <c r="F875" s="10"/>
      <c r="G875" s="10"/>
      <c r="H875" s="10"/>
    </row>
    <row r="876" spans="1:8" hidden="1" x14ac:dyDescent="0.2">
      <c r="A876" s="119" t="s">
        <v>1672</v>
      </c>
    </row>
    <row r="877" spans="1:8" ht="14.25" hidden="1" x14ac:dyDescent="0.25">
      <c r="A877" s="5" t="s">
        <v>1672</v>
      </c>
      <c r="B877" s="2" t="s">
        <v>1849</v>
      </c>
      <c r="C877" s="3" t="s">
        <v>405</v>
      </c>
      <c r="D877" s="10">
        <f>MIN(D858,D873)</f>
        <v>35.637935900307852</v>
      </c>
      <c r="E877" s="10">
        <f>MIN(E858,E873)</f>
        <v>35.637935900307852</v>
      </c>
      <c r="F877" s="10" t="e">
        <f>MIN(F858,F873)</f>
        <v>#DIV/0!</v>
      </c>
      <c r="G877" s="10" t="e">
        <f>MIN(G858,G873)</f>
        <v>#DIV/0!</v>
      </c>
      <c r="H877" s="10" t="e">
        <f>MIN(H858,H873)</f>
        <v>#DIV/0!</v>
      </c>
    </row>
    <row r="878" spans="1:8" hidden="1" x14ac:dyDescent="0.2">
      <c r="A878" s="119" t="s">
        <v>1659</v>
      </c>
      <c r="D878" s="10"/>
      <c r="E878" s="10"/>
      <c r="F878" s="10"/>
      <c r="G878" s="10"/>
      <c r="H878" s="10"/>
    </row>
    <row r="879" spans="1:8" ht="14.25" hidden="1" x14ac:dyDescent="0.25">
      <c r="A879" s="5" t="s">
        <v>1662</v>
      </c>
      <c r="B879" s="2" t="s">
        <v>1631</v>
      </c>
      <c r="D879" s="10">
        <v>0.18</v>
      </c>
      <c r="E879" s="10">
        <v>0.18</v>
      </c>
      <c r="F879" s="10">
        <v>0.18</v>
      </c>
      <c r="G879" s="10">
        <v>0.18</v>
      </c>
      <c r="H879" s="10">
        <v>0.18</v>
      </c>
    </row>
    <row r="880" spans="1:8" ht="14.25" hidden="1" x14ac:dyDescent="0.25">
      <c r="A880" s="5" t="s">
        <v>1662</v>
      </c>
      <c r="B880" s="2" t="s">
        <v>1632</v>
      </c>
      <c r="D880" s="10">
        <v>1.31</v>
      </c>
      <c r="E880" s="10">
        <v>1.31</v>
      </c>
      <c r="F880" s="10">
        <v>1.31</v>
      </c>
      <c r="G880" s="10">
        <v>1.31</v>
      </c>
      <c r="H880" s="10">
        <v>1.31</v>
      </c>
    </row>
    <row r="881" spans="1:8" ht="14.25" hidden="1" x14ac:dyDescent="0.25">
      <c r="A881" s="45" t="s">
        <v>1848</v>
      </c>
      <c r="B881" s="2" t="s">
        <v>1852</v>
      </c>
      <c r="C881" s="4"/>
      <c r="D881" s="10">
        <f>D730/D696</f>
        <v>45.828054298642535</v>
      </c>
      <c r="E881" s="10">
        <f>E730/E696</f>
        <v>45.828054298642535</v>
      </c>
      <c r="F881" s="10" t="e">
        <f>F730/F696</f>
        <v>#DIV/0!</v>
      </c>
      <c r="G881" s="10" t="e">
        <f>G730/G696</f>
        <v>#DIV/0!</v>
      </c>
      <c r="H881" s="10" t="e">
        <f>H730/H696</f>
        <v>#DIV/0!</v>
      </c>
    </row>
    <row r="882" spans="1:8" ht="14.25" hidden="1" x14ac:dyDescent="0.25">
      <c r="A882" s="5" t="s">
        <v>1795</v>
      </c>
      <c r="B882" s="2" t="s">
        <v>1803</v>
      </c>
      <c r="D882" s="10">
        <f t="shared" ref="D882:E882" si="461">D748</f>
        <v>35.883951844801039</v>
      </c>
      <c r="E882" s="10">
        <f t="shared" si="461"/>
        <v>35.883951844801039</v>
      </c>
      <c r="F882" s="10" t="e">
        <f t="shared" ref="F882:G882" si="462">F748</f>
        <v>#DIV/0!</v>
      </c>
      <c r="G882" s="10" t="e">
        <f t="shared" si="462"/>
        <v>#DIV/0!</v>
      </c>
      <c r="H882" s="10" t="e">
        <f t="shared" ref="H882" si="463">H748</f>
        <v>#DIV/0!</v>
      </c>
    </row>
    <row r="883" spans="1:8" ht="14.25" hidden="1" x14ac:dyDescent="0.25">
      <c r="A883" s="5" t="s">
        <v>1661</v>
      </c>
      <c r="B883" s="2" t="s">
        <v>1633</v>
      </c>
      <c r="C883" s="3" t="s">
        <v>405</v>
      </c>
      <c r="D883" s="10">
        <f>D$723*(D880*(D882/D881))^2</f>
        <v>52.607817878960219</v>
      </c>
      <c r="E883" s="10">
        <f>E$723*(E880*(E882/E881))^2</f>
        <v>52.607817878960219</v>
      </c>
      <c r="F883" s="10" t="e">
        <f>F$723*(F880*(F882/F881))^2</f>
        <v>#DIV/0!</v>
      </c>
      <c r="G883" s="10" t="e">
        <f>G$723*(G880*(G882/G881))^2</f>
        <v>#DIV/0!</v>
      </c>
      <c r="H883" s="10" t="e">
        <f>H$723*(H880*(H882/H881))^2</f>
        <v>#DIV/0!</v>
      </c>
    </row>
    <row r="884" spans="1:8" hidden="1" x14ac:dyDescent="0.2">
      <c r="A884" s="5" t="s">
        <v>1665</v>
      </c>
      <c r="D884" s="10">
        <f>D882*(SQRT(D$723/D877))</f>
        <v>42.50392104710216</v>
      </c>
      <c r="E884" s="10">
        <f>E882*(SQRT(E$723/E877))</f>
        <v>42.50392104710216</v>
      </c>
      <c r="F884" s="10" t="e">
        <f>F882*(SQRT(F$723/F877))</f>
        <v>#DIV/0!</v>
      </c>
      <c r="G884" s="10" t="e">
        <f>G882*(SQRT(G$723/G877))</f>
        <v>#DIV/0!</v>
      </c>
      <c r="H884" s="10" t="e">
        <f>H882*(SQRT(H$723/H877))</f>
        <v>#DIV/0!</v>
      </c>
    </row>
    <row r="885" spans="1:8" ht="14.25" hidden="1" x14ac:dyDescent="0.25">
      <c r="A885" s="5" t="s">
        <v>1675</v>
      </c>
      <c r="B885" s="2" t="s">
        <v>943</v>
      </c>
      <c r="C885" s="3" t="s">
        <v>407</v>
      </c>
      <c r="D885" s="10">
        <f>D717</f>
        <v>10.87</v>
      </c>
      <c r="E885" s="10">
        <f>E717</f>
        <v>10.87</v>
      </c>
      <c r="F885" s="10">
        <f>F717</f>
        <v>0</v>
      </c>
      <c r="G885" s="10">
        <f>G717</f>
        <v>0</v>
      </c>
      <c r="H885" s="10">
        <f>H717</f>
        <v>0</v>
      </c>
    </row>
    <row r="886" spans="1:8" ht="14.25" hidden="1" x14ac:dyDescent="0.25">
      <c r="A886" s="5" t="s">
        <v>1676</v>
      </c>
      <c r="B886" s="2" t="s">
        <v>2073</v>
      </c>
      <c r="C886" s="3" t="s">
        <v>407</v>
      </c>
      <c r="D886" s="10">
        <f>IF(D881&gt;D884,D885*(1-(D879*SQRT(D883/D877)))*(SQRT(D883/D877)),D885)</f>
        <v>10.318541472623282</v>
      </c>
      <c r="E886" s="10">
        <f>IF(E881&gt;E884,E885*(1-(E879*SQRT(E883/E877)))*(SQRT(E883/E877)),E885)</f>
        <v>10.318541472623282</v>
      </c>
      <c r="F886" s="10" t="e">
        <f>IF(F881&gt;F884,F885*(1-(F879*SQRT(F883/F877)))*(SQRT(F883/F877)),F885)</f>
        <v>#DIV/0!</v>
      </c>
      <c r="G886" s="10" t="e">
        <f>IF(G881&gt;G884,G885*(1-(G879*SQRT(G883/G877)))*(SQRT(G883/G877)),G885)</f>
        <v>#DIV/0!</v>
      </c>
      <c r="H886" s="10" t="e">
        <f>IF(H881&gt;H884,H885*(1-(H879*SQRT(H883/H877)))*(SQRT(H883/H877)),H885)</f>
        <v>#DIV/0!</v>
      </c>
    </row>
    <row r="887" spans="1:8" ht="14.25" hidden="1" x14ac:dyDescent="0.25">
      <c r="A887" s="5" t="s">
        <v>411</v>
      </c>
      <c r="B887" s="2" t="s">
        <v>902</v>
      </c>
      <c r="C887" s="3" t="s">
        <v>407</v>
      </c>
      <c r="D887" s="12">
        <f>D696</f>
        <v>0.221</v>
      </c>
      <c r="E887" s="12">
        <f>E696</f>
        <v>0.221</v>
      </c>
      <c r="F887" s="12">
        <f>F696</f>
        <v>0</v>
      </c>
      <c r="G887" s="12">
        <f>G696</f>
        <v>0</v>
      </c>
      <c r="H887" s="12">
        <f>H696</f>
        <v>0</v>
      </c>
    </row>
    <row r="888" spans="1:8" ht="15" hidden="1" x14ac:dyDescent="0.25">
      <c r="A888" s="37" t="s">
        <v>1667</v>
      </c>
      <c r="B888" s="40" t="s">
        <v>2069</v>
      </c>
      <c r="C888" s="41" t="s">
        <v>2068</v>
      </c>
      <c r="D888" s="38">
        <f t="shared" ref="D888:E888" si="464">D886*D887</f>
        <v>2.2803976654497453</v>
      </c>
      <c r="E888" s="38">
        <f t="shared" si="464"/>
        <v>2.2803976654497453</v>
      </c>
      <c r="F888" s="38" t="e">
        <f t="shared" ref="F888:G888" si="465">F886*F887</f>
        <v>#DIV/0!</v>
      </c>
      <c r="G888" s="38" t="e">
        <f t="shared" si="465"/>
        <v>#DIV/0!</v>
      </c>
      <c r="H888" s="38" t="e">
        <f t="shared" ref="H888" si="466">H886*H887</f>
        <v>#DIV/0!</v>
      </c>
    </row>
    <row r="889" spans="1:8" hidden="1" x14ac:dyDescent="0.2">
      <c r="A889" s="119" t="s">
        <v>1671</v>
      </c>
      <c r="D889" s="10"/>
      <c r="E889" s="10"/>
      <c r="F889" s="10"/>
      <c r="G889" s="10"/>
      <c r="H889" s="10"/>
    </row>
    <row r="890" spans="1:8" ht="14.25" hidden="1" x14ac:dyDescent="0.25">
      <c r="A890" s="5" t="s">
        <v>1662</v>
      </c>
      <c r="B890" s="2" t="s">
        <v>1631</v>
      </c>
      <c r="D890" s="10">
        <v>0.22</v>
      </c>
      <c r="E890" s="10">
        <v>0.22</v>
      </c>
      <c r="F890" s="10">
        <v>0.22</v>
      </c>
      <c r="G890" s="10">
        <v>0.22</v>
      </c>
      <c r="H890" s="10">
        <v>0.22</v>
      </c>
    </row>
    <row r="891" spans="1:8" ht="14.25" hidden="1" x14ac:dyDescent="0.25">
      <c r="A891" s="5" t="s">
        <v>1662</v>
      </c>
      <c r="B891" s="2" t="s">
        <v>1632</v>
      </c>
      <c r="D891" s="10">
        <v>1.49</v>
      </c>
      <c r="E891" s="10">
        <v>1.49</v>
      </c>
      <c r="F891" s="10">
        <v>1.49</v>
      </c>
      <c r="G891" s="10">
        <v>1.49</v>
      </c>
      <c r="H891" s="10">
        <v>1.49</v>
      </c>
    </row>
    <row r="892" spans="1:8" ht="14.25" hidden="1" x14ac:dyDescent="0.25">
      <c r="A892" s="45" t="s">
        <v>1850</v>
      </c>
      <c r="B892" s="2" t="s">
        <v>1851</v>
      </c>
      <c r="C892" s="4"/>
      <c r="D892" s="10">
        <f t="shared" ref="D892:E892" si="467">D745</f>
        <v>8.1901840490797539</v>
      </c>
      <c r="E892" s="10">
        <f t="shared" si="467"/>
        <v>8.1901840490797539</v>
      </c>
      <c r="F892" s="10" t="e">
        <f t="shared" ref="F892:G892" si="468">F745</f>
        <v>#DIV/0!</v>
      </c>
      <c r="G892" s="10" t="e">
        <f t="shared" si="468"/>
        <v>#DIV/0!</v>
      </c>
      <c r="H892" s="10" t="e">
        <f t="shared" ref="H892" si="469">H745</f>
        <v>#DIV/0!</v>
      </c>
    </row>
    <row r="893" spans="1:8" ht="14.25" hidden="1" x14ac:dyDescent="0.25">
      <c r="A893" s="5" t="s">
        <v>1790</v>
      </c>
      <c r="B893" s="2" t="s">
        <v>1802</v>
      </c>
      <c r="D893" s="10">
        <f t="shared" ref="D893:E893" si="470">D747</f>
        <v>13.486585928247372</v>
      </c>
      <c r="E893" s="10">
        <f t="shared" si="470"/>
        <v>13.486585928247372</v>
      </c>
      <c r="F893" s="10" t="e">
        <f t="shared" ref="F893:G893" si="471">F747</f>
        <v>#DIV/0!</v>
      </c>
      <c r="G893" s="10" t="e">
        <f t="shared" si="471"/>
        <v>#DIV/0!</v>
      </c>
      <c r="H893" s="10" t="e">
        <f t="shared" ref="H893" si="472">H747</f>
        <v>#DIV/0!</v>
      </c>
    </row>
    <row r="894" spans="1:8" ht="14.25" hidden="1" x14ac:dyDescent="0.25">
      <c r="A894" s="5" t="s">
        <v>1661</v>
      </c>
      <c r="B894" s="2" t="s">
        <v>1633</v>
      </c>
      <c r="C894" s="3" t="s">
        <v>405</v>
      </c>
      <c r="D894" s="10">
        <f>D$723*(D891*(D893/D892))^2</f>
        <v>300.99498946730074</v>
      </c>
      <c r="E894" s="10">
        <f>E$723*(E891*(E893/E892))^2</f>
        <v>300.99498946730074</v>
      </c>
      <c r="F894" s="10" t="e">
        <f>F$723*(F891*(F893/F892))^2</f>
        <v>#DIV/0!</v>
      </c>
      <c r="G894" s="10" t="e">
        <f>G$723*(G891*(G893/G892))^2</f>
        <v>#DIV/0!</v>
      </c>
      <c r="H894" s="10" t="e">
        <f>H$723*(H891*(H893/H892))^2</f>
        <v>#DIV/0!</v>
      </c>
    </row>
    <row r="895" spans="1:8" hidden="1" x14ac:dyDescent="0.2">
      <c r="A895" s="5" t="s">
        <v>1665</v>
      </c>
      <c r="D895" s="10">
        <f>D893*(SQRT(D$723/D877))</f>
        <v>15.974628044548464</v>
      </c>
      <c r="E895" s="10">
        <f>E893*(SQRT(E$723/E877))</f>
        <v>15.974628044548464</v>
      </c>
      <c r="F895" s="10" t="e">
        <f>F893*(SQRT(F$723/F877))</f>
        <v>#DIV/0!</v>
      </c>
      <c r="G895" s="10" t="e">
        <f>G893*(SQRT(G$723/G877))</f>
        <v>#DIV/0!</v>
      </c>
      <c r="H895" s="10" t="e">
        <f>H893*(SQRT(H$723/H877))</f>
        <v>#DIV/0!</v>
      </c>
    </row>
    <row r="896" spans="1:8" ht="14.25" hidden="1" x14ac:dyDescent="0.25">
      <c r="A896" s="5" t="s">
        <v>1856</v>
      </c>
      <c r="B896" s="2" t="s">
        <v>2075</v>
      </c>
      <c r="C896" s="3" t="s">
        <v>407</v>
      </c>
      <c r="D896" s="10">
        <f>D698</f>
        <v>8.01</v>
      </c>
      <c r="E896" s="10">
        <f>E698</f>
        <v>8.01</v>
      </c>
      <c r="F896" s="10">
        <f>F698</f>
        <v>0</v>
      </c>
      <c r="G896" s="10">
        <f>G698</f>
        <v>0</v>
      </c>
      <c r="H896" s="10">
        <f>H698</f>
        <v>0</v>
      </c>
    </row>
    <row r="897" spans="1:8" ht="14.25" hidden="1" x14ac:dyDescent="0.25">
      <c r="A897" s="5" t="s">
        <v>1674</v>
      </c>
      <c r="B897" s="2" t="s">
        <v>2076</v>
      </c>
      <c r="C897" s="3" t="s">
        <v>407</v>
      </c>
      <c r="D897" s="10">
        <f>IF(D892&gt;D895,D896*(1-(D890*SQRT(D894/D877)))*(SQRT(D894/D877)),D896)</f>
        <v>8.01</v>
      </c>
      <c r="E897" s="10">
        <f>IF(E892&gt;E895,E896*(1-(E890*SQRT(E894/E877)))*(SQRT(E894/E877)),E896)</f>
        <v>8.01</v>
      </c>
      <c r="F897" s="10" t="e">
        <f>IF(F892&gt;F895,F896*(1-(F890*SQRT(F894/F877)))*(SQRT(F894/F877)),F896)</f>
        <v>#DIV/0!</v>
      </c>
      <c r="G897" s="10" t="e">
        <f>IF(G892&gt;G895,G896*(1-(G890*SQRT(G894/G877)))*(SQRT(G894/G877)),G896)</f>
        <v>#DIV/0!</v>
      </c>
      <c r="H897" s="10" t="e">
        <f>IF(H892&gt;H895,H896*(1-(H890*SQRT(H894/H877)))*(SQRT(H894/H877)),H896)</f>
        <v>#DIV/0!</v>
      </c>
    </row>
    <row r="898" spans="1:8" ht="14.25" hidden="1" x14ac:dyDescent="0.25">
      <c r="A898" s="5" t="s">
        <v>878</v>
      </c>
      <c r="B898" s="2" t="s">
        <v>941</v>
      </c>
      <c r="C898" s="3" t="s">
        <v>407</v>
      </c>
      <c r="D898" s="12">
        <f>D697</f>
        <v>0.48899999999999999</v>
      </c>
      <c r="E898" s="12">
        <f>E697</f>
        <v>0.48899999999999999</v>
      </c>
      <c r="F898" s="12">
        <f>F697</f>
        <v>0</v>
      </c>
      <c r="G898" s="12">
        <f>G697</f>
        <v>0</v>
      </c>
      <c r="H898" s="12">
        <f>H697</f>
        <v>0</v>
      </c>
    </row>
    <row r="899" spans="1:8" ht="15" hidden="1" x14ac:dyDescent="0.25">
      <c r="A899" s="37" t="s">
        <v>1668</v>
      </c>
      <c r="B899" s="40" t="s">
        <v>2070</v>
      </c>
      <c r="C899" s="41" t="s">
        <v>2068</v>
      </c>
      <c r="D899" s="38">
        <f>D897*D898</f>
        <v>3.91689</v>
      </c>
      <c r="E899" s="38">
        <f>E897*E898</f>
        <v>3.91689</v>
      </c>
      <c r="F899" s="38" t="e">
        <f>F897*F898</f>
        <v>#DIV/0!</v>
      </c>
      <c r="G899" s="38" t="e">
        <f>G897*G898</f>
        <v>#DIV/0!</v>
      </c>
      <c r="H899" s="38" t="e">
        <f>H897*H898</f>
        <v>#DIV/0!</v>
      </c>
    </row>
    <row r="900" spans="1:8" ht="14.25" hidden="1" x14ac:dyDescent="0.25">
      <c r="A900" s="45" t="s">
        <v>1853</v>
      </c>
      <c r="B900" s="2" t="s">
        <v>1854</v>
      </c>
      <c r="C900" s="4"/>
      <c r="D900" s="10">
        <f>D700/(2*D699)</f>
        <v>6.1804697156983934</v>
      </c>
      <c r="E900" s="10">
        <f>E700/(2*E699)</f>
        <v>6.1804697156983934</v>
      </c>
      <c r="F900" s="10" t="e">
        <f>F700/(2*F699)</f>
        <v>#DIV/0!</v>
      </c>
      <c r="G900" s="10" t="e">
        <f>G700/(2*G699)</f>
        <v>#DIV/0!</v>
      </c>
      <c r="H900" s="10" t="e">
        <f>H700/(2*H699)</f>
        <v>#DIV/0!</v>
      </c>
    </row>
    <row r="901" spans="1:8" ht="14.25" hidden="1" x14ac:dyDescent="0.25">
      <c r="A901" s="5" t="s">
        <v>1790</v>
      </c>
      <c r="B901" s="2" t="s">
        <v>1802</v>
      </c>
      <c r="D901" s="10">
        <f>D893</f>
        <v>13.486585928247372</v>
      </c>
      <c r="E901" s="10">
        <f>E893</f>
        <v>13.486585928247372</v>
      </c>
      <c r="F901" s="10" t="e">
        <f>F893</f>
        <v>#DIV/0!</v>
      </c>
      <c r="G901" s="10" t="e">
        <f>G893</f>
        <v>#DIV/0!</v>
      </c>
      <c r="H901" s="10" t="e">
        <f>H893</f>
        <v>#DIV/0!</v>
      </c>
    </row>
    <row r="902" spans="1:8" ht="14.25" hidden="1" x14ac:dyDescent="0.25">
      <c r="A902" s="5" t="s">
        <v>1661</v>
      </c>
      <c r="B902" s="2" t="s">
        <v>1633</v>
      </c>
      <c r="C902" s="3" t="s">
        <v>405</v>
      </c>
      <c r="D902" s="10">
        <f>D$723*(D891*(D901/D900))^2</f>
        <v>528.5713546163455</v>
      </c>
      <c r="E902" s="10">
        <f>E$723*(E891*(E901/E900))^2</f>
        <v>528.5713546163455</v>
      </c>
      <c r="F902" s="10" t="e">
        <f>F$723*(F891*(F901/F900))^2</f>
        <v>#DIV/0!</v>
      </c>
      <c r="G902" s="10" t="e">
        <f>G$723*(G891*(G901/G900))^2</f>
        <v>#DIV/0!</v>
      </c>
      <c r="H902" s="10" t="e">
        <f>H$723*(H891*(H901/H900))^2</f>
        <v>#DIV/0!</v>
      </c>
    </row>
    <row r="903" spans="1:8" hidden="1" x14ac:dyDescent="0.2">
      <c r="A903" s="5" t="s">
        <v>1665</v>
      </c>
      <c r="D903" s="10">
        <f>D901*(SQRT(D$723/D877))</f>
        <v>15.974628044548464</v>
      </c>
      <c r="E903" s="10">
        <f>E901*(SQRT(E$723/E877))</f>
        <v>15.974628044548464</v>
      </c>
      <c r="F903" s="10" t="e">
        <f>F901*(SQRT(F$723/F877))</f>
        <v>#DIV/0!</v>
      </c>
      <c r="G903" s="10" t="e">
        <f>G901*(SQRT(G$723/G877))</f>
        <v>#DIV/0!</v>
      </c>
      <c r="H903" s="10" t="e">
        <f>H901*(SQRT(H$723/H877))</f>
        <v>#DIV/0!</v>
      </c>
    </row>
    <row r="904" spans="1:8" ht="14.25" hidden="1" x14ac:dyDescent="0.25">
      <c r="A904" s="5" t="s">
        <v>1855</v>
      </c>
      <c r="B904" s="2" t="s">
        <v>2074</v>
      </c>
      <c r="C904" s="3" t="s">
        <v>407</v>
      </c>
      <c r="D904" s="10">
        <f>D700</f>
        <v>10</v>
      </c>
      <c r="E904" s="10">
        <f>E700</f>
        <v>10</v>
      </c>
      <c r="F904" s="10">
        <f>F700</f>
        <v>0</v>
      </c>
      <c r="G904" s="10">
        <f>G700</f>
        <v>0</v>
      </c>
      <c r="H904" s="10">
        <f>H700</f>
        <v>0</v>
      </c>
    </row>
    <row r="905" spans="1:8" ht="14.25" hidden="1" x14ac:dyDescent="0.25">
      <c r="A905" s="5" t="s">
        <v>1674</v>
      </c>
      <c r="B905" s="2" t="s">
        <v>2077</v>
      </c>
      <c r="C905" s="3" t="s">
        <v>407</v>
      </c>
      <c r="D905" s="10">
        <f>IF(D900&gt;D903,D904*(1-(D890*SQRT(D902/D877)))*(SQRT(D902/D877)),D904)</f>
        <v>10</v>
      </c>
      <c r="E905" s="10">
        <f>IF(E900&gt;E903,E904*(1-(E890*SQRT(E902/E877)))*(SQRT(E902/E877)),E904)</f>
        <v>10</v>
      </c>
      <c r="F905" s="10" t="e">
        <f>IF(F900&gt;F903,F904*(1-(F890*SQRT(F902/F877)))*(SQRT(F902/F877)),F904)</f>
        <v>#DIV/0!</v>
      </c>
      <c r="G905" s="10" t="e">
        <f>IF(G900&gt;G903,G904*(1-(G890*SQRT(G902/G877)))*(SQRT(G902/G877)),G904)</f>
        <v>#DIV/0!</v>
      </c>
      <c r="H905" s="10" t="e">
        <f>IF(H900&gt;H903,H904*(1-(H890*SQRT(H902/H877)))*(SQRT(H902/H877)),H904)</f>
        <v>#DIV/0!</v>
      </c>
    </row>
    <row r="906" spans="1:8" ht="14.25" hidden="1" x14ac:dyDescent="0.25">
      <c r="A906" s="5" t="s">
        <v>879</v>
      </c>
      <c r="B906" s="2" t="s">
        <v>942</v>
      </c>
      <c r="C906" s="3" t="s">
        <v>407</v>
      </c>
      <c r="D906" s="12">
        <f>D699</f>
        <v>0.80899999999999994</v>
      </c>
      <c r="E906" s="12">
        <f>E699</f>
        <v>0.80899999999999994</v>
      </c>
      <c r="F906" s="12">
        <f>F699</f>
        <v>0</v>
      </c>
      <c r="G906" s="12">
        <f>G699</f>
        <v>0</v>
      </c>
      <c r="H906" s="12">
        <f>H699</f>
        <v>0</v>
      </c>
    </row>
    <row r="907" spans="1:8" ht="15" hidden="1" x14ac:dyDescent="0.25">
      <c r="A907" s="37" t="s">
        <v>1857</v>
      </c>
      <c r="B907" s="40" t="s">
        <v>2067</v>
      </c>
      <c r="C907" s="41" t="s">
        <v>2068</v>
      </c>
      <c r="D907" s="38">
        <f>D905*D906</f>
        <v>8.09</v>
      </c>
      <c r="E907" s="38">
        <f>E905*E906</f>
        <v>8.09</v>
      </c>
      <c r="F907" s="38" t="e">
        <f>F905*F906</f>
        <v>#DIV/0!</v>
      </c>
      <c r="G907" s="38" t="e">
        <f>G905*G906</f>
        <v>#DIV/0!</v>
      </c>
      <c r="H907" s="38" t="e">
        <f>H905*H906</f>
        <v>#DIV/0!</v>
      </c>
    </row>
    <row r="908" spans="1:8" hidden="1" x14ac:dyDescent="0.2">
      <c r="A908" s="119" t="s">
        <v>1670</v>
      </c>
      <c r="D908" s="10"/>
      <c r="E908" s="10"/>
      <c r="F908" s="10"/>
      <c r="G908" s="10"/>
      <c r="H908" s="10"/>
    </row>
    <row r="909" spans="1:8" ht="15" hidden="1" x14ac:dyDescent="0.25">
      <c r="A909" s="37" t="s">
        <v>1670</v>
      </c>
      <c r="B909" s="40" t="s">
        <v>2093</v>
      </c>
      <c r="C909" s="41" t="s">
        <v>2068</v>
      </c>
      <c r="D909" s="38">
        <f t="shared" ref="D909:H909" si="473">(D$888+D$899+D$907+D$728)</f>
        <v>13.672377665449746</v>
      </c>
      <c r="E909" s="38">
        <f t="shared" si="473"/>
        <v>13.672377665449746</v>
      </c>
      <c r="F909" s="38" t="e">
        <f t="shared" si="473"/>
        <v>#DIV/0!</v>
      </c>
      <c r="G909" s="38" t="e">
        <f t="shared" si="473"/>
        <v>#DIV/0!</v>
      </c>
      <c r="H909" s="38" t="e">
        <f t="shared" si="473"/>
        <v>#DIV/0!</v>
      </c>
    </row>
    <row r="910" spans="1:8" ht="14.25" hidden="1" x14ac:dyDescent="0.25">
      <c r="A910" s="5" t="s">
        <v>1673</v>
      </c>
      <c r="B910" s="2" t="s">
        <v>932</v>
      </c>
      <c r="C910" s="3" t="s">
        <v>419</v>
      </c>
      <c r="D910" s="6">
        <f>D877*D909</f>
        <v>487.25531884609876</v>
      </c>
      <c r="E910" s="6">
        <f>E877*E909</f>
        <v>487.25531884609876</v>
      </c>
      <c r="F910" s="6" t="e">
        <f>F877*F909</f>
        <v>#DIV/0!</v>
      </c>
      <c r="G910" s="6" t="e">
        <f>G877*G909</f>
        <v>#DIV/0!</v>
      </c>
      <c r="H910" s="6" t="e">
        <f>H877*H909</f>
        <v>#DIV/0!</v>
      </c>
    </row>
    <row r="911" spans="1:8" hidden="1" x14ac:dyDescent="0.2">
      <c r="A911" s="118" t="s">
        <v>1646</v>
      </c>
      <c r="D911" s="10"/>
      <c r="E911" s="10"/>
      <c r="F911" s="10"/>
      <c r="G911" s="10"/>
      <c r="H911" s="10"/>
    </row>
    <row r="912" spans="1:8" ht="14.25" hidden="1" x14ac:dyDescent="0.25">
      <c r="A912" s="121" t="s">
        <v>1643</v>
      </c>
      <c r="B912" s="39" t="s">
        <v>1644</v>
      </c>
      <c r="C912" s="122" t="s">
        <v>419</v>
      </c>
      <c r="D912" s="123">
        <f>MIN(D859,D874,D910)</f>
        <v>487.25531884609876</v>
      </c>
      <c r="E912" s="123">
        <f>MIN(E859,E874,E910)</f>
        <v>487.25531884609876</v>
      </c>
      <c r="F912" s="123" t="e">
        <f>MIN(F859,F874,F910)</f>
        <v>#DIV/0!</v>
      </c>
      <c r="G912" s="123" t="e">
        <f>MIN(G859,G874,G910)</f>
        <v>#DIV/0!</v>
      </c>
      <c r="H912" s="123" t="e">
        <f>MIN(H859,H874,H910)</f>
        <v>#DIV/0!</v>
      </c>
    </row>
    <row r="913" spans="1:8" hidden="1" x14ac:dyDescent="0.2">
      <c r="A913" s="121"/>
      <c r="B913" s="39"/>
      <c r="C913" s="122"/>
      <c r="D913" s="137"/>
      <c r="E913" s="137"/>
      <c r="F913" s="137"/>
      <c r="G913" s="137"/>
      <c r="H913" s="137"/>
    </row>
    <row r="914" spans="1:8" x14ac:dyDescent="0.2">
      <c r="A914" s="5" t="s">
        <v>1123</v>
      </c>
      <c r="B914" s="2" t="str">
        <f>IF(D$7="ASD","Pn-t/Ω",IF(D$7="LRFD","φPn-t"))</f>
        <v>φPn-t</v>
      </c>
      <c r="C914" s="3" t="s">
        <v>419</v>
      </c>
      <c r="D914" s="24">
        <f>IF(D$7="ASD",MIN(D$917/1.67,D$918/2),IF(D$7="LRFD",MIN(0.9*D$917,0.75*D$918)))</f>
        <v>404.1565875</v>
      </c>
      <c r="E914" s="24">
        <f>IF(E$7="ASD",MIN(E$917/1.67,E$918/2),IF(E$7="LRFD",MIN(0.9*E$917,0.75*E$918)))</f>
        <v>268.89992514970061</v>
      </c>
      <c r="F914" s="24">
        <f>IF(F$7="ASD",MIN(F$917/1.67,F$918/2),IF(F$7="LRFD",MIN(0.9*F$917,0.75*F$918)))</f>
        <v>0</v>
      </c>
      <c r="G914" s="24">
        <f>IF(G$7="ASD",MIN(G$917/1.67,G$918/2),IF(G$7="LRFD",MIN(0.9*G$917,0.75*G$918)))</f>
        <v>0</v>
      </c>
      <c r="H914" s="24">
        <f>IF(H$7="ASD",MIN(H$917/1.67,H$918/2),IF(H$7="LRFD",MIN(0.9*H$917,0.75*H$918)))</f>
        <v>0</v>
      </c>
    </row>
    <row r="915" spans="1:8" ht="15" hidden="1" x14ac:dyDescent="0.25">
      <c r="A915" s="5" t="s">
        <v>933</v>
      </c>
      <c r="B915" s="2" t="s">
        <v>934</v>
      </c>
      <c r="C915" s="3" t="s">
        <v>900</v>
      </c>
      <c r="D915" s="124">
        <f>D$703</f>
        <v>13.79425</v>
      </c>
      <c r="E915" s="124">
        <f>E$703</f>
        <v>13.79425</v>
      </c>
      <c r="F915" s="124">
        <f>F$703</f>
        <v>0</v>
      </c>
      <c r="G915" s="124">
        <f>G$703</f>
        <v>0</v>
      </c>
      <c r="H915" s="124">
        <f>H$703</f>
        <v>0</v>
      </c>
    </row>
    <row r="916" spans="1:8" hidden="1" x14ac:dyDescent="0.2">
      <c r="A916" s="5" t="s">
        <v>1168</v>
      </c>
      <c r="D916" s="124">
        <v>1</v>
      </c>
      <c r="E916" s="124">
        <v>1</v>
      </c>
      <c r="F916" s="124">
        <v>1</v>
      </c>
      <c r="G916" s="124">
        <v>1</v>
      </c>
      <c r="H916" s="124">
        <v>1</v>
      </c>
    </row>
    <row r="917" spans="1:8" ht="14.25" hidden="1" x14ac:dyDescent="0.25">
      <c r="A917" s="5" t="s">
        <v>1165</v>
      </c>
      <c r="B917" s="2" t="s">
        <v>935</v>
      </c>
      <c r="C917" s="3" t="s">
        <v>419</v>
      </c>
      <c r="D917" s="6">
        <f>IF(D684="Yes",D$723*D$703,IF(D684="No",D670))</f>
        <v>449.06287500000002</v>
      </c>
      <c r="E917" s="6">
        <f>IF(E684="Yes",E$723*E$703,IF(E684="No",E670))</f>
        <v>449.06287500000002</v>
      </c>
      <c r="F917" s="6">
        <f>IF(F684="Yes",F$723*F$703,IF(F684="No",F670))</f>
        <v>0</v>
      </c>
      <c r="G917" s="6">
        <f>IF(G684="Yes",G$723*G$703,IF(G684="No",G670))</f>
        <v>0</v>
      </c>
      <c r="H917" s="6">
        <f>IF(H684="Yes",H$723*H$703,IF(H684="No",H670))</f>
        <v>0</v>
      </c>
    </row>
    <row r="918" spans="1:8" ht="14.25" hidden="1" x14ac:dyDescent="0.25">
      <c r="A918" s="5" t="s">
        <v>1169</v>
      </c>
      <c r="B918" s="2" t="s">
        <v>936</v>
      </c>
      <c r="C918" s="3" t="s">
        <v>419</v>
      </c>
      <c r="D918" s="6">
        <f>IF(D684="Yes",D$724*D$915*D$916,IF(D684="No",D671))</f>
        <v>583.78173749999996</v>
      </c>
      <c r="E918" s="6">
        <f>IF(E684="Yes",E$724*E$915*E$916,IF(E684="No",E671))</f>
        <v>583.78173749999996</v>
      </c>
      <c r="F918" s="6">
        <f>IF(F684="Yes",F$724*F$915*F$916,IF(F684="No",F671))</f>
        <v>0</v>
      </c>
      <c r="G918" s="6">
        <f>IF(G684="Yes",G$724*G$915*G$916,IF(G684="No",G671))</f>
        <v>0</v>
      </c>
      <c r="H918" s="6">
        <f>IF(H684="Yes",H$724*H$915*H$916,IF(H684="No",H671))</f>
        <v>0</v>
      </c>
    </row>
    <row r="919" spans="1:8" hidden="1" x14ac:dyDescent="0.2"/>
    <row r="920" spans="1:8" x14ac:dyDescent="0.2">
      <c r="A920" s="16" t="s">
        <v>2167</v>
      </c>
      <c r="C920" s="3" t="s">
        <v>876</v>
      </c>
      <c r="D920" s="125">
        <f>D$148/D$776</f>
        <v>0.32129374280435885</v>
      </c>
      <c r="E920" s="125">
        <f>E$148/E$776</f>
        <v>0.31236891661534888</v>
      </c>
      <c r="F920" s="125" t="e">
        <f>F$148/F$776</f>
        <v>#DIV/0!</v>
      </c>
      <c r="G920" s="125" t="e">
        <f>G$148/G$776</f>
        <v>#DIV/0!</v>
      </c>
      <c r="H920" s="125" t="e">
        <f>H$148/H$776</f>
        <v>#DIV/0!</v>
      </c>
    </row>
    <row r="921" spans="1:8" x14ac:dyDescent="0.2">
      <c r="A921" s="16" t="s">
        <v>2168</v>
      </c>
      <c r="C921" s="3" t="s">
        <v>876</v>
      </c>
      <c r="D921" s="125">
        <f>D$149/D$784</f>
        <v>0</v>
      </c>
      <c r="E921" s="125">
        <f>E$149/E$784</f>
        <v>0</v>
      </c>
      <c r="F921" s="125" t="e">
        <f>F$149/F$784</f>
        <v>#DIV/0!</v>
      </c>
      <c r="G921" s="125" t="e">
        <f>G$149/G$784</f>
        <v>#DIV/0!</v>
      </c>
      <c r="H921" s="125" t="e">
        <f>H$149/H$784</f>
        <v>#DIV/0!</v>
      </c>
    </row>
    <row r="922" spans="1:8" x14ac:dyDescent="0.2">
      <c r="A922" s="16" t="s">
        <v>998</v>
      </c>
      <c r="C922" s="3" t="s">
        <v>876</v>
      </c>
      <c r="D922" s="125">
        <f>IF(AND(D$925&gt;=0,D$926=0),IF(D$925&gt;=0.2,D$925+(8/9)*(D$923+D$924),0.5*D$925+(D$923+D$924)),IF(AND(D$926&gt;=0,D$925=0),IF(D$926&gt;=0.2,D$926+(8/9)*(D$923+D$924),0.5*D$926+(D$923+D$924))))</f>
        <v>0.93618749834051029</v>
      </c>
      <c r="E922" s="125">
        <f>IF(AND(E$925&gt;=0,E$926=0),IF(E$925&gt;=0.2,E$925+(8/9)*(E$923+E$924),0.5*E$925+(E$923+E$924)),IF(AND(E$926&gt;=0,E$925=0),IF(E$926&gt;=0.2,E$926+(8/9)*(E$923+E$924),0.5*E$926+(E$923+E$924))))</f>
        <v>0.91200265463338059</v>
      </c>
      <c r="F922" s="125" t="e">
        <f>IF(AND(F$925&gt;=0,F$926=0),IF(F$925&gt;=0.2,F$925+(8/9)*(F$923+F$924),0.5*F$925+(F$923+F$924)),IF(AND(F$926&gt;=0,F$925=0),IF(F$926&gt;=0.2,F$926+(8/9)*(F$923+F$924),0.5*F$926+(F$923+F$924))))</f>
        <v>#DIV/0!</v>
      </c>
      <c r="G922" s="125" t="e">
        <f>IF(AND(G$925&gt;=0,G$926=0),IF(G$925&gt;=0.2,G$925+(8/9)*(G$923+G$924),0.5*G$925+(G$923+G$924)),IF(AND(G$926&gt;=0,G$925=0),IF(G$926&gt;=0.2,G$926+(8/9)*(G$923+G$924),0.5*G$926+(G$923+G$924))))</f>
        <v>#DIV/0!</v>
      </c>
      <c r="H922" s="125" t="e">
        <f>IF(AND(H$925&gt;=0,H$926=0),IF(H$925&gt;=0.2,H$925+(8/9)*(H$923+H$924),0.5*H$925+(H$923+H$924)),IF(AND(H$926&gt;=0,H$925=0),IF(H$926&gt;=0.2,H$926+(8/9)*(H$923+H$924),0.5*H$926+(H$923+H$924))))</f>
        <v>#DIV/0!</v>
      </c>
    </row>
    <row r="923" spans="1:8" ht="14.25" hidden="1" x14ac:dyDescent="0.25">
      <c r="A923" s="5" t="s">
        <v>429</v>
      </c>
      <c r="B923" s="2" t="s">
        <v>937</v>
      </c>
      <c r="D923" s="12">
        <f>D$150/D$793</f>
        <v>0.93618749834051029</v>
      </c>
      <c r="E923" s="12">
        <f>E$150/E$793</f>
        <v>0.91200265463338059</v>
      </c>
      <c r="F923" s="12" t="e">
        <f>F$150/F$793</f>
        <v>#DIV/0!</v>
      </c>
      <c r="G923" s="12" t="e">
        <f>G$150/G$793</f>
        <v>#DIV/0!</v>
      </c>
      <c r="H923" s="12" t="e">
        <f>H$150/H$793</f>
        <v>#DIV/0!</v>
      </c>
    </row>
    <row r="924" spans="1:8" ht="14.25" hidden="1" x14ac:dyDescent="0.25">
      <c r="A924" s="5" t="s">
        <v>430</v>
      </c>
      <c r="B924" s="2" t="s">
        <v>938</v>
      </c>
      <c r="D924" s="12">
        <f>D$151/D$847</f>
        <v>0</v>
      </c>
      <c r="E924" s="12">
        <f>E$151/E$847</f>
        <v>0</v>
      </c>
      <c r="F924" s="12" t="e">
        <f>F$151/F$847</f>
        <v>#DIV/0!</v>
      </c>
      <c r="G924" s="12" t="e">
        <f>G$151/G$847</f>
        <v>#DIV/0!</v>
      </c>
      <c r="H924" s="12" t="e">
        <f>H$151/H$847</f>
        <v>#DIV/0!</v>
      </c>
    </row>
    <row r="925" spans="1:8" ht="14.25" hidden="1" x14ac:dyDescent="0.25">
      <c r="A925" s="5" t="s">
        <v>431</v>
      </c>
      <c r="B925" s="2" t="s">
        <v>939</v>
      </c>
      <c r="D925" s="12">
        <f>D$152/D$853</f>
        <v>0</v>
      </c>
      <c r="E925" s="12">
        <f>E$152/E$853</f>
        <v>0</v>
      </c>
      <c r="F925" s="12" t="e">
        <f>F$152/F$853</f>
        <v>#DIV/0!</v>
      </c>
      <c r="G925" s="12" t="e">
        <f>G$152/G$853</f>
        <v>#DIV/0!</v>
      </c>
      <c r="H925" s="12" t="e">
        <f>H$152/H$853</f>
        <v>#DIV/0!</v>
      </c>
    </row>
    <row r="926" spans="1:8" ht="14.25" hidden="1" x14ac:dyDescent="0.25">
      <c r="A926" s="5" t="s">
        <v>845</v>
      </c>
      <c r="B926" s="2" t="s">
        <v>940</v>
      </c>
      <c r="D926" s="12">
        <f>D$153/D$914</f>
        <v>0</v>
      </c>
      <c r="E926" s="12">
        <f>E$153/E$914</f>
        <v>0</v>
      </c>
      <c r="F926" s="12" t="e">
        <f>F$153/F$914</f>
        <v>#DIV/0!</v>
      </c>
      <c r="G926" s="12" t="e">
        <f>G$153/G$914</f>
        <v>#DIV/0!</v>
      </c>
      <c r="H926" s="12" t="e">
        <f>H$153/H$914</f>
        <v>#DIV/0!</v>
      </c>
    </row>
    <row r="927" spans="1:8" x14ac:dyDescent="0.2">
      <c r="C927" s="2"/>
    </row>
    <row r="928" spans="1:8" x14ac:dyDescent="0.2">
      <c r="A928" s="146" t="s">
        <v>2532</v>
      </c>
      <c r="C928" s="2"/>
    </row>
    <row r="929" spans="1:8" ht="14.25" x14ac:dyDescent="0.25">
      <c r="A929" s="5" t="s">
        <v>2536</v>
      </c>
      <c r="B929" s="30" t="s">
        <v>2535</v>
      </c>
      <c r="C929" s="2"/>
      <c r="D929" s="6">
        <f>D734/D705</f>
        <v>0.27609370211750944</v>
      </c>
      <c r="E929" s="6">
        <f>E734/E705</f>
        <v>0.27609370211750944</v>
      </c>
      <c r="F929" s="6" t="e">
        <f>F734/F705</f>
        <v>#DIV/0!</v>
      </c>
      <c r="G929" s="6" t="e">
        <f>G734/G705</f>
        <v>#DIV/0!</v>
      </c>
      <c r="H929" s="6" t="e">
        <f>H734/H705</f>
        <v>#DIV/0!</v>
      </c>
    </row>
    <row r="930" spans="1:8" hidden="1" x14ac:dyDescent="0.2">
      <c r="B930" s="2" t="s">
        <v>1734</v>
      </c>
      <c r="C930" s="2"/>
      <c r="D930" s="6" t="str">
        <f>IF(AND(D929&gt;=0.1,D929&lt;=0.9),"OK","Outside Limit")</f>
        <v>OK</v>
      </c>
      <c r="E930" s="6" t="str">
        <f>IF(AND(E929&gt;=0.1,E929&lt;=0.9),"OK","Outside Limit")</f>
        <v>OK</v>
      </c>
      <c r="F930" s="6" t="e">
        <f>IF(AND(F929&gt;=0.1,F929&lt;=0.9),"OK","Outside Limit")</f>
        <v>#DIV/0!</v>
      </c>
      <c r="G930" s="6" t="e">
        <f>IF(AND(G929&gt;=0.1,G929&lt;=0.9),"OK","Outside Limit")</f>
        <v>#DIV/0!</v>
      </c>
      <c r="H930" s="6" t="e">
        <f>IF(AND(H929&gt;=0.1,H929&lt;=0.9),"OK","Outside Limit")</f>
        <v>#DIV/0!</v>
      </c>
    </row>
    <row r="931" spans="1:8" ht="14.25" x14ac:dyDescent="0.25">
      <c r="A931" s="5" t="s">
        <v>2537</v>
      </c>
      <c r="B931" s="30" t="s">
        <v>2534</v>
      </c>
      <c r="C931" s="2"/>
      <c r="D931" s="6">
        <f>D730/D696</f>
        <v>45.828054298642535</v>
      </c>
      <c r="E931" s="6">
        <f>E730/E696</f>
        <v>45.828054298642535</v>
      </c>
      <c r="F931" s="6" t="e">
        <f>F730/F696</f>
        <v>#DIV/0!</v>
      </c>
      <c r="G931" s="6" t="e">
        <f>G730/G696</f>
        <v>#DIV/0!</v>
      </c>
      <c r="H931" s="6" t="e">
        <f>H730/H696</f>
        <v>#DIV/0!</v>
      </c>
    </row>
    <row r="932" spans="1:8" hidden="1" x14ac:dyDescent="0.2">
      <c r="B932" s="2" t="s">
        <v>1734</v>
      </c>
      <c r="C932" s="2"/>
      <c r="D932" s="6" t="str">
        <f>IF(D931&lt;=260,"OK","Outside Limit")</f>
        <v>OK</v>
      </c>
      <c r="E932" s="6" t="str">
        <f>IF(E931&lt;=260,"OK","Outside Limit")</f>
        <v>OK</v>
      </c>
      <c r="F932" s="6" t="e">
        <f>IF(F931&lt;=260,"OK","Outside Limit")</f>
        <v>#DIV/0!</v>
      </c>
      <c r="G932" s="6" t="e">
        <f>IF(G931&lt;=260,"OK","Outside Limit")</f>
        <v>#DIV/0!</v>
      </c>
      <c r="H932" s="6" t="e">
        <f>IF(H931&lt;=260,"OK","Outside Limit")</f>
        <v>#DIV/0!</v>
      </c>
    </row>
    <row r="933" spans="1:8" x14ac:dyDescent="0.2">
      <c r="A933" s="5" t="s">
        <v>2538</v>
      </c>
      <c r="B933" s="30" t="s">
        <v>2533</v>
      </c>
      <c r="C933" s="2"/>
      <c r="D933" s="6">
        <f>(D696*D717)/MAX(D713,D697*D698)</f>
        <v>0.61331056016380336</v>
      </c>
      <c r="E933" s="6">
        <f>(E696*E717)/MAX(E713,E697*E698)</f>
        <v>0.61331056016380336</v>
      </c>
      <c r="F933" s="6" t="e">
        <f>(F696*F717)/MAX(F713,F697*F698)</f>
        <v>#DIV/0!</v>
      </c>
      <c r="G933" s="6" t="e">
        <f>(G696*G717)/MAX(G713,G697*G698)</f>
        <v>#DIV/0!</v>
      </c>
      <c r="H933" s="6" t="e">
        <f>(H696*H717)/MAX(H713,H697*H698)</f>
        <v>#DIV/0!</v>
      </c>
    </row>
    <row r="934" spans="1:8" hidden="1" x14ac:dyDescent="0.2">
      <c r="B934" s="2" t="s">
        <v>1734</v>
      </c>
      <c r="C934" s="2"/>
      <c r="D934" s="1" t="str">
        <f>IF(D933&lt;=10,"OK","Outside Limit")</f>
        <v>OK</v>
      </c>
      <c r="E934" s="1" t="str">
        <f>IF(E933&lt;=10,"OK","Outside Limit")</f>
        <v>OK</v>
      </c>
      <c r="F934" s="1" t="e">
        <f>IF(F933&lt;=10,"OK","Outside Limit")</f>
        <v>#DIV/0!</v>
      </c>
      <c r="G934" s="1" t="e">
        <f>IF(G933&lt;=10,"OK","Outside Limit")</f>
        <v>#DIV/0!</v>
      </c>
      <c r="H934" s="1" t="e">
        <f>IF(H933&lt;=10,"OK","Outside Limit")</f>
        <v>#DIV/0!</v>
      </c>
    </row>
    <row r="935" spans="1:8" x14ac:dyDescent="0.2">
      <c r="C935" s="2"/>
    </row>
    <row r="936" spans="1:8" x14ac:dyDescent="0.2">
      <c r="A936" s="146" t="s">
        <v>2122</v>
      </c>
      <c r="C936" s="2"/>
    </row>
    <row r="937" spans="1:8" x14ac:dyDescent="0.2">
      <c r="A937" s="5" t="s">
        <v>2097</v>
      </c>
      <c r="B937" s="2" t="s">
        <v>3</v>
      </c>
      <c r="C937" s="2" t="s">
        <v>403</v>
      </c>
      <c r="D937" s="8">
        <v>20</v>
      </c>
      <c r="E937" s="8">
        <v>20</v>
      </c>
      <c r="F937" s="8"/>
      <c r="G937" s="8"/>
      <c r="H937" s="8"/>
    </row>
    <row r="938" spans="1:8" x14ac:dyDescent="0.2">
      <c r="A938" s="45" t="s">
        <v>2187</v>
      </c>
      <c r="B938" s="30" t="s">
        <v>2133</v>
      </c>
      <c r="C938" s="2"/>
    </row>
    <row r="939" spans="1:8" ht="14.25" x14ac:dyDescent="0.25">
      <c r="A939" s="5" t="s">
        <v>2579</v>
      </c>
      <c r="B939" s="2" t="s">
        <v>2119</v>
      </c>
      <c r="C939" s="2"/>
      <c r="D939" s="56">
        <f>IF(D937=0,1,MIN(1+((2*D940)/D13)*((D941/D947)-1),1))</f>
        <v>0.9709363839861177</v>
      </c>
      <c r="E939" s="56">
        <f>IF(E937=0,1,MIN(1+((2*E940)/E13)*((E941/E947)-1),1))</f>
        <v>0.9709363839861177</v>
      </c>
      <c r="F939" s="56">
        <f>IF(F937=0,1,MIN(1+((2*F940)/F13)*((F941/F947)-1),1))</f>
        <v>1</v>
      </c>
      <c r="G939" s="56">
        <f>IF(G937=0,1,MIN(1+((2*G940)/G13)*((G941/G947)-1),1))</f>
        <v>1</v>
      </c>
      <c r="H939" s="56">
        <f>IF(H937=0,1,MIN(1+((2*H940)/H13)*((H941/H947)-1),1))</f>
        <v>1</v>
      </c>
    </row>
    <row r="940" spans="1:8" ht="14.25" hidden="1" x14ac:dyDescent="0.25">
      <c r="A940" s="5" t="s">
        <v>2115</v>
      </c>
      <c r="B940" s="2" t="s">
        <v>2114</v>
      </c>
      <c r="C940" s="2" t="s">
        <v>403</v>
      </c>
      <c r="D940" s="2">
        <f>MAX(0.5*(D13-D937),0)</f>
        <v>2</v>
      </c>
      <c r="E940" s="2">
        <f>MAX(0.5*(E13-E937),0)</f>
        <v>2</v>
      </c>
      <c r="F940" s="2">
        <f>MAX(0.5*(F13-F937),0)</f>
        <v>0</v>
      </c>
      <c r="G940" s="2">
        <f>MAX(0.5*(G13-G937),0)</f>
        <v>0</v>
      </c>
      <c r="H940" s="2">
        <f>MAX(0.5*(H13-H937),0)</f>
        <v>0</v>
      </c>
    </row>
    <row r="941" spans="1:8" ht="14.25" hidden="1" x14ac:dyDescent="0.25">
      <c r="A941" s="37" t="s">
        <v>2120</v>
      </c>
      <c r="B941" s="40" t="s">
        <v>2124</v>
      </c>
      <c r="C941" s="40" t="s">
        <v>406</v>
      </c>
      <c r="D941" s="147">
        <f>IF(D$758="Slender",D946,D944)</f>
        <v>171.60571724039167</v>
      </c>
      <c r="E941" s="147">
        <f>IF(E$758="Slender",E946,E944)</f>
        <v>171.60571724039167</v>
      </c>
      <c r="F941" s="147" t="e">
        <f>IF(F$758="Slender",F946,F944)</f>
        <v>#DIV/0!</v>
      </c>
      <c r="G941" s="147" t="e">
        <f>IF(G$758="Slender",G946,G944)</f>
        <v>#DIV/0!</v>
      </c>
      <c r="H941" s="147" t="e">
        <f>IF(H$758="Slender",H946,H944)</f>
        <v>#DIV/0!</v>
      </c>
    </row>
    <row r="942" spans="1:8" ht="15" hidden="1" x14ac:dyDescent="0.25">
      <c r="A942" s="5" t="s">
        <v>2116</v>
      </c>
      <c r="B942" s="2" t="s">
        <v>955</v>
      </c>
      <c r="C942" s="3" t="s">
        <v>906</v>
      </c>
      <c r="D942" s="9">
        <f>D439</f>
        <v>44.96170124277468</v>
      </c>
      <c r="E942" s="9">
        <f>E439</f>
        <v>44.96170124277468</v>
      </c>
      <c r="F942" s="9">
        <f>F439</f>
        <v>15.181229022144143</v>
      </c>
      <c r="G942" s="9">
        <f>G439</f>
        <v>15.181229022144143</v>
      </c>
      <c r="H942" s="9">
        <f>H439</f>
        <v>15.181229022144143</v>
      </c>
    </row>
    <row r="943" spans="1:8" ht="14.25" hidden="1" x14ac:dyDescent="0.25">
      <c r="A943" s="5" t="s">
        <v>2118</v>
      </c>
      <c r="B943" s="2" t="s">
        <v>2130</v>
      </c>
      <c r="C943" s="2" t="s">
        <v>405</v>
      </c>
      <c r="D943" s="9">
        <f>MIN((((PI()^2)*29000)/(D$552/D$551)^2)*SQRT(1+0.078*(D$460/(D$942*D$465))*(D$552/D$551)^2),D11)</f>
        <v>50</v>
      </c>
      <c r="E943" s="9">
        <f>MIN((((PI()^2)*29000)/(E$552/E$551)^2)*SQRT(1+0.078*(E$460/(E$942*E$465))*(E$552/E$551)^2),E11)</f>
        <v>50</v>
      </c>
      <c r="F943" s="9" t="e">
        <f>MIN((((PI()^2)*29000)/(F$552/F$551)^2)*SQRT(1+0.078*(F$460/(F$942*F$465))*(F$552/F$551)^2),F11)</f>
        <v>#DIV/0!</v>
      </c>
      <c r="G943" s="9" t="e">
        <f>MIN((((PI()^2)*29000)/(G$552/G$551)^2)*SQRT(1+0.078*(G$460/(G$942*G$465))*(G$552/G$551)^2),G11)</f>
        <v>#DIV/0!</v>
      </c>
      <c r="H943" s="9" t="e">
        <f>MIN((((PI()^2)*29000)/(H$552/H$551)^2)*SQRT(1+0.078*(H$460/(H$942*H$465))*(H$552/H$551)^2),H11)</f>
        <v>#DIV/0!</v>
      </c>
    </row>
    <row r="944" spans="1:8" ht="14.25" hidden="1" x14ac:dyDescent="0.25">
      <c r="A944" s="5" t="s">
        <v>2127</v>
      </c>
      <c r="B944" s="2" t="s">
        <v>2128</v>
      </c>
      <c r="C944" s="2" t="s">
        <v>406</v>
      </c>
      <c r="D944" s="9">
        <f>MIN((D942*D943),(D558*D556))/12</f>
        <v>171.60571724039167</v>
      </c>
      <c r="E944" s="9">
        <f>MIN((E942*E943),(E558*E556))/12</f>
        <v>171.60571724039167</v>
      </c>
      <c r="F944" s="9" t="e">
        <f>MIN((F942*F943),(F558*F556))/12</f>
        <v>#DIV/0!</v>
      </c>
      <c r="G944" s="9" t="e">
        <f>MIN((G942*G943),(G558*G556))/12</f>
        <v>#DIV/0!</v>
      </c>
      <c r="H944" s="9" t="e">
        <f>MIN((H942*H943),(H558*H556))/12</f>
        <v>#DIV/0!</v>
      </c>
    </row>
    <row r="945" spans="1:8" ht="14.25" hidden="1" x14ac:dyDescent="0.25">
      <c r="A945" s="5" t="s">
        <v>2126</v>
      </c>
      <c r="B945" s="2" t="s">
        <v>2131</v>
      </c>
      <c r="C945" s="2" t="s">
        <v>405</v>
      </c>
      <c r="D945" s="9">
        <f>MIN((((PI()^2)*29000)/(D$552/D$551)^2),D11)</f>
        <v>50</v>
      </c>
      <c r="E945" s="9">
        <f>MIN((((PI()^2)*29000)/(E$552/E$551)^2),E11)</f>
        <v>50</v>
      </c>
      <c r="F945" s="9" t="e">
        <f>MIN((((PI()^2)*29000)/(F$552/F$551)^2),F11)</f>
        <v>#DIV/0!</v>
      </c>
      <c r="G945" s="9" t="e">
        <f>MIN((((PI()^2)*29000)/(G$552/G$551)^2),G11)</f>
        <v>#DIV/0!</v>
      </c>
      <c r="H945" s="9" t="e">
        <f>MIN((((PI()^2)*29000)/(H$552/H$551)^2),H11)</f>
        <v>#DIV/0!</v>
      </c>
    </row>
    <row r="946" spans="1:8" ht="14.25" hidden="1" x14ac:dyDescent="0.25">
      <c r="A946" s="5" t="s">
        <v>2125</v>
      </c>
      <c r="B946" s="2" t="s">
        <v>2129</v>
      </c>
      <c r="C946" s="2" t="s">
        <v>406</v>
      </c>
      <c r="D946" s="9">
        <f>(D578*D942*D945)/12</f>
        <v>187.34042184489451</v>
      </c>
      <c r="E946" s="9">
        <f>(E578*E942*E945)/12</f>
        <v>187.34042184489451</v>
      </c>
      <c r="F946" s="9" t="e">
        <f>(F578*F942*F945)/12</f>
        <v>#DIV/0!</v>
      </c>
      <c r="G946" s="9" t="e">
        <f>(G578*G942*G945)/12</f>
        <v>#DIV/0!</v>
      </c>
      <c r="H946" s="9" t="e">
        <f>(H578*H942*H945)/12</f>
        <v>#DIV/0!</v>
      </c>
    </row>
    <row r="947" spans="1:8" ht="14.25" hidden="1" x14ac:dyDescent="0.25">
      <c r="A947" s="37" t="s">
        <v>2121</v>
      </c>
      <c r="B947" s="40" t="s">
        <v>2123</v>
      </c>
      <c r="C947" s="40" t="s">
        <v>406</v>
      </c>
      <c r="D947" s="147">
        <f>IF(D$758="Slender",D952,D950)</f>
        <v>207.85115400942516</v>
      </c>
      <c r="E947" s="147">
        <f>IF(E$758="Slender",E952,E950)</f>
        <v>207.85115400942516</v>
      </c>
      <c r="F947" s="147" t="e">
        <f>IF(F$758="Slender",F952,F950)</f>
        <v>#DIV/0!</v>
      </c>
      <c r="G947" s="147" t="e">
        <f>IF(G$758="Slender",G952,G950)</f>
        <v>#DIV/0!</v>
      </c>
      <c r="H947" s="147" t="e">
        <f>IF(H$758="Slender",H952,H950)</f>
        <v>#DIV/0!</v>
      </c>
    </row>
    <row r="948" spans="1:8" ht="15" hidden="1" x14ac:dyDescent="0.25">
      <c r="A948" s="5" t="s">
        <v>2117</v>
      </c>
      <c r="B948" s="2" t="s">
        <v>955</v>
      </c>
      <c r="C948" s="3" t="s">
        <v>906</v>
      </c>
      <c r="D948" s="9">
        <f>D718</f>
        <v>49.884276962262042</v>
      </c>
      <c r="E948" s="9">
        <f>E718</f>
        <v>49.884276962262042</v>
      </c>
      <c r="F948" s="9" t="e">
        <f>F718</f>
        <v>#DIV/0!</v>
      </c>
      <c r="G948" s="9" t="e">
        <f>G718</f>
        <v>#DIV/0!</v>
      </c>
      <c r="H948" s="9" t="e">
        <f>H718</f>
        <v>#DIV/0!</v>
      </c>
    </row>
    <row r="949" spans="1:8" ht="14.25" hidden="1" x14ac:dyDescent="0.25">
      <c r="A949" s="5" t="s">
        <v>2118</v>
      </c>
      <c r="B949" s="2" t="s">
        <v>2130</v>
      </c>
      <c r="C949" s="2" t="s">
        <v>405</v>
      </c>
      <c r="D949" s="9">
        <f>MIN((((PI()^2)*29000)/(D$800/D$799)^2)*SQRT(1+0.078*(D$738/(D$718*D$731))*(D$800/D$799)^2),D723)</f>
        <v>50</v>
      </c>
      <c r="E949" s="9">
        <f>MIN((((PI()^2)*29000)/(E$800/E$799)^2)*SQRT(1+0.078*(E$738/(E$718*E$731))*(E$800/E$799)^2),E723)</f>
        <v>50</v>
      </c>
      <c r="F949" s="9" t="e">
        <f>MIN((((PI()^2)*29000)/(F$800/F$799)^2)*SQRT(1+0.078*(F$738/(F$718*F$731))*(F$800/F$799)^2),F723)</f>
        <v>#DIV/0!</v>
      </c>
      <c r="G949" s="9" t="e">
        <f>MIN((((PI()^2)*29000)/(G$800/G$799)^2)*SQRT(1+0.078*(G$738/(G$718*G$731))*(G$800/G$799)^2),G723)</f>
        <v>#DIV/0!</v>
      </c>
      <c r="H949" s="9" t="e">
        <f>MIN((((PI()^2)*29000)/(H$800/H$799)^2)*SQRT(1+0.078*(H$738/(H$718*H$731))*(H$800/H$799)^2),H723)</f>
        <v>#DIV/0!</v>
      </c>
    </row>
    <row r="950" spans="1:8" ht="14.25" hidden="1" x14ac:dyDescent="0.25">
      <c r="A950" s="5" t="s">
        <v>2127</v>
      </c>
      <c r="B950" s="2" t="s">
        <v>2128</v>
      </c>
      <c r="C950" s="2" t="s">
        <v>406</v>
      </c>
      <c r="D950" s="9">
        <f t="shared" ref="D950:E950" si="474">MIN((D948*D949),(D805*D742))/12</f>
        <v>207.85115400942516</v>
      </c>
      <c r="E950" s="9">
        <f t="shared" si="474"/>
        <v>207.85115400942516</v>
      </c>
      <c r="F950" s="9" t="e">
        <f t="shared" ref="F950:G950" si="475">MIN((F948*F949),(F805*F742))/12</f>
        <v>#DIV/0!</v>
      </c>
      <c r="G950" s="9" t="e">
        <f t="shared" si="475"/>
        <v>#DIV/0!</v>
      </c>
      <c r="H950" s="9" t="e">
        <f t="shared" ref="H950" si="476">MIN((H948*H949),(H805*H742))/12</f>
        <v>#DIV/0!</v>
      </c>
    </row>
    <row r="951" spans="1:8" ht="14.25" hidden="1" x14ac:dyDescent="0.25">
      <c r="A951" s="5" t="s">
        <v>2126</v>
      </c>
      <c r="B951" s="2" t="s">
        <v>2131</v>
      </c>
      <c r="C951" s="3" t="s">
        <v>405</v>
      </c>
      <c r="D951" s="9">
        <f>MIN((((PI()^2)*29000)/(D$800/D$799)^2),D723)</f>
        <v>50</v>
      </c>
      <c r="E951" s="9">
        <f>MIN((((PI()^2)*29000)/(E$800/E$799)^2),E723)</f>
        <v>50</v>
      </c>
      <c r="F951" s="9" t="e">
        <f>MIN((((PI()^2)*29000)/(F$800/F$799)^2),F723)</f>
        <v>#DIV/0!</v>
      </c>
      <c r="G951" s="9" t="e">
        <f>MIN((((PI()^2)*29000)/(G$800/G$799)^2),G723)</f>
        <v>#DIV/0!</v>
      </c>
      <c r="H951" s="9" t="e">
        <f>MIN((((PI()^2)*29000)/(H$800/H$799)^2),H723)</f>
        <v>#DIV/0!</v>
      </c>
    </row>
    <row r="952" spans="1:8" ht="14.25" hidden="1" x14ac:dyDescent="0.25">
      <c r="A952" s="5" t="s">
        <v>2125</v>
      </c>
      <c r="B952" s="2" t="s">
        <v>2129</v>
      </c>
      <c r="C952" s="2" t="s">
        <v>406</v>
      </c>
      <c r="D952" s="9">
        <f t="shared" ref="D952:E952" si="477">(D823*D948*D951)/12</f>
        <v>207.85115400942516</v>
      </c>
      <c r="E952" s="9">
        <f t="shared" si="477"/>
        <v>207.85115400942516</v>
      </c>
      <c r="F952" s="9" t="e">
        <f t="shared" ref="F952:G952" si="478">(F823*F948*F951)/12</f>
        <v>#DIV/0!</v>
      </c>
      <c r="G952" s="9" t="e">
        <f t="shared" si="478"/>
        <v>#DIV/0!</v>
      </c>
      <c r="H952" s="9" t="e">
        <f t="shared" ref="H952" si="479">(H823*H948*H951)/12</f>
        <v>#DIV/0!</v>
      </c>
    </row>
    <row r="953" spans="1:8" ht="25.5" x14ac:dyDescent="0.2">
      <c r="A953" s="59" t="s">
        <v>2188</v>
      </c>
      <c r="B953" s="30" t="s">
        <v>2132</v>
      </c>
      <c r="C953" s="2"/>
    </row>
    <row r="954" spans="1:8" ht="14.25" x14ac:dyDescent="0.25">
      <c r="A954" s="5" t="s">
        <v>2179</v>
      </c>
      <c r="B954" s="2" t="s">
        <v>2110</v>
      </c>
      <c r="C954" s="2"/>
      <c r="D954" s="55">
        <f>D704/D392</f>
        <v>1.6658512851291964</v>
      </c>
      <c r="E954" s="55">
        <f>E704/E392</f>
        <v>1.6658512851291964</v>
      </c>
      <c r="F954" s="55">
        <f>F704/F392</f>
        <v>0</v>
      </c>
      <c r="G954" s="55">
        <f>G704/G392</f>
        <v>0</v>
      </c>
      <c r="H954" s="55">
        <f>H704/H392</f>
        <v>0</v>
      </c>
    </row>
    <row r="955" spans="1:8" x14ac:dyDescent="0.2">
      <c r="A955" s="5" t="s">
        <v>2111</v>
      </c>
      <c r="B955" s="2" t="s">
        <v>2096</v>
      </c>
      <c r="C955" s="2"/>
      <c r="D955" s="55">
        <f>MIN(D937/D13,1)</f>
        <v>0.83333333333333337</v>
      </c>
      <c r="E955" s="55">
        <f>MIN(E937/E13,1)</f>
        <v>0.83333333333333337</v>
      </c>
      <c r="F955" s="55" t="e">
        <f>MIN(F937/F13,1)</f>
        <v>#DIV/0!</v>
      </c>
      <c r="G955" s="55" t="e">
        <f>MIN(G937/G13,1)</f>
        <v>#DIV/0!</v>
      </c>
      <c r="H955" s="55" t="e">
        <f>MIN(H937/H13,1)</f>
        <v>#DIV/0!</v>
      </c>
    </row>
    <row r="957" spans="1:8" x14ac:dyDescent="0.2">
      <c r="A957" s="146" t="s">
        <v>2685</v>
      </c>
    </row>
    <row r="958" spans="1:8" ht="14.25" x14ac:dyDescent="0.25">
      <c r="A958" s="173" t="s">
        <v>2542</v>
      </c>
      <c r="B958" s="2" t="s">
        <v>2539</v>
      </c>
      <c r="C958" s="86" t="s">
        <v>406</v>
      </c>
      <c r="D958" s="172">
        <v>20</v>
      </c>
      <c r="E958" s="172">
        <v>20</v>
      </c>
      <c r="F958" s="172">
        <v>0</v>
      </c>
      <c r="G958" s="172">
        <v>0</v>
      </c>
      <c r="H958" s="172">
        <v>0</v>
      </c>
    </row>
    <row r="959" spans="1:8" ht="14.25" x14ac:dyDescent="0.25">
      <c r="A959" s="13" t="s">
        <v>2543</v>
      </c>
      <c r="B959" s="2" t="s">
        <v>2540</v>
      </c>
      <c r="C959" s="86" t="s">
        <v>405</v>
      </c>
      <c r="D959" s="10">
        <f>ABS(D958*12)/D718</f>
        <v>4.8111351835682097</v>
      </c>
      <c r="E959" s="10">
        <f t="shared" ref="E959:F959" si="480">ABS(E958*12)/E718</f>
        <v>4.8111351835682097</v>
      </c>
      <c r="F959" s="10" t="e">
        <f t="shared" si="480"/>
        <v>#DIV/0!</v>
      </c>
      <c r="G959" s="10" t="e">
        <f t="shared" ref="G959:H959" si="481">ABS(G958*12)/G718</f>
        <v>#DIV/0!</v>
      </c>
      <c r="H959" s="10" t="e">
        <f t="shared" si="481"/>
        <v>#DIV/0!</v>
      </c>
    </row>
    <row r="960" spans="1:8" ht="14.25" x14ac:dyDescent="0.25">
      <c r="A960" s="13" t="s">
        <v>2544</v>
      </c>
      <c r="B960" s="2" t="s">
        <v>2541</v>
      </c>
      <c r="C960" s="86" t="s">
        <v>405</v>
      </c>
      <c r="D960" s="55">
        <f>MAX(D740-(D959/D694),0)</f>
        <v>30.04517488818928</v>
      </c>
      <c r="E960" s="55">
        <f t="shared" ref="E960:F960" si="482">MAX(E740-(E959/E694),0)</f>
        <v>30.04517488818928</v>
      </c>
      <c r="F960" s="55" t="e">
        <f t="shared" si="482"/>
        <v>#DIV/0!</v>
      </c>
      <c r="G960" s="55" t="e">
        <f t="shared" ref="G960:H960" si="483">MAX(G740-(G959/G694),0)</f>
        <v>#DIV/0!</v>
      </c>
      <c r="H960" s="55" t="e">
        <f t="shared" si="483"/>
        <v>#DIV/0!</v>
      </c>
    </row>
    <row r="961" spans="1:8" x14ac:dyDescent="0.2">
      <c r="A961" s="13"/>
      <c r="B961" s="14"/>
      <c r="C961" s="86"/>
    </row>
    <row r="962" spans="1:8" x14ac:dyDescent="0.2">
      <c r="A962" s="45" t="s">
        <v>2546</v>
      </c>
      <c r="B962" s="14"/>
      <c r="C962" s="86" t="s">
        <v>2027</v>
      </c>
      <c r="D962" s="8" t="s">
        <v>2028</v>
      </c>
      <c r="E962" s="8" t="s">
        <v>2028</v>
      </c>
      <c r="F962" s="8" t="s">
        <v>2028</v>
      </c>
      <c r="G962" s="8" t="s">
        <v>2028</v>
      </c>
      <c r="H962" s="8" t="s">
        <v>2028</v>
      </c>
    </row>
    <row r="963" spans="1:8" ht="14.25" x14ac:dyDescent="0.25">
      <c r="A963" s="5" t="s">
        <v>2151</v>
      </c>
      <c r="B963" s="2" t="s">
        <v>2149</v>
      </c>
      <c r="C963" s="3" t="s">
        <v>407</v>
      </c>
      <c r="D963" s="10">
        <f>D551</f>
        <v>2.2303833653738834</v>
      </c>
      <c r="E963" s="10">
        <f>E551</f>
        <v>2.2303833653738834</v>
      </c>
      <c r="F963" s="10">
        <f>F551</f>
        <v>1.4116995652634772</v>
      </c>
      <c r="G963" s="10">
        <f>G551</f>
        <v>1.4116995652634772</v>
      </c>
      <c r="H963" s="10">
        <f>H551</f>
        <v>1.4116995652634772</v>
      </c>
    </row>
    <row r="964" spans="1:8" ht="14.25" x14ac:dyDescent="0.25">
      <c r="A964" s="5" t="s">
        <v>2154</v>
      </c>
      <c r="B964" s="2" t="s">
        <v>2153</v>
      </c>
      <c r="C964" s="3" t="s">
        <v>407</v>
      </c>
      <c r="D964" s="55">
        <f>0.85*D963</f>
        <v>1.8958258605678009</v>
      </c>
      <c r="E964" s="55">
        <f>0.85*E963</f>
        <v>1.8958258605678009</v>
      </c>
      <c r="F964" s="55">
        <f>0.85*F963</f>
        <v>1.1999446304739556</v>
      </c>
      <c r="G964" s="55">
        <f>0.85*G963</f>
        <v>1.1999446304739556</v>
      </c>
      <c r="H964" s="55">
        <f>0.85*H963</f>
        <v>1.1999446304739556</v>
      </c>
    </row>
    <row r="965" spans="1:8" ht="14.25" x14ac:dyDescent="0.25">
      <c r="A965" s="5" t="s">
        <v>2152</v>
      </c>
      <c r="B965" s="2" t="s">
        <v>2150</v>
      </c>
      <c r="C965" s="3" t="s">
        <v>407</v>
      </c>
      <c r="D965" s="55">
        <f>D799</f>
        <v>2.1830864584900103</v>
      </c>
      <c r="E965" s="55">
        <f>E799</f>
        <v>2.1830864584900103</v>
      </c>
      <c r="F965" s="55" t="e">
        <f>F799</f>
        <v>#DIV/0!</v>
      </c>
      <c r="G965" s="55" t="e">
        <f>G799</f>
        <v>#DIV/0!</v>
      </c>
      <c r="H965" s="55" t="e">
        <f>H799</f>
        <v>#DIV/0!</v>
      </c>
    </row>
    <row r="966" spans="1:8" x14ac:dyDescent="0.2">
      <c r="A966" s="5" t="s">
        <v>2545</v>
      </c>
      <c r="B966" s="4"/>
      <c r="C966" s="2" t="s">
        <v>2027</v>
      </c>
      <c r="D966" s="171" t="str">
        <f>IF(D689&lt;=D753,"No",IF(AND(D962="Yes",D965&gt;=D964),"No","Yes"))</f>
        <v>Yes</v>
      </c>
      <c r="E966" s="171" t="str">
        <f>IF(E689&lt;=E753,"No",IF(AND(E962="Yes",E965&gt;=E964),"No","Yes"))</f>
        <v>Yes</v>
      </c>
      <c r="F966" s="171" t="e">
        <f>IF(F689&lt;=F753,"No",IF(AND(F962="Yes",F965&gt;=F964),"No","Yes"))</f>
        <v>#DIV/0!</v>
      </c>
      <c r="G966" s="171" t="e">
        <f>IF(G689&lt;=G753,"No",IF(AND(G962="Yes",G965&gt;=G964),"No","Yes"))</f>
        <v>#DIV/0!</v>
      </c>
      <c r="H966" s="171" t="e">
        <f>IF(H689&lt;=H753,"No",IF(AND(H962="Yes",H965&gt;=H964),"No","Yes"))</f>
        <v>#DIV/0!</v>
      </c>
    </row>
    <row r="967" spans="1:8" x14ac:dyDescent="0.2">
      <c r="A967" s="170"/>
    </row>
    <row r="968" spans="1:8" ht="15" x14ac:dyDescent="0.25">
      <c r="A968" s="148" t="s">
        <v>2183</v>
      </c>
      <c r="B968" s="4"/>
      <c r="C968" s="4"/>
      <c r="D968" s="4"/>
      <c r="E968" s="4"/>
      <c r="F968" s="4"/>
      <c r="G968" s="4"/>
      <c r="H968" s="4"/>
    </row>
    <row r="969" spans="1:8" ht="14.25" x14ac:dyDescent="0.25">
      <c r="A969" s="5" t="s">
        <v>2044</v>
      </c>
      <c r="B969" s="2" t="s">
        <v>2045</v>
      </c>
      <c r="C969" s="3" t="s">
        <v>403</v>
      </c>
      <c r="D969" s="49">
        <v>7</v>
      </c>
      <c r="E969" s="49">
        <v>7</v>
      </c>
      <c r="F969" s="49"/>
      <c r="G969" s="49"/>
      <c r="H969" s="49"/>
    </row>
    <row r="970" spans="1:8" ht="14.25" x14ac:dyDescent="0.25">
      <c r="A970" s="5" t="s">
        <v>2086</v>
      </c>
      <c r="B970" s="2" t="s">
        <v>2083</v>
      </c>
      <c r="C970" s="3" t="s">
        <v>403</v>
      </c>
      <c r="D970" s="149">
        <f t="shared" ref="D970:E970" si="484">MAX(D997,D1002)/12</f>
        <v>1.6666666666666667</v>
      </c>
      <c r="E970" s="149">
        <f t="shared" si="484"/>
        <v>1.6666666666666667</v>
      </c>
      <c r="F970" s="149" t="e">
        <f t="shared" ref="F970:G970" si="485">MAX(F997,F1002)/12</f>
        <v>#DIV/0!</v>
      </c>
      <c r="G970" s="149" t="e">
        <f t="shared" si="485"/>
        <v>#DIV/0!</v>
      </c>
      <c r="H970" s="149" t="e">
        <f t="shared" ref="H970" si="486">MAX(H997,H1002)/12</f>
        <v>#DIV/0!</v>
      </c>
    </row>
    <row r="971" spans="1:8" ht="14.25" x14ac:dyDescent="0.25">
      <c r="A971" s="5" t="s">
        <v>2085</v>
      </c>
      <c r="B971" s="2" t="s">
        <v>2081</v>
      </c>
      <c r="C971" s="3" t="s">
        <v>403</v>
      </c>
      <c r="D971" s="150">
        <f>D$13-(2*D$969)+(2*D970)</f>
        <v>13.333333333333334</v>
      </c>
      <c r="E971" s="150">
        <f>E$13-(2*E$969)+(2*E970)</f>
        <v>13.333333333333334</v>
      </c>
      <c r="F971" s="150" t="e">
        <f>F$13-(2*F$969)+(2*F970)</f>
        <v>#DIV/0!</v>
      </c>
      <c r="G971" s="150" t="e">
        <f>G$13-(2*G$969)+(2*G970)</f>
        <v>#DIV/0!</v>
      </c>
      <c r="H971" s="150" t="e">
        <f>H$13-(2*H$969)+(2*H970)</f>
        <v>#DIV/0!</v>
      </c>
    </row>
    <row r="972" spans="1:8" ht="14.25" x14ac:dyDescent="0.25">
      <c r="A972" s="5" t="s">
        <v>2087</v>
      </c>
      <c r="B972" s="2" t="s">
        <v>2082</v>
      </c>
      <c r="C972" s="3" t="s">
        <v>403</v>
      </c>
      <c r="D972" s="151" t="e">
        <f>MAX(D1038,D1043)/12</f>
        <v>#DIV/0!</v>
      </c>
      <c r="E972" s="151" t="e">
        <f>MAX(E1038,E1043)/12</f>
        <v>#DIV/0!</v>
      </c>
      <c r="F972" s="151" t="e">
        <f>MAX(F1038,F1043)/12</f>
        <v>#DIV/0!</v>
      </c>
      <c r="G972" s="151" t="e">
        <f>MAX(G1038,G1043)/12</f>
        <v>#DIV/0!</v>
      </c>
      <c r="H972" s="151" t="e">
        <f>MAX(H1038,H1043)/12</f>
        <v>#DIV/0!</v>
      </c>
    </row>
    <row r="973" spans="1:8" ht="14.25" x14ac:dyDescent="0.25">
      <c r="A973" s="5" t="s">
        <v>2084</v>
      </c>
      <c r="B973" s="2" t="s">
        <v>2080</v>
      </c>
      <c r="C973" s="3" t="s">
        <v>403</v>
      </c>
      <c r="D973" s="150" t="e">
        <f>D$13-(2*D$969)+(2*D972)</f>
        <v>#DIV/0!</v>
      </c>
      <c r="E973" s="150" t="e">
        <f>E$13-(2*E$969)+(2*E972)</f>
        <v>#DIV/0!</v>
      </c>
      <c r="F973" s="150" t="e">
        <f>F$13-(2*F$969)+(2*F972)</f>
        <v>#DIV/0!</v>
      </c>
      <c r="G973" s="150" t="e">
        <f>G$13-(2*G$969)+(2*G972)</f>
        <v>#DIV/0!</v>
      </c>
      <c r="H973" s="150" t="e">
        <f>H$13-(2*H$969)+(2*H972)</f>
        <v>#DIV/0!</v>
      </c>
    </row>
    <row r="975" spans="1:8" x14ac:dyDescent="0.2">
      <c r="A975" s="152" t="s">
        <v>2064</v>
      </c>
    </row>
    <row r="976" spans="1:8" ht="15" x14ac:dyDescent="0.25">
      <c r="A976" s="5" t="s">
        <v>2018</v>
      </c>
      <c r="B976" s="2" t="s">
        <v>2003</v>
      </c>
      <c r="C976" s="3" t="s">
        <v>900</v>
      </c>
      <c r="D976" s="8">
        <v>5</v>
      </c>
      <c r="E976" s="8">
        <v>5</v>
      </c>
      <c r="F976" s="8"/>
      <c r="G976" s="8"/>
      <c r="H976" s="8"/>
    </row>
    <row r="977" spans="1:8" x14ac:dyDescent="0.2">
      <c r="A977" s="5" t="s">
        <v>2048</v>
      </c>
      <c r="B977" s="2" t="s">
        <v>2047</v>
      </c>
      <c r="C977" s="3" t="s">
        <v>407</v>
      </c>
      <c r="D977" s="8">
        <v>0.5</v>
      </c>
      <c r="E977" s="8">
        <v>0.5</v>
      </c>
      <c r="F977" s="8"/>
      <c r="G977" s="8"/>
      <c r="H977" s="8"/>
    </row>
    <row r="978" spans="1:8" x14ac:dyDescent="0.2">
      <c r="A978" s="5" t="s">
        <v>2079</v>
      </c>
      <c r="B978" s="2" t="s">
        <v>1664</v>
      </c>
      <c r="C978" s="3" t="s">
        <v>407</v>
      </c>
      <c r="D978" s="8">
        <v>10</v>
      </c>
      <c r="E978" s="8">
        <v>10</v>
      </c>
      <c r="F978" s="8"/>
      <c r="G978" s="8"/>
      <c r="H978" s="8"/>
    </row>
    <row r="979" spans="1:8" ht="14.25" x14ac:dyDescent="0.25">
      <c r="A979" s="5" t="s">
        <v>2020</v>
      </c>
      <c r="B979" s="2" t="s">
        <v>2002</v>
      </c>
      <c r="C979" s="3" t="s">
        <v>407</v>
      </c>
      <c r="D979" s="8">
        <v>0.25</v>
      </c>
      <c r="E979" s="8">
        <v>0.25</v>
      </c>
      <c r="F979" s="8"/>
      <c r="G979" s="8"/>
      <c r="H979" s="8"/>
    </row>
    <row r="980" spans="1:8" ht="14.25" hidden="1" x14ac:dyDescent="0.25">
      <c r="A980" s="5" t="s">
        <v>2019</v>
      </c>
      <c r="B980" s="2" t="s">
        <v>2004</v>
      </c>
      <c r="C980" s="3" t="s">
        <v>407</v>
      </c>
      <c r="D980" s="2">
        <f t="shared" ref="D980:E980" si="487">D$695-(D$701+D979)</f>
        <v>4.4311358500824616</v>
      </c>
      <c r="E980" s="2">
        <f t="shared" si="487"/>
        <v>4.4311358500824616</v>
      </c>
      <c r="F980" s="2">
        <f t="shared" ref="F980:G980" si="488">F$695-(F$701+F979)</f>
        <v>0</v>
      </c>
      <c r="G980" s="2">
        <f t="shared" si="488"/>
        <v>0</v>
      </c>
      <c r="H980" s="2">
        <f t="shared" ref="H980" si="489">H$695-(H$701+H979)</f>
        <v>0</v>
      </c>
    </row>
    <row r="981" spans="1:8" ht="15" hidden="1" x14ac:dyDescent="0.2">
      <c r="A981" s="5" t="s">
        <v>2017</v>
      </c>
      <c r="B981" s="2" t="s">
        <v>2005</v>
      </c>
      <c r="C981" s="3" t="s">
        <v>906</v>
      </c>
      <c r="D981" s="2">
        <f t="shared" ref="D981:E981" si="490">D976*D980</f>
        <v>22.155679250412309</v>
      </c>
      <c r="E981" s="2">
        <f t="shared" si="490"/>
        <v>22.155679250412309</v>
      </c>
      <c r="F981" s="2">
        <f t="shared" ref="F981:G981" si="491">F976*F980</f>
        <v>0</v>
      </c>
      <c r="G981" s="2">
        <f t="shared" si="491"/>
        <v>0</v>
      </c>
      <c r="H981" s="2">
        <f t="shared" ref="H981" si="492">H976*H980</f>
        <v>0</v>
      </c>
    </row>
    <row r="982" spans="1:8" ht="14.25" hidden="1" x14ac:dyDescent="0.25">
      <c r="A982" s="5" t="s">
        <v>2138</v>
      </c>
      <c r="B982" s="2" t="s">
        <v>2139</v>
      </c>
      <c r="C982" s="3" t="s">
        <v>407</v>
      </c>
      <c r="D982" s="12">
        <f>D977/SQRT(12)</f>
        <v>0.14433756729740646</v>
      </c>
      <c r="E982" s="12">
        <f>E977/SQRT(12)</f>
        <v>0.14433756729740646</v>
      </c>
      <c r="F982" s="12">
        <f>F977/SQRT(12)</f>
        <v>0</v>
      </c>
      <c r="G982" s="12">
        <f>G977/SQRT(12)</f>
        <v>0</v>
      </c>
      <c r="H982" s="12">
        <f>H977/SQRT(12)</f>
        <v>0</v>
      </c>
    </row>
    <row r="983" spans="1:8" hidden="1" x14ac:dyDescent="0.2">
      <c r="A983" s="5" t="s">
        <v>2142</v>
      </c>
      <c r="B983" s="2" t="s">
        <v>2141</v>
      </c>
      <c r="D983" s="9">
        <f>MAX(D$855,D$856)</f>
        <v>61.408318823986392</v>
      </c>
      <c r="E983" s="9">
        <f>MAX(E$855,E$856)</f>
        <v>61.408318823986392</v>
      </c>
      <c r="F983" s="9" t="e">
        <f>MAX(F$855,F$856)</f>
        <v>#DIV/0!</v>
      </c>
      <c r="G983" s="9" t="e">
        <f>MAX(G$855,G$856)</f>
        <v>#DIV/0!</v>
      </c>
      <c r="H983" s="9" t="e">
        <f>MAX(H$855,H$856)</f>
        <v>#DIV/0!</v>
      </c>
    </row>
    <row r="984" spans="1:8" ht="14.25" x14ac:dyDescent="0.25">
      <c r="A984" s="5" t="s">
        <v>2089</v>
      </c>
      <c r="B984" s="2" t="s">
        <v>2015</v>
      </c>
      <c r="C984" s="2" t="s">
        <v>2007</v>
      </c>
      <c r="D984" s="153">
        <f>(D$148*D981)/D$704</f>
        <v>1.5376462439936169</v>
      </c>
      <c r="E984" s="153">
        <f>(E$148*E981)/E$704</f>
        <v>0.99662256555141815</v>
      </c>
      <c r="F984" s="153" t="e">
        <f>(F$148*F981)/F$704</f>
        <v>#DIV/0!</v>
      </c>
      <c r="G984" s="153" t="e">
        <f>(G$148*G981)/G$704</f>
        <v>#DIV/0!</v>
      </c>
      <c r="H984" s="153" t="e">
        <f>(H$148*H981)/H$704</f>
        <v>#DIV/0!</v>
      </c>
    </row>
    <row r="985" spans="1:8" hidden="1" x14ac:dyDescent="0.2"/>
    <row r="986" spans="1:8" hidden="1" x14ac:dyDescent="0.2">
      <c r="A986" s="5" t="s">
        <v>2021</v>
      </c>
      <c r="B986" s="2" t="str">
        <f>IF(D$7="ASD","My/Ω",IF(D$7="LRFD","φMy"))</f>
        <v>φMy</v>
      </c>
      <c r="C986" s="3" t="s">
        <v>406</v>
      </c>
      <c r="D986" s="9">
        <f>IF(D$7="ASD",(D$723*MIN(D$718,D$719))/(12*1.67),IF(D$7="LRFD",(0.9*D$723*MIN(D$718,D$719))/12))</f>
        <v>187.06603860848267</v>
      </c>
      <c r="E986" s="9">
        <f>IF(E$7="ASD",(E$723*MIN(E$718,E$719))/(12*1.67),IF(E$7="LRFD",(0.9*E$723*MIN(E$718,E$719))/12))</f>
        <v>124.46176886791926</v>
      </c>
      <c r="F986" s="9" t="e">
        <f>IF(F$7="ASD",(F$723*MIN(F$718,F$719))/(12*1.67),IF(F$7="LRFD",(0.9*F$723*MIN(F$718,F$719))/12))</f>
        <v>#DIV/0!</v>
      </c>
      <c r="G986" s="9" t="e">
        <f>IF(G$7="ASD",(G$723*MIN(G$718,G$719))/(12*1.67),IF(G$7="LRFD",(0.9*G$723*MIN(G$718,G$719))/12))</f>
        <v>#DIV/0!</v>
      </c>
      <c r="H986" s="9" t="e">
        <f>IF(H$7="ASD",(H$723*MIN(H$718,H$719))/(12*1.67),IF(H$7="LRFD",(0.9*H$723*MIN(H$718,H$719))/12))</f>
        <v>#DIV/0!</v>
      </c>
    </row>
    <row r="987" spans="1:8" ht="14.25" hidden="1" x14ac:dyDescent="0.25">
      <c r="A987" s="5" t="s">
        <v>2009</v>
      </c>
      <c r="B987" s="2" t="s">
        <v>2010</v>
      </c>
      <c r="C987" s="2" t="s">
        <v>406</v>
      </c>
      <c r="D987" s="9">
        <f>IF(D$520&gt;D$150,D$150,D$520)</f>
        <v>138.40017829992115</v>
      </c>
      <c r="E987" s="9">
        <f>IF(E$520&gt;E$150,E$150,E$520)</f>
        <v>92.082620292695381</v>
      </c>
      <c r="F987" s="9" t="e">
        <f>IF(F$520&gt;F$150,F$150,F$520)</f>
        <v>#DIV/0!</v>
      </c>
      <c r="G987" s="9" t="e">
        <f>IF(G$520&gt;G$150,G$150,G$520)</f>
        <v>#DIV/0!</v>
      </c>
      <c r="H987" s="9" t="e">
        <f>IF(H$520&gt;H$150,H$150,H$520)</f>
        <v>#DIV/0!</v>
      </c>
    </row>
    <row r="988" spans="1:8" ht="14.25" hidden="1" x14ac:dyDescent="0.25">
      <c r="A988" s="5" t="s">
        <v>2024</v>
      </c>
      <c r="B988" s="2" t="s">
        <v>2006</v>
      </c>
      <c r="C988" s="2" t="s">
        <v>419</v>
      </c>
      <c r="D988" s="9">
        <f t="shared" ref="D988:E988" si="493">(12*D987*D981)/D$704</f>
        <v>98.523386264315107</v>
      </c>
      <c r="E988" s="9">
        <f t="shared" si="493"/>
        <v>65.551155199145128</v>
      </c>
      <c r="F988" s="9" t="e">
        <f t="shared" ref="F988:G988" si="494">(12*F987*F981)/F$704</f>
        <v>#DIV/0!</v>
      </c>
      <c r="G988" s="9" t="e">
        <f t="shared" si="494"/>
        <v>#DIV/0!</v>
      </c>
      <c r="H988" s="9" t="e">
        <f t="shared" ref="H988" si="495">(12*H987*H981)/H$704</f>
        <v>#DIV/0!</v>
      </c>
    </row>
    <row r="989" spans="1:8" ht="14.25" hidden="1" x14ac:dyDescent="0.25">
      <c r="A989" s="5" t="s">
        <v>2022</v>
      </c>
      <c r="B989" s="2" t="s">
        <v>2023</v>
      </c>
      <c r="C989" s="3" t="s">
        <v>419</v>
      </c>
      <c r="D989" s="9">
        <f>IF(D$7="ASD",(D976*D685)/1.5,IF(D$7="LRFD",D976*D685))</f>
        <v>250</v>
      </c>
      <c r="E989" s="9">
        <f>IF(E$7="ASD",(E976*E685)/1.5,IF(E$7="LRFD",E976*E685))</f>
        <v>166.66666666666666</v>
      </c>
      <c r="F989" s="9">
        <f>IF(F$7="ASD",(F976*F685)/1.5,IF(F$7="LRFD",F976*F685))</f>
        <v>0</v>
      </c>
      <c r="G989" s="9">
        <f>IF(G$7="ASD",(G976*G685)/1.5,IF(G$7="LRFD",G976*G685))</f>
        <v>0</v>
      </c>
      <c r="H989" s="9">
        <f>IF(H$7="ASD",(H976*H685)/1.5,IF(H$7="LRFD",H976*H685))</f>
        <v>0</v>
      </c>
    </row>
    <row r="990" spans="1:8" ht="14.25" hidden="1" x14ac:dyDescent="0.25">
      <c r="A990" s="5" t="s">
        <v>2025</v>
      </c>
      <c r="B990" s="2" t="s">
        <v>2011</v>
      </c>
      <c r="C990" s="2" t="s">
        <v>419</v>
      </c>
      <c r="D990" s="24">
        <f t="shared" ref="D990:E990" si="496">IF(D$150&gt;D986,D989,D988)</f>
        <v>98.523386264315107</v>
      </c>
      <c r="E990" s="24">
        <f t="shared" si="496"/>
        <v>65.551155199145128</v>
      </c>
      <c r="F990" s="24" t="e">
        <f t="shared" ref="F990:G990" si="497">IF(F$150&gt;F986,F989,F988)</f>
        <v>#DIV/0!</v>
      </c>
      <c r="G990" s="24" t="e">
        <f t="shared" si="497"/>
        <v>#DIV/0!</v>
      </c>
      <c r="H990" s="24" t="e">
        <f t="shared" ref="H990" si="498">IF(H$150&gt;H986,H989,H988)</f>
        <v>#DIV/0!</v>
      </c>
    </row>
    <row r="991" spans="1:8" ht="14.25" hidden="1" x14ac:dyDescent="0.25">
      <c r="A991" s="5" t="s">
        <v>2012</v>
      </c>
      <c r="B991" s="2" t="s">
        <v>2013</v>
      </c>
      <c r="C991" s="3" t="s">
        <v>419</v>
      </c>
      <c r="D991" s="24">
        <f>MAX(D$152,D$153)*(D976/D$703)</f>
        <v>0</v>
      </c>
      <c r="E991" s="24">
        <f>MAX(E$152,E$153)*(E976/E$703)</f>
        <v>0</v>
      </c>
      <c r="F991" s="24" t="e">
        <f>MAX(F$152,F$153)*(F976/F$703)</f>
        <v>#DIV/0!</v>
      </c>
      <c r="G991" s="24" t="e">
        <f>MAX(G$152,G$153)*(G976/G$703)</f>
        <v>#DIV/0!</v>
      </c>
      <c r="H991" s="24" t="e">
        <f>MAX(H$152,H$153)*(H976/H$703)</f>
        <v>#DIV/0!</v>
      </c>
    </row>
    <row r="992" spans="1:8" ht="14.25" x14ac:dyDescent="0.25">
      <c r="A992" s="5" t="s">
        <v>2014</v>
      </c>
      <c r="B992" s="2" t="s">
        <v>2050</v>
      </c>
      <c r="C992" s="3" t="s">
        <v>419</v>
      </c>
      <c r="D992" s="153">
        <f t="shared" ref="D992:E992" si="499">D990+D991</f>
        <v>98.523386264315107</v>
      </c>
      <c r="E992" s="153">
        <f t="shared" si="499"/>
        <v>65.551155199145128</v>
      </c>
      <c r="F992" s="153" t="e">
        <f t="shared" ref="F992:G992" si="500">F990+F991</f>
        <v>#DIV/0!</v>
      </c>
      <c r="G992" s="153" t="e">
        <f t="shared" si="500"/>
        <v>#DIV/0!</v>
      </c>
      <c r="H992" s="153" t="e">
        <f t="shared" ref="H992" si="501">H990+H991</f>
        <v>#DIV/0!</v>
      </c>
    </row>
    <row r="994" spans="1:8" x14ac:dyDescent="0.2">
      <c r="A994" s="16" t="s">
        <v>2090</v>
      </c>
    </row>
    <row r="995" spans="1:8" x14ac:dyDescent="0.2">
      <c r="A995" s="5" t="s">
        <v>2026</v>
      </c>
      <c r="B995" s="2" t="s">
        <v>2027</v>
      </c>
      <c r="D995" s="8" t="s">
        <v>2028</v>
      </c>
      <c r="E995" s="8" t="s">
        <v>2028</v>
      </c>
      <c r="F995" s="8" t="s">
        <v>2028</v>
      </c>
      <c r="G995" s="8" t="s">
        <v>2028</v>
      </c>
      <c r="H995" s="8" t="s">
        <v>2028</v>
      </c>
    </row>
    <row r="996" spans="1:8" ht="14.25" x14ac:dyDescent="0.25">
      <c r="A996" s="5" t="s">
        <v>2008</v>
      </c>
      <c r="B996" s="2" t="s">
        <v>2029</v>
      </c>
      <c r="D996" s="8">
        <v>4</v>
      </c>
      <c r="E996" s="8">
        <v>4</v>
      </c>
      <c r="F996" s="8"/>
      <c r="G996" s="8"/>
      <c r="H996" s="8"/>
    </row>
    <row r="997" spans="1:8" ht="14.25" x14ac:dyDescent="0.25">
      <c r="A997" s="5" t="s">
        <v>2182</v>
      </c>
      <c r="B997" s="2" t="s">
        <v>2031</v>
      </c>
      <c r="C997" s="3" t="s">
        <v>407</v>
      </c>
      <c r="D997" s="8">
        <v>20</v>
      </c>
      <c r="E997" s="8">
        <v>20</v>
      </c>
      <c r="F997" s="8"/>
      <c r="G997" s="8"/>
      <c r="H997" s="8"/>
    </row>
    <row r="998" spans="1:8" ht="13.5" hidden="1" x14ac:dyDescent="0.25">
      <c r="A998" s="5" t="s">
        <v>2136</v>
      </c>
      <c r="B998" s="154" t="s">
        <v>2137</v>
      </c>
      <c r="D998" s="12">
        <f>MIN(1.2-0.002*(D997/(D996/16)),1)</f>
        <v>1</v>
      </c>
      <c r="E998" s="12">
        <f>MIN(1.2-0.002*(E997/(E996/16)),1)</f>
        <v>1</v>
      </c>
      <c r="F998" s="12" t="e">
        <f>MIN(1.2-0.002*(F997/(F996/16)),1)</f>
        <v>#DIV/0!</v>
      </c>
      <c r="G998" s="12" t="e">
        <f>MIN(1.2-0.002*(G997/(G996/16)),1)</f>
        <v>#DIV/0!</v>
      </c>
      <c r="H998" s="12" t="e">
        <f>MIN(1.2-0.002*(H997/(H996/16)),1)</f>
        <v>#DIV/0!</v>
      </c>
    </row>
    <row r="999" spans="1:8" hidden="1" x14ac:dyDescent="0.2">
      <c r="A999" s="5" t="s">
        <v>2030</v>
      </c>
      <c r="B999" s="2" t="str">
        <f>IF(D$7="ASD","rn/Ω",IF(D$7="LRFD","φrn"))</f>
        <v>φrn</v>
      </c>
      <c r="C999" s="3" t="s">
        <v>2007</v>
      </c>
      <c r="D999" s="10">
        <f t="shared" ref="D999:E999" si="502">IF(D$7="ASD",0.928*D996,IF(D$7="LRFD",1.392*D996))</f>
        <v>5.5679999999999996</v>
      </c>
      <c r="E999" s="10">
        <f t="shared" si="502"/>
        <v>3.7120000000000002</v>
      </c>
      <c r="F999" s="10">
        <f t="shared" ref="F999:G999" si="503">IF(F$7="ASD",0.928*F996,IF(F$7="LRFD",1.392*F996))</f>
        <v>0</v>
      </c>
      <c r="G999" s="10">
        <f t="shared" si="503"/>
        <v>0</v>
      </c>
      <c r="H999" s="10">
        <f t="shared" ref="H999" si="504">IF(H$7="ASD",0.928*H996,IF(H$7="LRFD",1.392*H996))</f>
        <v>0</v>
      </c>
    </row>
    <row r="1000" spans="1:8" ht="14.25" hidden="1" x14ac:dyDescent="0.25">
      <c r="A1000" s="5" t="s">
        <v>2035</v>
      </c>
      <c r="B1000" s="2" t="s">
        <v>2032</v>
      </c>
      <c r="C1000" s="3" t="s">
        <v>407</v>
      </c>
      <c r="D1000" s="9">
        <f t="shared" ref="D1000:E1000" si="505">D992/(2*D999)</f>
        <v>8.8472868412639283</v>
      </c>
      <c r="E1000" s="9">
        <f t="shared" si="505"/>
        <v>8.8296275860917461</v>
      </c>
      <c r="F1000" s="9" t="e">
        <f t="shared" ref="F1000:G1000" si="506">F992/(2*F999)</f>
        <v>#DIV/0!</v>
      </c>
      <c r="G1000" s="9" t="e">
        <f t="shared" si="506"/>
        <v>#DIV/0!</v>
      </c>
      <c r="H1000" s="9" t="e">
        <f t="shared" ref="H1000" si="507">H992/(2*H999)</f>
        <v>#DIV/0!</v>
      </c>
    </row>
    <row r="1001" spans="1:8" ht="14.25" hidden="1" x14ac:dyDescent="0.25">
      <c r="A1001" s="5" t="s">
        <v>2049</v>
      </c>
      <c r="B1001" s="2" t="s">
        <v>2034</v>
      </c>
      <c r="C1001" s="3" t="s">
        <v>407</v>
      </c>
      <c r="D1001" s="2">
        <f t="shared" ref="D1001:E1001" si="508">IF(D995="No",2*D978,IF(D995="Yes",IF(D996/16&lt;0.75*D977,1.5*D978,D978)))</f>
        <v>20</v>
      </c>
      <c r="E1001" s="2">
        <f t="shared" si="508"/>
        <v>20</v>
      </c>
      <c r="F1001" s="2">
        <f t="shared" ref="F1001:G1001" si="509">IF(F995="No",2*F978,IF(F995="Yes",IF(F996/16&lt;0.75*F977,1.5*F978,F978)))</f>
        <v>0</v>
      </c>
      <c r="G1001" s="2">
        <f t="shared" si="509"/>
        <v>0</v>
      </c>
      <c r="H1001" s="2">
        <f t="shared" ref="H1001" si="510">IF(H995="No",2*H978,IF(H995="Yes",IF(H996/16&lt;0.75*H977,1.5*H978,H978)))</f>
        <v>0</v>
      </c>
    </row>
    <row r="1002" spans="1:8" ht="14.25" x14ac:dyDescent="0.25">
      <c r="A1002" s="5" t="s">
        <v>2181</v>
      </c>
      <c r="B1002" s="2" t="s">
        <v>2033</v>
      </c>
      <c r="C1002" s="3" t="s">
        <v>407</v>
      </c>
      <c r="D1002" s="155">
        <f t="shared" ref="D1002:E1002" si="511">MAX(D1000,D1001)</f>
        <v>20</v>
      </c>
      <c r="E1002" s="155">
        <f t="shared" si="511"/>
        <v>20</v>
      </c>
      <c r="F1002" s="155" t="e">
        <f t="shared" ref="F1002:G1002" si="512">MAX(F1000,F1001)</f>
        <v>#DIV/0!</v>
      </c>
      <c r="G1002" s="155" t="e">
        <f t="shared" si="512"/>
        <v>#DIV/0!</v>
      </c>
      <c r="H1002" s="155" t="e">
        <f t="shared" ref="H1002" si="513">MAX(H1000,H1001)</f>
        <v>#DIV/0!</v>
      </c>
    </row>
    <row r="1003" spans="1:8" x14ac:dyDescent="0.2">
      <c r="A1003" s="5" t="s">
        <v>2036</v>
      </c>
      <c r="B1003" s="2" t="str">
        <f>IF(D$7="ASD","Rn/Ω",IF(D$7="LRFD","φRn"))</f>
        <v>φRn</v>
      </c>
      <c r="C1003" s="3" t="s">
        <v>419</v>
      </c>
      <c r="D1003" s="24">
        <f>IF(D997&gt;300*(D996/16),2*D999*180*(D996/16),2*D999*D997*D998)</f>
        <v>222.71999999999997</v>
      </c>
      <c r="E1003" s="24">
        <f>IF(E997&gt;300*(E996/16),2*E999*180*(E996/16),2*E999*E997*E998)</f>
        <v>148.48000000000002</v>
      </c>
      <c r="F1003" s="24" t="e">
        <f>IF(F997&gt;300*(F996/16),2*F999*180*(F996/16),2*F999*F997*F998)</f>
        <v>#DIV/0!</v>
      </c>
      <c r="G1003" s="24" t="e">
        <f>IF(G997&gt;300*(G996/16),2*G999*180*(G996/16),2*G999*G997*G998)</f>
        <v>#DIV/0!</v>
      </c>
      <c r="H1003" s="24" t="e">
        <f>IF(H997&gt;300*(H996/16),2*H999*180*(H996/16),2*H999*H997*H998)</f>
        <v>#DIV/0!</v>
      </c>
    </row>
    <row r="1004" spans="1:8" x14ac:dyDescent="0.2">
      <c r="A1004" s="5" t="s">
        <v>2046</v>
      </c>
      <c r="C1004" s="3" t="s">
        <v>876</v>
      </c>
      <c r="D1004" s="125">
        <f t="shared" ref="D1004:E1004" si="514">D992/D1003</f>
        <v>0.44236434206319647</v>
      </c>
      <c r="E1004" s="125">
        <f t="shared" si="514"/>
        <v>0.44148137930458731</v>
      </c>
      <c r="F1004" s="125" t="e">
        <f t="shared" ref="F1004:G1004" si="515">F992/F1003</f>
        <v>#DIV/0!</v>
      </c>
      <c r="G1004" s="125" t="e">
        <f t="shared" si="515"/>
        <v>#DIV/0!</v>
      </c>
      <c r="H1004" s="125" t="e">
        <f t="shared" ref="H1004" si="516">H992/H1003</f>
        <v>#DIV/0!</v>
      </c>
    </row>
    <row r="1006" spans="1:8" ht="14.25" x14ac:dyDescent="0.25">
      <c r="A1006" s="5" t="s">
        <v>2140</v>
      </c>
      <c r="B1006" s="2" t="s">
        <v>2039</v>
      </c>
      <c r="C1006" s="3" t="s">
        <v>407</v>
      </c>
      <c r="D1006" s="8">
        <v>3</v>
      </c>
      <c r="E1006" s="8">
        <v>3</v>
      </c>
      <c r="F1006" s="8"/>
      <c r="G1006" s="8"/>
      <c r="H1006" s="8"/>
    </row>
    <row r="1007" spans="1:8" x14ac:dyDescent="0.2">
      <c r="A1007" s="5" t="s">
        <v>2038</v>
      </c>
      <c r="B1007" s="2" t="s">
        <v>2037</v>
      </c>
      <c r="C1007" s="3" t="s">
        <v>407</v>
      </c>
      <c r="D1007" s="49">
        <v>12</v>
      </c>
      <c r="E1007" s="49">
        <v>12</v>
      </c>
      <c r="F1007" s="49"/>
      <c r="G1007" s="49"/>
      <c r="H1007" s="49"/>
    </row>
    <row r="1008" spans="1:8" ht="14.25" x14ac:dyDescent="0.25">
      <c r="A1008" s="5" t="s">
        <v>2041</v>
      </c>
      <c r="B1008" s="2" t="s">
        <v>2051</v>
      </c>
      <c r="C1008" s="3" t="s">
        <v>2040</v>
      </c>
      <c r="D1008" s="28">
        <f t="shared" ref="D1008:E1008" si="517">D1006/D1007</f>
        <v>0.25</v>
      </c>
      <c r="E1008" s="28">
        <f t="shared" si="517"/>
        <v>0.25</v>
      </c>
      <c r="F1008" s="28" t="e">
        <f t="shared" ref="F1008:G1008" si="518">F1006/F1007</f>
        <v>#DIV/0!</v>
      </c>
      <c r="G1008" s="28" t="e">
        <f t="shared" si="518"/>
        <v>#DIV/0!</v>
      </c>
      <c r="H1008" s="28" t="e">
        <f t="shared" ref="H1008" si="519">H1006/H1007</f>
        <v>#DIV/0!</v>
      </c>
    </row>
    <row r="1009" spans="1:8" ht="14.25" x14ac:dyDescent="0.25">
      <c r="A1009" s="5" t="s">
        <v>2042</v>
      </c>
      <c r="B1009" s="2" t="s">
        <v>2052</v>
      </c>
      <c r="C1009" s="3" t="s">
        <v>2040</v>
      </c>
      <c r="D1009" s="156">
        <f t="shared" ref="D1009:E1009" si="520">D984/(2*D999)</f>
        <v>0.13807886530115096</v>
      </c>
      <c r="E1009" s="156">
        <f t="shared" si="520"/>
        <v>0.13424334126500784</v>
      </c>
      <c r="F1009" s="156" t="e">
        <f t="shared" ref="F1009:G1009" si="521">F984/(2*F999)</f>
        <v>#DIV/0!</v>
      </c>
      <c r="G1009" s="156" t="e">
        <f t="shared" si="521"/>
        <v>#DIV/0!</v>
      </c>
      <c r="H1009" s="156" t="e">
        <f t="shared" ref="H1009" si="522">H984/(2*H999)</f>
        <v>#DIV/0!</v>
      </c>
    </row>
    <row r="1010" spans="1:8" ht="14.25" hidden="1" x14ac:dyDescent="0.25">
      <c r="A1010" s="5" t="s">
        <v>2144</v>
      </c>
      <c r="B1010" s="2" t="s">
        <v>2148</v>
      </c>
      <c r="C1010" s="3" t="s">
        <v>407</v>
      </c>
      <c r="D1010" s="98">
        <f t="shared" ref="D1010:E1010" si="523">MIN(24*D977,12)</f>
        <v>12</v>
      </c>
      <c r="E1010" s="98">
        <f t="shared" si="523"/>
        <v>12</v>
      </c>
      <c r="F1010" s="98">
        <f t="shared" ref="F1010:G1010" si="524">MIN(24*F977,12)</f>
        <v>0</v>
      </c>
      <c r="G1010" s="98">
        <f t="shared" si="524"/>
        <v>0</v>
      </c>
      <c r="H1010" s="98">
        <f t="shared" ref="H1010" si="525">MIN(24*H977,12)</f>
        <v>0</v>
      </c>
    </row>
    <row r="1011" spans="1:8" ht="14.25" hidden="1" x14ac:dyDescent="0.25">
      <c r="A1011" s="5" t="s">
        <v>2143</v>
      </c>
      <c r="B1011" s="2" t="s">
        <v>2147</v>
      </c>
      <c r="C1011" s="3" t="s">
        <v>407</v>
      </c>
      <c r="D1011" s="157">
        <f>MIN(D977*0.75*SQRT(29000/D723),D982*0.75*D983,12)</f>
        <v>6.6476455131582961</v>
      </c>
      <c r="E1011" s="157">
        <f>MIN(E977*0.75*SQRT(29000/E723),E982*0.75*E983,12)</f>
        <v>6.6476455131582961</v>
      </c>
      <c r="F1011" s="157" t="e">
        <f>MIN(F977*0.75*SQRT(29000/F723),F982*0.75*F983,12)</f>
        <v>#DIV/0!</v>
      </c>
      <c r="G1011" s="157" t="e">
        <f>MIN(G977*0.75*SQRT(29000/G723),G982*0.75*G983,12)</f>
        <v>#DIV/0!</v>
      </c>
      <c r="H1011" s="157" t="e">
        <f>MIN(H977*0.75*SQRT(29000/H723),H982*0.75*H983,12)</f>
        <v>#DIV/0!</v>
      </c>
    </row>
    <row r="1012" spans="1:8" ht="14.25" x14ac:dyDescent="0.25">
      <c r="A1012" s="5" t="s">
        <v>2145</v>
      </c>
      <c r="B1012" s="2" t="s">
        <v>2146</v>
      </c>
      <c r="C1012" s="3" t="s">
        <v>407</v>
      </c>
      <c r="D1012" s="155">
        <f>IF(D$152=0,D1010,D1011)</f>
        <v>12</v>
      </c>
      <c r="E1012" s="155">
        <f>IF(E$152=0,E1010,E1011)</f>
        <v>12</v>
      </c>
      <c r="F1012" s="155">
        <f>IF(F$152=0,F1010,F1011)</f>
        <v>0</v>
      </c>
      <c r="G1012" s="155">
        <f>IF(G$152=0,G1010,G1011)</f>
        <v>0</v>
      </c>
      <c r="H1012" s="155">
        <f>IF(H$152=0,H1010,H1011)</f>
        <v>0</v>
      </c>
    </row>
    <row r="1013" spans="1:8" x14ac:dyDescent="0.2">
      <c r="A1013" s="5" t="s">
        <v>2088</v>
      </c>
      <c r="B1013" s="2" t="str">
        <f>IF(D$7="ASD","Rn/Ω",IF(D$7="LRFD","φRn"))</f>
        <v>φRn</v>
      </c>
      <c r="C1013" s="2" t="s">
        <v>2007</v>
      </c>
      <c r="D1013" s="6">
        <f t="shared" ref="D1013:E1013" si="526">2*D999*D1006/D1007</f>
        <v>2.7840000000000003</v>
      </c>
      <c r="E1013" s="6">
        <f t="shared" si="526"/>
        <v>1.8560000000000001</v>
      </c>
      <c r="F1013" s="6" t="e">
        <f t="shared" ref="F1013:G1013" si="527">2*F999*F1006/F1007</f>
        <v>#DIV/0!</v>
      </c>
      <c r="G1013" s="6" t="e">
        <f t="shared" si="527"/>
        <v>#DIV/0!</v>
      </c>
      <c r="H1013" s="6" t="e">
        <f t="shared" ref="H1013" si="528">2*H999*H1006/H1007</f>
        <v>#DIV/0!</v>
      </c>
    </row>
    <row r="1014" spans="1:8" x14ac:dyDescent="0.2">
      <c r="A1014" s="5" t="s">
        <v>2043</v>
      </c>
      <c r="C1014" s="3" t="s">
        <v>876</v>
      </c>
      <c r="D1014" s="125">
        <f t="shared" ref="D1014:E1014" si="529">D984/D1013</f>
        <v>0.55231546120460373</v>
      </c>
      <c r="E1014" s="125">
        <f t="shared" si="529"/>
        <v>0.53697336506003135</v>
      </c>
      <c r="F1014" s="125" t="e">
        <f t="shared" ref="F1014:G1014" si="530">F984/F1013</f>
        <v>#DIV/0!</v>
      </c>
      <c r="G1014" s="125" t="e">
        <f t="shared" si="530"/>
        <v>#DIV/0!</v>
      </c>
      <c r="H1014" s="125" t="e">
        <f t="shared" ref="H1014" si="531">H984/H1013</f>
        <v>#DIV/0!</v>
      </c>
    </row>
    <row r="1015" spans="1:8" x14ac:dyDescent="0.2">
      <c r="C1015" s="4"/>
      <c r="D1015" s="4"/>
      <c r="E1015" s="4"/>
      <c r="F1015" s="4"/>
      <c r="G1015" s="4"/>
      <c r="H1015" s="4"/>
    </row>
    <row r="1016" spans="1:8" x14ac:dyDescent="0.2">
      <c r="A1016" s="152" t="s">
        <v>2065</v>
      </c>
      <c r="C1016" s="4"/>
      <c r="D1016" s="4"/>
      <c r="E1016" s="4"/>
      <c r="F1016" s="4"/>
      <c r="G1016" s="4"/>
      <c r="H1016" s="4"/>
    </row>
    <row r="1017" spans="1:8" ht="15" x14ac:dyDescent="0.25">
      <c r="A1017" s="5" t="s">
        <v>2018</v>
      </c>
      <c r="B1017" s="2" t="s">
        <v>2003</v>
      </c>
      <c r="C1017" s="3" t="s">
        <v>900</v>
      </c>
      <c r="D1017" s="8"/>
      <c r="E1017" s="8"/>
      <c r="F1017" s="8"/>
      <c r="G1017" s="8"/>
      <c r="H1017" s="8"/>
    </row>
    <row r="1018" spans="1:8" x14ac:dyDescent="0.2">
      <c r="A1018" s="5" t="s">
        <v>2048</v>
      </c>
      <c r="B1018" s="2" t="s">
        <v>2047</v>
      </c>
      <c r="C1018" s="3" t="s">
        <v>407</v>
      </c>
      <c r="D1018" s="8"/>
      <c r="E1018" s="8"/>
      <c r="F1018" s="8"/>
      <c r="G1018" s="8"/>
      <c r="H1018" s="8"/>
    </row>
    <row r="1019" spans="1:8" x14ac:dyDescent="0.2">
      <c r="A1019" s="5" t="s">
        <v>2079</v>
      </c>
      <c r="B1019" s="2" t="s">
        <v>1664</v>
      </c>
      <c r="C1019" s="3" t="s">
        <v>407</v>
      </c>
      <c r="D1019" s="8"/>
      <c r="E1019" s="8"/>
      <c r="F1019" s="8"/>
      <c r="G1019" s="8"/>
      <c r="H1019" s="8"/>
    </row>
    <row r="1020" spans="1:8" ht="14.25" x14ac:dyDescent="0.25">
      <c r="A1020" s="5" t="s">
        <v>2020</v>
      </c>
      <c r="B1020" s="2" t="s">
        <v>2002</v>
      </c>
      <c r="C1020" s="3" t="s">
        <v>407</v>
      </c>
      <c r="D1020" s="8"/>
      <c r="E1020" s="8"/>
      <c r="F1020" s="8"/>
      <c r="G1020" s="8"/>
      <c r="H1020" s="8"/>
    </row>
    <row r="1021" spans="1:8" ht="14.25" hidden="1" x14ac:dyDescent="0.25">
      <c r="A1021" s="5" t="s">
        <v>2019</v>
      </c>
      <c r="B1021" s="2" t="s">
        <v>2004</v>
      </c>
      <c r="C1021" s="3" t="s">
        <v>407</v>
      </c>
      <c r="D1021" s="2">
        <f t="shared" ref="D1021:E1021" si="532">D$701-D1020</f>
        <v>7.4868641499175377</v>
      </c>
      <c r="E1021" s="2">
        <f t="shared" si="532"/>
        <v>7.4868641499175377</v>
      </c>
      <c r="F1021" s="2">
        <f t="shared" ref="F1021:G1021" si="533">F$701-F1020</f>
        <v>0</v>
      </c>
      <c r="G1021" s="2">
        <f t="shared" si="533"/>
        <v>0</v>
      </c>
      <c r="H1021" s="2">
        <f t="shared" ref="H1021" si="534">H$701-H1020</f>
        <v>0</v>
      </c>
    </row>
    <row r="1022" spans="1:8" ht="15" hidden="1" x14ac:dyDescent="0.2">
      <c r="A1022" s="5" t="s">
        <v>2017</v>
      </c>
      <c r="B1022" s="2" t="s">
        <v>2005</v>
      </c>
      <c r="C1022" s="3" t="s">
        <v>906</v>
      </c>
      <c r="D1022" s="2">
        <f t="shared" ref="D1022:E1022" si="535">D1017*D1021</f>
        <v>0</v>
      </c>
      <c r="E1022" s="2">
        <f t="shared" si="535"/>
        <v>0</v>
      </c>
      <c r="F1022" s="2">
        <f t="shared" ref="F1022:G1022" si="536">F1017*F1021</f>
        <v>0</v>
      </c>
      <c r="G1022" s="2">
        <f t="shared" si="536"/>
        <v>0</v>
      </c>
      <c r="H1022" s="2">
        <f t="shared" ref="H1022" si="537">H1017*H1021</f>
        <v>0</v>
      </c>
    </row>
    <row r="1023" spans="1:8" ht="14.25" hidden="1" x14ac:dyDescent="0.25">
      <c r="A1023" s="5" t="s">
        <v>2138</v>
      </c>
      <c r="B1023" s="2" t="s">
        <v>2139</v>
      </c>
      <c r="C1023" s="3" t="s">
        <v>407</v>
      </c>
      <c r="D1023" s="12">
        <f>D1018/SQRT(12)</f>
        <v>0</v>
      </c>
      <c r="E1023" s="12">
        <f>E1018/SQRT(12)</f>
        <v>0</v>
      </c>
      <c r="F1023" s="12">
        <f>F1018/SQRT(12)</f>
        <v>0</v>
      </c>
      <c r="G1023" s="12">
        <f>G1018/SQRT(12)</f>
        <v>0</v>
      </c>
      <c r="H1023" s="12">
        <f>H1018/SQRT(12)</f>
        <v>0</v>
      </c>
    </row>
    <row r="1024" spans="1:8" hidden="1" x14ac:dyDescent="0.2">
      <c r="A1024" s="5" t="s">
        <v>2142</v>
      </c>
      <c r="B1024" s="2" t="s">
        <v>2141</v>
      </c>
      <c r="D1024" s="9">
        <f>MAX(D$855,D$856)</f>
        <v>61.408318823986392</v>
      </c>
      <c r="E1024" s="9">
        <f>MAX(E$855,E$856)</f>
        <v>61.408318823986392</v>
      </c>
      <c r="F1024" s="9" t="e">
        <f>MAX(F$855,F$856)</f>
        <v>#DIV/0!</v>
      </c>
      <c r="G1024" s="9" t="e">
        <f>MAX(G$855,G$856)</f>
        <v>#DIV/0!</v>
      </c>
      <c r="H1024" s="9" t="e">
        <f>MAX(H$855,H$856)</f>
        <v>#DIV/0!</v>
      </c>
    </row>
    <row r="1025" spans="1:8" ht="14.25" x14ac:dyDescent="0.25">
      <c r="A1025" s="5" t="s">
        <v>2016</v>
      </c>
      <c r="B1025" s="2" t="s">
        <v>2015</v>
      </c>
      <c r="C1025" s="2" t="s">
        <v>2007</v>
      </c>
      <c r="D1025" s="153">
        <f>(D$148*D1022)/D$704</f>
        <v>0</v>
      </c>
      <c r="E1025" s="153">
        <f>(E$148*E1022)/E$704</f>
        <v>0</v>
      </c>
      <c r="F1025" s="153" t="e">
        <f>(F$148*F1022)/F$704</f>
        <v>#DIV/0!</v>
      </c>
      <c r="G1025" s="153" t="e">
        <f>(G$148*G1022)/G$704</f>
        <v>#DIV/0!</v>
      </c>
      <c r="H1025" s="153" t="e">
        <f>(H$148*H1022)/H$704</f>
        <v>#DIV/0!</v>
      </c>
    </row>
    <row r="1026" spans="1:8" hidden="1" x14ac:dyDescent="0.2"/>
    <row r="1027" spans="1:8" hidden="1" x14ac:dyDescent="0.2">
      <c r="A1027" s="5" t="s">
        <v>2021</v>
      </c>
      <c r="B1027" s="2" t="str">
        <f>IF(D$7="ASD","My/Ω",IF(D$7="LRFD","φMy"))</f>
        <v>φMy</v>
      </c>
      <c r="C1027" s="3" t="s">
        <v>406</v>
      </c>
      <c r="D1027" s="9">
        <f>IF(D$7="ASD",(D$723*MIN(D$718,D$719))/(12*1.67),IF(D$7="LRFD",(0.9*D$723*MIN(D$718,D$719))/12))</f>
        <v>187.06603860848267</v>
      </c>
      <c r="E1027" s="9">
        <f>IF(E$7="ASD",(E$723*MIN(E$718,E$719))/(12*1.67),IF(E$7="LRFD",(0.9*E$723*MIN(E$718,E$719))/12))</f>
        <v>124.46176886791926</v>
      </c>
      <c r="F1027" s="9" t="e">
        <f>IF(F$7="ASD",(F$723*MIN(F$718,F$719))/(12*1.67),IF(F$7="LRFD",(0.9*F$723*MIN(F$718,F$719))/12))</f>
        <v>#DIV/0!</v>
      </c>
      <c r="G1027" s="9" t="e">
        <f>IF(G$7="ASD",(G$723*MIN(G$718,G$719))/(12*1.67),IF(G$7="LRFD",(0.9*G$723*MIN(G$718,G$719))/12))</f>
        <v>#DIV/0!</v>
      </c>
      <c r="H1027" s="9" t="e">
        <f>IF(H$7="ASD",(H$723*MIN(H$718,H$719))/(12*1.67),IF(H$7="LRFD",(0.9*H$723*MIN(H$718,H$719))/12))</f>
        <v>#DIV/0!</v>
      </c>
    </row>
    <row r="1028" spans="1:8" ht="14.25" hidden="1" x14ac:dyDescent="0.25">
      <c r="A1028" s="5" t="s">
        <v>2009</v>
      </c>
      <c r="B1028" s="2" t="s">
        <v>2010</v>
      </c>
      <c r="C1028" s="2" t="s">
        <v>406</v>
      </c>
      <c r="D1028" s="9">
        <f>IF(D$520&gt;D$150,D$150,D$520)</f>
        <v>138.40017829992115</v>
      </c>
      <c r="E1028" s="9">
        <f>IF(E$520&gt;E$150,E$150,E$520)</f>
        <v>92.082620292695381</v>
      </c>
      <c r="F1028" s="9" t="e">
        <f>IF(F$520&gt;F$150,F$150,F$520)</f>
        <v>#DIV/0!</v>
      </c>
      <c r="G1028" s="9" t="e">
        <f>IF(G$520&gt;G$150,G$150,G$520)</f>
        <v>#DIV/0!</v>
      </c>
      <c r="H1028" s="9" t="e">
        <f>IF(H$520&gt;H$150,H$150,H$520)</f>
        <v>#DIV/0!</v>
      </c>
    </row>
    <row r="1029" spans="1:8" ht="14.25" hidden="1" x14ac:dyDescent="0.25">
      <c r="A1029" s="5" t="s">
        <v>2024</v>
      </c>
      <c r="B1029" s="2" t="s">
        <v>2006</v>
      </c>
      <c r="C1029" s="2" t="s">
        <v>419</v>
      </c>
      <c r="D1029" s="9">
        <f t="shared" ref="D1029:E1029" si="538">(12*D1028*D1022)/D$704</f>
        <v>0</v>
      </c>
      <c r="E1029" s="9">
        <f t="shared" si="538"/>
        <v>0</v>
      </c>
      <c r="F1029" s="9" t="e">
        <f t="shared" ref="F1029:G1029" si="539">(12*F1028*F1022)/F$704</f>
        <v>#DIV/0!</v>
      </c>
      <c r="G1029" s="9" t="e">
        <f t="shared" si="539"/>
        <v>#DIV/0!</v>
      </c>
      <c r="H1029" s="9" t="e">
        <f t="shared" ref="H1029" si="540">(12*H1028*H1022)/H$704</f>
        <v>#DIV/0!</v>
      </c>
    </row>
    <row r="1030" spans="1:8" ht="14.25" hidden="1" x14ac:dyDescent="0.25">
      <c r="A1030" s="5" t="s">
        <v>2022</v>
      </c>
      <c r="B1030" s="2" t="s">
        <v>2023</v>
      </c>
      <c r="C1030" s="3" t="s">
        <v>419</v>
      </c>
      <c r="D1030" s="9">
        <f>IF(D$7="ASD",(D1017*D720)/1.5,IF(D$7="LRFD",D1017*D720))</f>
        <v>0</v>
      </c>
      <c r="E1030" s="9">
        <f>IF(E$7="ASD",(E1017*E720)/1.5,IF(E$7="LRFD",E1017*E720))</f>
        <v>0</v>
      </c>
      <c r="F1030" s="9" t="e">
        <f>IF(F$7="ASD",(F1017*F720)/1.5,IF(F$7="LRFD",F1017*F720))</f>
        <v>#DIV/0!</v>
      </c>
      <c r="G1030" s="9" t="e">
        <f>IF(G$7="ASD",(G1017*G720)/1.5,IF(G$7="LRFD",G1017*G720))</f>
        <v>#DIV/0!</v>
      </c>
      <c r="H1030" s="9" t="e">
        <f>IF(H$7="ASD",(H1017*H720)/1.5,IF(H$7="LRFD",H1017*H720))</f>
        <v>#DIV/0!</v>
      </c>
    </row>
    <row r="1031" spans="1:8" ht="14.25" hidden="1" x14ac:dyDescent="0.25">
      <c r="A1031" s="5" t="s">
        <v>2025</v>
      </c>
      <c r="B1031" s="2" t="s">
        <v>2011</v>
      </c>
      <c r="C1031" s="2" t="s">
        <v>419</v>
      </c>
      <c r="D1031" s="24">
        <f t="shared" ref="D1031:E1031" si="541">IF(D$150&gt;D1027,D1030,D1029)</f>
        <v>0</v>
      </c>
      <c r="E1031" s="24">
        <f t="shared" si="541"/>
        <v>0</v>
      </c>
      <c r="F1031" s="24" t="e">
        <f t="shared" ref="F1031:G1031" si="542">IF(F$150&gt;F1027,F1030,F1029)</f>
        <v>#DIV/0!</v>
      </c>
      <c r="G1031" s="24" t="e">
        <f t="shared" si="542"/>
        <v>#DIV/0!</v>
      </c>
      <c r="H1031" s="24" t="e">
        <f t="shared" ref="H1031" si="543">IF(H$150&gt;H1027,H1030,H1029)</f>
        <v>#DIV/0!</v>
      </c>
    </row>
    <row r="1032" spans="1:8" ht="14.25" hidden="1" x14ac:dyDescent="0.25">
      <c r="A1032" s="5" t="s">
        <v>2012</v>
      </c>
      <c r="B1032" s="2" t="s">
        <v>2013</v>
      </c>
      <c r="C1032" s="3" t="s">
        <v>419</v>
      </c>
      <c r="D1032" s="24">
        <f>MAX(D$152,D$153)*(D1017/D$703)</f>
        <v>0</v>
      </c>
      <c r="E1032" s="24">
        <f>MAX(E$152,E$153)*(E1017/E$703)</f>
        <v>0</v>
      </c>
      <c r="F1032" s="24" t="e">
        <f>MAX(F$152,F$153)*(F1017/F$703)</f>
        <v>#DIV/0!</v>
      </c>
      <c r="G1032" s="24" t="e">
        <f>MAX(G$152,G$153)*(G1017/G$703)</f>
        <v>#DIV/0!</v>
      </c>
      <c r="H1032" s="24" t="e">
        <f>MAX(H$152,H$153)*(H1017/H$703)</f>
        <v>#DIV/0!</v>
      </c>
    </row>
    <row r="1033" spans="1:8" ht="14.25" x14ac:dyDescent="0.25">
      <c r="A1033" s="5" t="s">
        <v>2014</v>
      </c>
      <c r="B1033" s="2" t="s">
        <v>2050</v>
      </c>
      <c r="C1033" s="3" t="s">
        <v>419</v>
      </c>
      <c r="D1033" s="153">
        <f t="shared" ref="D1033:E1033" si="544">D1031+D1032</f>
        <v>0</v>
      </c>
      <c r="E1033" s="153">
        <f t="shared" si="544"/>
        <v>0</v>
      </c>
      <c r="F1033" s="153" t="e">
        <f t="shared" ref="F1033:G1033" si="545">F1031+F1032</f>
        <v>#DIV/0!</v>
      </c>
      <c r="G1033" s="153" t="e">
        <f t="shared" si="545"/>
        <v>#DIV/0!</v>
      </c>
      <c r="H1033" s="153" t="e">
        <f t="shared" ref="H1033" si="546">H1031+H1032</f>
        <v>#DIV/0!</v>
      </c>
    </row>
    <row r="1035" spans="1:8" x14ac:dyDescent="0.2">
      <c r="A1035" s="16" t="s">
        <v>2090</v>
      </c>
    </row>
    <row r="1036" spans="1:8" x14ac:dyDescent="0.2">
      <c r="A1036" s="5" t="s">
        <v>2026</v>
      </c>
      <c r="B1036" s="2" t="s">
        <v>2027</v>
      </c>
      <c r="D1036" s="8" t="s">
        <v>2028</v>
      </c>
      <c r="E1036" s="8" t="s">
        <v>2028</v>
      </c>
      <c r="F1036" s="8" t="s">
        <v>2028</v>
      </c>
      <c r="G1036" s="8" t="s">
        <v>2028</v>
      </c>
      <c r="H1036" s="8" t="s">
        <v>2028</v>
      </c>
    </row>
    <row r="1037" spans="1:8" ht="14.25" x14ac:dyDescent="0.25">
      <c r="A1037" s="5" t="s">
        <v>2008</v>
      </c>
      <c r="B1037" s="2" t="s">
        <v>2029</v>
      </c>
      <c r="D1037" s="8"/>
      <c r="E1037" s="8"/>
      <c r="F1037" s="8"/>
      <c r="G1037" s="8"/>
      <c r="H1037" s="8"/>
    </row>
    <row r="1038" spans="1:8" ht="14.25" x14ac:dyDescent="0.25">
      <c r="A1038" s="5" t="s">
        <v>2182</v>
      </c>
      <c r="B1038" s="2" t="s">
        <v>2031</v>
      </c>
      <c r="C1038" s="3" t="s">
        <v>407</v>
      </c>
      <c r="D1038" s="8"/>
      <c r="E1038" s="8"/>
      <c r="F1038" s="8"/>
      <c r="G1038" s="8"/>
      <c r="H1038" s="8"/>
    </row>
    <row r="1039" spans="1:8" ht="13.5" hidden="1" x14ac:dyDescent="0.25">
      <c r="A1039" s="5" t="s">
        <v>2136</v>
      </c>
      <c r="B1039" s="154" t="s">
        <v>2137</v>
      </c>
      <c r="D1039" s="12" t="e">
        <f>MIN(1.2-0.002*(D1038/(D1037/16)),1)</f>
        <v>#DIV/0!</v>
      </c>
      <c r="E1039" s="12" t="e">
        <f>MIN(1.2-0.002*(E1038/(E1037/16)),1)</f>
        <v>#DIV/0!</v>
      </c>
      <c r="F1039" s="12" t="e">
        <f>MIN(1.2-0.002*(F1038/(F1037/16)),1)</f>
        <v>#DIV/0!</v>
      </c>
      <c r="G1039" s="12" t="e">
        <f>MIN(1.2-0.002*(G1038/(G1037/16)),1)</f>
        <v>#DIV/0!</v>
      </c>
      <c r="H1039" s="12" t="e">
        <f>MIN(1.2-0.002*(H1038/(H1037/16)),1)</f>
        <v>#DIV/0!</v>
      </c>
    </row>
    <row r="1040" spans="1:8" hidden="1" x14ac:dyDescent="0.2">
      <c r="A1040" s="5" t="s">
        <v>2030</v>
      </c>
      <c r="B1040" s="2" t="str">
        <f>IF(D$7="ASD","rn/Ω",IF(D$7="LRFD","φrn"))</f>
        <v>φrn</v>
      </c>
      <c r="C1040" s="3" t="s">
        <v>2007</v>
      </c>
      <c r="D1040" s="10">
        <f t="shared" ref="D1040:E1040" si="547">IF(D$7="ASD",0.928*D1037,IF(D$7="LRFD",1.392*D1037))</f>
        <v>0</v>
      </c>
      <c r="E1040" s="10">
        <f t="shared" si="547"/>
        <v>0</v>
      </c>
      <c r="F1040" s="10">
        <f t="shared" ref="F1040:G1040" si="548">IF(F$7="ASD",0.928*F1037,IF(F$7="LRFD",1.392*F1037))</f>
        <v>0</v>
      </c>
      <c r="G1040" s="10">
        <f t="shared" si="548"/>
        <v>0</v>
      </c>
      <c r="H1040" s="10">
        <f t="shared" ref="H1040" si="549">IF(H$7="ASD",0.928*H1037,IF(H$7="LRFD",1.392*H1037))</f>
        <v>0</v>
      </c>
    </row>
    <row r="1041" spans="1:8" ht="14.25" hidden="1" x14ac:dyDescent="0.25">
      <c r="A1041" s="5" t="s">
        <v>2035</v>
      </c>
      <c r="B1041" s="2" t="s">
        <v>2032</v>
      </c>
      <c r="C1041" s="3" t="s">
        <v>407</v>
      </c>
      <c r="D1041" s="9" t="e">
        <f t="shared" ref="D1041:E1041" si="550">D1033/(2*D1040)</f>
        <v>#DIV/0!</v>
      </c>
      <c r="E1041" s="9" t="e">
        <f t="shared" si="550"/>
        <v>#DIV/0!</v>
      </c>
      <c r="F1041" s="9" t="e">
        <f t="shared" ref="F1041:G1041" si="551">F1033/(2*F1040)</f>
        <v>#DIV/0!</v>
      </c>
      <c r="G1041" s="9" t="e">
        <f t="shared" si="551"/>
        <v>#DIV/0!</v>
      </c>
      <c r="H1041" s="9" t="e">
        <f t="shared" ref="H1041" si="552">H1033/(2*H1040)</f>
        <v>#DIV/0!</v>
      </c>
    </row>
    <row r="1042" spans="1:8" ht="14.25" hidden="1" x14ac:dyDescent="0.25">
      <c r="A1042" s="5" t="s">
        <v>2049</v>
      </c>
      <c r="B1042" s="2" t="s">
        <v>2034</v>
      </c>
      <c r="C1042" s="3" t="s">
        <v>407</v>
      </c>
      <c r="D1042" s="2">
        <f t="shared" ref="D1042:E1042" si="553">IF(D1036="No",2*D1019,IF(D1036="Yes",IF(D1037/16&lt;0.75*D1018,1.5*D1019,D1019)))</f>
        <v>0</v>
      </c>
      <c r="E1042" s="2">
        <f t="shared" si="553"/>
        <v>0</v>
      </c>
      <c r="F1042" s="2">
        <f t="shared" ref="F1042:G1042" si="554">IF(F1036="No",2*F1019,IF(F1036="Yes",IF(F1037/16&lt;0.75*F1018,1.5*F1019,F1019)))</f>
        <v>0</v>
      </c>
      <c r="G1042" s="2">
        <f t="shared" si="554"/>
        <v>0</v>
      </c>
      <c r="H1042" s="2">
        <f t="shared" ref="H1042" si="555">IF(H1036="No",2*H1019,IF(H1036="Yes",IF(H1037/16&lt;0.75*H1018,1.5*H1019,H1019)))</f>
        <v>0</v>
      </c>
    </row>
    <row r="1043" spans="1:8" ht="14.25" x14ac:dyDescent="0.25">
      <c r="A1043" s="5" t="s">
        <v>2181</v>
      </c>
      <c r="B1043" s="2" t="s">
        <v>2033</v>
      </c>
      <c r="C1043" s="3" t="s">
        <v>407</v>
      </c>
      <c r="D1043" s="155" t="e">
        <f>MAX(D1041,D1042)</f>
        <v>#DIV/0!</v>
      </c>
      <c r="E1043" s="155" t="e">
        <f>MAX(E1041,E1042)</f>
        <v>#DIV/0!</v>
      </c>
      <c r="F1043" s="155" t="e">
        <f>MAX(F1041,F1042)</f>
        <v>#DIV/0!</v>
      </c>
      <c r="G1043" s="155" t="e">
        <f>MAX(G1041,G1042)</f>
        <v>#DIV/0!</v>
      </c>
      <c r="H1043" s="155" t="e">
        <f>MAX(H1041,H1042)</f>
        <v>#DIV/0!</v>
      </c>
    </row>
    <row r="1044" spans="1:8" x14ac:dyDescent="0.2">
      <c r="A1044" s="5" t="s">
        <v>2036</v>
      </c>
      <c r="B1044" s="2" t="str">
        <f>IF(D$7="ASD","Rn/Ω",IF(D$7="LRFD","φRn"))</f>
        <v>φRn</v>
      </c>
      <c r="C1044" s="3" t="s">
        <v>419</v>
      </c>
      <c r="D1044" s="24" t="e">
        <f>IF(D1038&gt;300*(D1037/16),2*D1040*180*(D1037/16),2*D1040*D1038*D1039)</f>
        <v>#DIV/0!</v>
      </c>
      <c r="E1044" s="24" t="e">
        <f>IF(E1038&gt;300*(E1037/16),2*E1040*180*(E1037/16),2*E1040*E1038*E1039)</f>
        <v>#DIV/0!</v>
      </c>
      <c r="F1044" s="24" t="e">
        <f>IF(F1038&gt;300*(F1037/16),2*F1040*180*(F1037/16),2*F1040*F1038*F1039)</f>
        <v>#DIV/0!</v>
      </c>
      <c r="G1044" s="24" t="e">
        <f>IF(G1038&gt;300*(G1037/16),2*G1040*180*(G1037/16),2*G1040*G1038*G1039)</f>
        <v>#DIV/0!</v>
      </c>
      <c r="H1044" s="24" t="e">
        <f>IF(H1038&gt;300*(H1037/16),2*H1040*180*(H1037/16),2*H1040*H1038*H1039)</f>
        <v>#DIV/0!</v>
      </c>
    </row>
    <row r="1045" spans="1:8" x14ac:dyDescent="0.2">
      <c r="A1045" s="5" t="s">
        <v>2046</v>
      </c>
      <c r="C1045" s="3" t="s">
        <v>876</v>
      </c>
      <c r="D1045" s="125" t="e">
        <f t="shared" ref="D1045:E1045" si="556">D1033/D1044</f>
        <v>#DIV/0!</v>
      </c>
      <c r="E1045" s="125" t="e">
        <f t="shared" si="556"/>
        <v>#DIV/0!</v>
      </c>
      <c r="F1045" s="125" t="e">
        <f t="shared" ref="F1045:G1045" si="557">F1033/F1044</f>
        <v>#DIV/0!</v>
      </c>
      <c r="G1045" s="125" t="e">
        <f t="shared" si="557"/>
        <v>#DIV/0!</v>
      </c>
      <c r="H1045" s="125" t="e">
        <f t="shared" ref="H1045" si="558">H1033/H1044</f>
        <v>#DIV/0!</v>
      </c>
    </row>
    <row r="1047" spans="1:8" ht="14.25" x14ac:dyDescent="0.25">
      <c r="A1047" s="5" t="s">
        <v>2140</v>
      </c>
      <c r="B1047" s="2" t="s">
        <v>2039</v>
      </c>
      <c r="C1047" s="3" t="s">
        <v>407</v>
      </c>
      <c r="D1047" s="8"/>
      <c r="E1047" s="8"/>
      <c r="F1047" s="8"/>
      <c r="G1047" s="8"/>
      <c r="H1047" s="8"/>
    </row>
    <row r="1048" spans="1:8" x14ac:dyDescent="0.2">
      <c r="A1048" s="5" t="s">
        <v>2038</v>
      </c>
      <c r="B1048" s="2" t="s">
        <v>2037</v>
      </c>
      <c r="C1048" s="3" t="s">
        <v>407</v>
      </c>
      <c r="D1048" s="49"/>
      <c r="E1048" s="49"/>
      <c r="F1048" s="49"/>
      <c r="G1048" s="49"/>
      <c r="H1048" s="49"/>
    </row>
    <row r="1049" spans="1:8" ht="14.25" x14ac:dyDescent="0.25">
      <c r="A1049" s="5" t="s">
        <v>2041</v>
      </c>
      <c r="B1049" s="2" t="s">
        <v>2051</v>
      </c>
      <c r="C1049" s="3" t="s">
        <v>2040</v>
      </c>
      <c r="D1049" s="28" t="e">
        <f t="shared" ref="D1049:E1049" si="559">D1047/D1048</f>
        <v>#DIV/0!</v>
      </c>
      <c r="E1049" s="28" t="e">
        <f t="shared" si="559"/>
        <v>#DIV/0!</v>
      </c>
      <c r="F1049" s="28" t="e">
        <f t="shared" ref="F1049:G1049" si="560">F1047/F1048</f>
        <v>#DIV/0!</v>
      </c>
      <c r="G1049" s="28" t="e">
        <f t="shared" si="560"/>
        <v>#DIV/0!</v>
      </c>
      <c r="H1049" s="28" t="e">
        <f t="shared" ref="H1049" si="561">H1047/H1048</f>
        <v>#DIV/0!</v>
      </c>
    </row>
    <row r="1050" spans="1:8" ht="14.25" x14ac:dyDescent="0.25">
      <c r="A1050" s="5" t="s">
        <v>2042</v>
      </c>
      <c r="B1050" s="2" t="s">
        <v>2052</v>
      </c>
      <c r="C1050" s="3" t="s">
        <v>2040</v>
      </c>
      <c r="D1050" s="158" t="e">
        <f t="shared" ref="D1050:E1050" si="562">D1025/(2*D1040)</f>
        <v>#DIV/0!</v>
      </c>
      <c r="E1050" s="158" t="e">
        <f t="shared" si="562"/>
        <v>#DIV/0!</v>
      </c>
      <c r="F1050" s="158" t="e">
        <f t="shared" ref="F1050:G1050" si="563">F1025/(2*F1040)</f>
        <v>#DIV/0!</v>
      </c>
      <c r="G1050" s="158" t="e">
        <f t="shared" si="563"/>
        <v>#DIV/0!</v>
      </c>
      <c r="H1050" s="158" t="e">
        <f t="shared" ref="H1050" si="564">H1025/(2*H1040)</f>
        <v>#DIV/0!</v>
      </c>
    </row>
    <row r="1051" spans="1:8" ht="14.25" hidden="1" x14ac:dyDescent="0.25">
      <c r="A1051" s="5" t="s">
        <v>2144</v>
      </c>
      <c r="B1051" s="2" t="s">
        <v>2148</v>
      </c>
      <c r="C1051" s="3" t="s">
        <v>407</v>
      </c>
      <c r="D1051" s="98">
        <f t="shared" ref="D1051:E1051" si="565">MIN(24*D1018,12)</f>
        <v>0</v>
      </c>
      <c r="E1051" s="98">
        <f t="shared" si="565"/>
        <v>0</v>
      </c>
      <c r="F1051" s="98">
        <f t="shared" ref="F1051:G1051" si="566">MIN(24*F1018,12)</f>
        <v>0</v>
      </c>
      <c r="G1051" s="98">
        <f t="shared" si="566"/>
        <v>0</v>
      </c>
      <c r="H1051" s="98">
        <f t="shared" ref="H1051" si="567">MIN(24*H1018,12)</f>
        <v>0</v>
      </c>
    </row>
    <row r="1052" spans="1:8" ht="14.25" hidden="1" x14ac:dyDescent="0.25">
      <c r="A1052" s="5" t="s">
        <v>2143</v>
      </c>
      <c r="B1052" s="2" t="s">
        <v>2147</v>
      </c>
      <c r="C1052" s="3" t="s">
        <v>407</v>
      </c>
      <c r="D1052" s="157">
        <f>MIN(D1018*0.75*SQRT(29000/D730),D1023*0.75*D1024,12)</f>
        <v>0</v>
      </c>
      <c r="E1052" s="157">
        <f>MIN(E1018*0.75*SQRT(29000/E730),E1023*0.75*E1024,12)</f>
        <v>0</v>
      </c>
      <c r="F1052" s="157" t="e">
        <f>MIN(F1018*0.75*SQRT(29000/F730),F1023*0.75*F1024,12)</f>
        <v>#NUM!</v>
      </c>
      <c r="G1052" s="157" t="e">
        <f>MIN(G1018*0.75*SQRT(29000/G730),G1023*0.75*G1024,12)</f>
        <v>#NUM!</v>
      </c>
      <c r="H1052" s="157" t="e">
        <f>MIN(H1018*0.75*SQRT(29000/H730),H1023*0.75*H1024,12)</f>
        <v>#NUM!</v>
      </c>
    </row>
    <row r="1053" spans="1:8" ht="14.25" x14ac:dyDescent="0.25">
      <c r="A1053" s="5" t="s">
        <v>2145</v>
      </c>
      <c r="B1053" s="2" t="s">
        <v>2146</v>
      </c>
      <c r="C1053" s="3" t="s">
        <v>407</v>
      </c>
      <c r="D1053" s="155">
        <f>IF(D$152=0,D1051,D1052)</f>
        <v>0</v>
      </c>
      <c r="E1053" s="155">
        <f>IF(E$152=0,E1051,E1052)</f>
        <v>0</v>
      </c>
      <c r="F1053" s="155">
        <f>IF(F$152=0,F1051,F1052)</f>
        <v>0</v>
      </c>
      <c r="G1053" s="155">
        <f>IF(G$152=0,G1051,G1052)</f>
        <v>0</v>
      </c>
      <c r="H1053" s="155">
        <f>IF(H$152=0,H1051,H1052)</f>
        <v>0</v>
      </c>
    </row>
    <row r="1054" spans="1:8" x14ac:dyDescent="0.2">
      <c r="A1054" s="5" t="s">
        <v>2088</v>
      </c>
      <c r="B1054" s="2" t="str">
        <f>IF(D$7="ASD","Rn/Ω",IF(D$7="LRFD","φRn"))</f>
        <v>φRn</v>
      </c>
      <c r="C1054" s="2" t="s">
        <v>2007</v>
      </c>
      <c r="D1054" s="6" t="e">
        <f t="shared" ref="D1054:E1054" si="568">2*D1040*D1047/D1048</f>
        <v>#DIV/0!</v>
      </c>
      <c r="E1054" s="6" t="e">
        <f t="shared" si="568"/>
        <v>#DIV/0!</v>
      </c>
      <c r="F1054" s="6" t="e">
        <f t="shared" ref="F1054:G1054" si="569">2*F1040*F1047/F1048</f>
        <v>#DIV/0!</v>
      </c>
      <c r="G1054" s="6" t="e">
        <f t="shared" si="569"/>
        <v>#DIV/0!</v>
      </c>
      <c r="H1054" s="6" t="e">
        <f t="shared" ref="H1054" si="570">2*H1040*H1047/H1048</f>
        <v>#DIV/0!</v>
      </c>
    </row>
    <row r="1055" spans="1:8" x14ac:dyDescent="0.2">
      <c r="A1055" s="5" t="s">
        <v>2043</v>
      </c>
      <c r="C1055" s="3" t="s">
        <v>876</v>
      </c>
      <c r="D1055" s="125" t="e">
        <f t="shared" ref="D1055:E1055" si="571">D1025/D1054</f>
        <v>#DIV/0!</v>
      </c>
      <c r="E1055" s="125" t="e">
        <f t="shared" si="571"/>
        <v>#DIV/0!</v>
      </c>
      <c r="F1055" s="125" t="e">
        <f t="shared" ref="F1055:G1055" si="572">F1025/F1054</f>
        <v>#DIV/0!</v>
      </c>
      <c r="G1055" s="125" t="e">
        <f t="shared" si="572"/>
        <v>#DIV/0!</v>
      </c>
      <c r="H1055" s="125" t="e">
        <f t="shared" ref="H1055" si="573">H1025/H1054</f>
        <v>#DIV/0!</v>
      </c>
    </row>
    <row r="1056" spans="1:8" x14ac:dyDescent="0.2">
      <c r="C1056" s="4"/>
      <c r="D1056" s="4"/>
      <c r="E1056" s="4"/>
      <c r="F1056" s="4"/>
      <c r="G1056" s="4"/>
      <c r="H1056" s="4"/>
    </row>
    <row r="1057" spans="2:8" x14ac:dyDescent="0.2">
      <c r="C1057" s="4"/>
      <c r="D1057" s="4"/>
      <c r="E1057" s="4"/>
      <c r="F1057" s="4"/>
      <c r="G1057" s="4"/>
      <c r="H1057" s="4"/>
    </row>
    <row r="1058" spans="2:8" x14ac:dyDescent="0.2">
      <c r="C1058" s="4"/>
      <c r="D1058" s="4"/>
      <c r="E1058" s="4"/>
      <c r="F1058" s="4"/>
      <c r="G1058" s="4"/>
      <c r="H1058" s="4"/>
    </row>
    <row r="1059" spans="2:8" x14ac:dyDescent="0.2">
      <c r="C1059" s="4"/>
      <c r="D1059" s="4"/>
      <c r="E1059" s="4"/>
      <c r="F1059" s="4"/>
      <c r="G1059" s="4"/>
      <c r="H1059" s="4"/>
    </row>
    <row r="1060" spans="2:8" x14ac:dyDescent="0.2">
      <c r="B1060" s="4"/>
      <c r="C1060" s="4"/>
      <c r="D1060" s="4"/>
      <c r="E1060" s="4"/>
      <c r="F1060" s="4"/>
      <c r="G1060" s="4"/>
      <c r="H1060" s="4"/>
    </row>
    <row r="1061" spans="2:8" x14ac:dyDescent="0.2">
      <c r="B1061" s="4"/>
      <c r="C1061" s="4"/>
      <c r="D1061" s="4"/>
      <c r="E1061" s="4"/>
      <c r="F1061" s="4"/>
      <c r="G1061" s="4"/>
      <c r="H1061" s="4"/>
    </row>
    <row r="1062" spans="2:8" x14ac:dyDescent="0.2">
      <c r="B1062" s="4"/>
      <c r="C1062" s="4"/>
      <c r="D1062" s="4"/>
      <c r="E1062" s="4"/>
      <c r="F1062" s="4"/>
      <c r="G1062" s="4"/>
      <c r="H1062" s="4"/>
    </row>
  </sheetData>
  <sheetProtection sheet="1" selectLockedCells="1"/>
  <phoneticPr fontId="4" type="noConversion"/>
  <conditionalFormatting sqref="D7:H7">
    <cfRule type="containsText" dxfId="52" priority="1780" operator="containsText" text="ASD">
      <formula>NOT(ISERROR(SEARCH("ASD",D7)))</formula>
    </cfRule>
    <cfRule type="containsText" dxfId="51" priority="1779" operator="containsText" text="LRFD">
      <formula>NOT(ISERROR(SEARCH("LRFD",D7)))</formula>
    </cfRule>
  </conditionalFormatting>
  <conditionalFormatting sqref="D8:H8">
    <cfRule type="containsText" dxfId="50" priority="1858" operator="containsText" text="7-16">
      <formula>NOT(ISERROR(SEARCH("7-16",D8)))</formula>
    </cfRule>
    <cfRule type="containsText" dxfId="49" priority="1857" operator="containsText" text="7-22">
      <formula>NOT(ISERROR(SEARCH("7-22",D8)))</formula>
    </cfRule>
  </conditionalFormatting>
  <conditionalFormatting sqref="D211:H212">
    <cfRule type="beginsWith" dxfId="48" priority="14" operator="beginsWith" text="Slender">
      <formula>LEFT(D211,LEN("Slender"))="Slender"</formula>
    </cfRule>
  </conditionalFormatting>
  <conditionalFormatting sqref="D213:H214">
    <cfRule type="containsText" dxfId="47" priority="9" operator="containsText" text="Slender">
      <formula>NOT(ISERROR(SEARCH("Slender",D213)))</formula>
    </cfRule>
    <cfRule type="containsText" dxfId="46" priority="10" operator="containsText" text="Noncompact">
      <formula>NOT(ISERROR(SEARCH("Noncompact",D213)))</formula>
    </cfRule>
  </conditionalFormatting>
  <conditionalFormatting sqref="D229:H229 D496:H496 D773:H773">
    <cfRule type="cellIs" dxfId="45" priority="1989" operator="greaterThanOrEqual">
      <formula>$D$156</formula>
    </cfRule>
    <cfRule type="cellIs" dxfId="44" priority="1990" operator="lessThan">
      <formula>$D$156</formula>
    </cfRule>
  </conditionalFormatting>
  <conditionalFormatting sqref="D230:H230 D497:H497 D774:H774">
    <cfRule type="cellIs" dxfId="43" priority="1992" operator="lessThan">
      <formula>$D$157</formula>
    </cfRule>
    <cfRule type="cellIs" dxfId="42" priority="1991" operator="greaterThanOrEqual">
      <formula>$D$157</formula>
    </cfRule>
  </conditionalFormatting>
  <conditionalFormatting sqref="D232:H232 D244:H244 D250:H250 D274:H274 D280:H280 D334:H334 D499:H499 D511:H511 D520:H520 D604:H604 D610:H610 D667:H667 D776:H776 D784:H784 D793:H793 D847:H847 D853:H853 D914:H914 D1003:H1003 D1013:H1013 D1044:H1044 D1054:H1054">
    <cfRule type="expression" dxfId="41" priority="1957">
      <formula>D$7="ASD"</formula>
    </cfRule>
    <cfRule type="expression" dxfId="40" priority="1956">
      <formula>D$7="LRFD"</formula>
    </cfRule>
  </conditionalFormatting>
  <conditionalFormatting sqref="D340:H342">
    <cfRule type="cellIs" dxfId="39" priority="6" operator="greaterThanOrEqual">
      <formula>1</formula>
    </cfRule>
    <cfRule type="cellIs" dxfId="38" priority="5" operator="lessThan">
      <formula>1</formula>
    </cfRule>
  </conditionalFormatting>
  <conditionalFormatting sqref="D478:H479">
    <cfRule type="beginsWith" dxfId="37" priority="15" operator="beginsWith" text="Slender">
      <formula>LEFT(D478,LEN("Slender"))="Slender"</formula>
    </cfRule>
  </conditionalFormatting>
  <conditionalFormatting sqref="D480:H481">
    <cfRule type="containsText" dxfId="36" priority="12" operator="containsText" text="Noncompact">
      <formula>NOT(ISERROR(SEARCH("Noncompact",D480)))</formula>
    </cfRule>
    <cfRule type="containsText" dxfId="35" priority="11" operator="containsText" text="Slender">
      <formula>NOT(ISERROR(SEARCH("Slender",D480)))</formula>
    </cfRule>
  </conditionalFormatting>
  <conditionalFormatting sqref="D673:H675">
    <cfRule type="cellIs" dxfId="34" priority="3" operator="lessThan">
      <formula>1</formula>
    </cfRule>
    <cfRule type="cellIs" dxfId="33" priority="4" operator="greaterThanOrEqual">
      <formula>1</formula>
    </cfRule>
  </conditionalFormatting>
  <conditionalFormatting sqref="D755:H756">
    <cfRule type="beginsWith" dxfId="32" priority="13" operator="beginsWith" text="Slender">
      <formula>LEFT(D755,LEN("Slender"))="Slender"</formula>
    </cfRule>
  </conditionalFormatting>
  <conditionalFormatting sqref="D757:H758">
    <cfRule type="containsText" dxfId="31" priority="7" operator="containsText" text="Slender">
      <formula>NOT(ISERROR(SEARCH("Slender",D757)))</formula>
    </cfRule>
    <cfRule type="containsText" dxfId="30" priority="8" operator="containsText" text="Noncompact">
      <formula>NOT(ISERROR(SEARCH("Noncompact",D757)))</formula>
    </cfRule>
  </conditionalFormatting>
  <conditionalFormatting sqref="D920:H922">
    <cfRule type="cellIs" dxfId="29" priority="2" operator="greaterThanOrEqual">
      <formula>1</formula>
    </cfRule>
    <cfRule type="cellIs" dxfId="28" priority="1" operator="lessThan">
      <formula>1</formula>
    </cfRule>
  </conditionalFormatting>
  <conditionalFormatting sqref="D929:H929">
    <cfRule type="cellIs" dxfId="27" priority="490" operator="between">
      <formula>0.1</formula>
      <formula>0.9</formula>
    </cfRule>
    <cfRule type="cellIs" dxfId="26" priority="489" operator="notBetween">
      <formula>0.1</formula>
      <formula>0.9</formula>
    </cfRule>
  </conditionalFormatting>
  <conditionalFormatting sqref="D930:H930">
    <cfRule type="containsText" dxfId="25" priority="543" operator="containsText" text="Outside Limit">
      <formula>NOT(ISERROR(SEARCH("Outside Limit",D930)))</formula>
    </cfRule>
    <cfRule type="containsText" dxfId="24" priority="544" operator="containsText" text="OK">
      <formula>NOT(ISERROR(SEARCH("OK",D930)))</formula>
    </cfRule>
  </conditionalFormatting>
  <conditionalFormatting sqref="D931:H931">
    <cfRule type="cellIs" dxfId="23" priority="498" operator="lessThanOrEqual">
      <formula>260</formula>
    </cfRule>
    <cfRule type="cellIs" dxfId="22" priority="497" operator="greaterThan">
      <formula>260</formula>
    </cfRule>
  </conditionalFormatting>
  <conditionalFormatting sqref="D932:H932">
    <cfRule type="containsText" dxfId="21" priority="529" operator="containsText" text="Outside Limit">
      <formula>NOT(ISERROR(SEARCH("Outside Limit",D932)))</formula>
    </cfRule>
    <cfRule type="containsText" dxfId="20" priority="530" operator="containsText" text="OK">
      <formula>NOT(ISERROR(SEARCH("OK",D932)))</formula>
    </cfRule>
  </conditionalFormatting>
  <conditionalFormatting sqref="D933:H933">
    <cfRule type="cellIs" dxfId="19" priority="466" operator="lessThanOrEqual">
      <formula>10</formula>
    </cfRule>
    <cfRule type="cellIs" dxfId="18" priority="465" operator="greaterThan">
      <formula>10</formula>
    </cfRule>
  </conditionalFormatting>
  <conditionalFormatting sqref="D934:H934">
    <cfRule type="containsText" dxfId="17" priority="522" operator="containsText" text="OK">
      <formula>NOT(ISERROR(SEARCH("OK",D934)))</formula>
    </cfRule>
    <cfRule type="containsText" dxfId="16" priority="521" operator="containsText" text="Outside Limit">
      <formula>NOT(ISERROR(SEARCH("Outside Limit",D934)))</formula>
    </cfRule>
  </conditionalFormatting>
  <conditionalFormatting sqref="D1004:H1004">
    <cfRule type="cellIs" dxfId="15" priority="1205" operator="lessThan">
      <formula>1</formula>
    </cfRule>
    <cfRule type="cellIs" dxfId="14" priority="1206" operator="greaterThanOrEqual">
      <formula>1</formula>
    </cfRule>
  </conditionalFormatting>
  <conditionalFormatting sqref="D1006:H1006">
    <cfRule type="cellIs" dxfId="13" priority="452" operator="lessThan">
      <formula>1.5</formula>
    </cfRule>
  </conditionalFormatting>
  <conditionalFormatting sqref="D1014:H1014">
    <cfRule type="cellIs" dxfId="12" priority="1207" operator="lessThan">
      <formula>1</formula>
    </cfRule>
    <cfRule type="cellIs" dxfId="11" priority="1208" operator="greaterThanOrEqual">
      <formula>1</formula>
    </cfRule>
  </conditionalFormatting>
  <conditionalFormatting sqref="D1045:H1045">
    <cfRule type="cellIs" dxfId="10" priority="1197" operator="lessThan">
      <formula>1</formula>
    </cfRule>
    <cfRule type="cellIs" dxfId="9" priority="1198" operator="greaterThanOrEqual">
      <formula>1</formula>
    </cfRule>
  </conditionalFormatting>
  <conditionalFormatting sqref="D1047:H1047">
    <cfRule type="cellIs" dxfId="8" priority="448" operator="lessThan">
      <formula>1.5</formula>
    </cfRule>
  </conditionalFormatting>
  <conditionalFormatting sqref="D1055:H1055">
    <cfRule type="cellIs" dxfId="7" priority="1199" operator="lessThan">
      <formula>1</formula>
    </cfRule>
    <cfRule type="cellIs" dxfId="6" priority="1200" operator="greaterThanOrEqual">
      <formula>1</formula>
    </cfRule>
  </conditionalFormatting>
  <dataValidations count="4">
    <dataValidation type="list" allowBlank="1" showInputMessage="1" showErrorMessage="1" sqref="D7:H7" xr:uid="{00000000-0002-0000-0200-000000000000}">
      <formula1>"ASD,LRFD"</formula1>
    </dataValidation>
    <dataValidation type="list" allowBlank="1" showInputMessage="1" showErrorMessage="1" sqref="D8:H8" xr:uid="{00000000-0002-0000-0200-000001000000}">
      <formula1>"ASCE 7-16,ASCE 7-22"</formula1>
    </dataValidation>
    <dataValidation type="list" allowBlank="1" showInputMessage="1" showErrorMessage="1" sqref="D995:H995 D1036:H1036 D684:H684 D962:H962" xr:uid="{00000000-0002-0000-0200-000002000000}">
      <formula1>"Yes,No"</formula1>
    </dataValidation>
    <dataValidation type="list" allowBlank="1" showInputMessage="1" showErrorMessage="1" sqref="D1037:H1037 D996:H996" xr:uid="{00000000-0002-0000-0200-000003000000}">
      <formula1>"2,3,4,5,6,7,8,9,10,11,12,13,14,15,16"</formula1>
    </dataValidation>
  </dataValidations>
  <pageMargins left="0.7" right="0.7" top="0.75" bottom="0.75" header="0.3" footer="0.3"/>
  <pageSetup orientation="portrait" r:id="rId1"/>
  <ignoredErrors>
    <ignoredError sqref="D150:D153 D148 B32 B147" unlockedFormula="1"/>
    <ignoredError sqref="D658 D388 B150"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'Database v16.0 &amp; v16.0H'!$B$4:$B$854</xm:f>
          </x14:formula1>
          <xm:sqref>D5:H5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39997558519241921"/>
  </sheetPr>
  <dimension ref="A1:M342"/>
  <sheetViews>
    <sheetView showGridLines="0" zoomScaleNormal="100" workbookViewId="0">
      <selection activeCell="D6" sqref="D6"/>
    </sheetView>
  </sheetViews>
  <sheetFormatPr defaultColWidth="9.140625" defaultRowHeight="12.75" x14ac:dyDescent="0.2"/>
  <cols>
    <col min="1" max="1" width="38.42578125" style="5" bestFit="1" customWidth="1"/>
    <col min="2" max="3" width="8.7109375" style="2" customWidth="1"/>
    <col min="4" max="8" width="12.140625" style="2" bestFit="1" customWidth="1"/>
    <col min="9" max="16384" width="9.140625" style="4"/>
  </cols>
  <sheetData>
    <row r="1" spans="1:8" ht="15.75" x14ac:dyDescent="0.25">
      <c r="A1" s="76" t="s">
        <v>1796</v>
      </c>
    </row>
    <row r="2" spans="1:8" x14ac:dyDescent="0.2">
      <c r="A2" s="4" t="s">
        <v>2569</v>
      </c>
    </row>
    <row r="3" spans="1:8" x14ac:dyDescent="0.2">
      <c r="A3" s="68" t="s">
        <v>2471</v>
      </c>
      <c r="C3" s="4"/>
      <c r="D3" s="4"/>
      <c r="E3" s="4"/>
      <c r="F3" s="4"/>
      <c r="G3" s="4"/>
      <c r="H3" s="4"/>
    </row>
    <row r="4" spans="1:8" x14ac:dyDescent="0.2">
      <c r="A4" s="17" t="s">
        <v>2684</v>
      </c>
    </row>
    <row r="5" spans="1:8" x14ac:dyDescent="0.2">
      <c r="A5" s="4"/>
    </row>
    <row r="6" spans="1:8" x14ac:dyDescent="0.2">
      <c r="A6" s="4"/>
      <c r="C6" s="77" t="s">
        <v>1681</v>
      </c>
      <c r="D6" s="58">
        <v>1</v>
      </c>
      <c r="E6" s="58">
        <v>2</v>
      </c>
      <c r="F6" s="58">
        <v>3</v>
      </c>
      <c r="G6" s="58">
        <v>4</v>
      </c>
      <c r="H6" s="58">
        <v>5</v>
      </c>
    </row>
    <row r="7" spans="1:8" x14ac:dyDescent="0.2">
      <c r="A7" s="66" t="s">
        <v>2098</v>
      </c>
      <c r="B7" s="81" t="s">
        <v>434</v>
      </c>
      <c r="C7" s="82" t="s">
        <v>435</v>
      </c>
    </row>
    <row r="8" spans="1:8" x14ac:dyDescent="0.2">
      <c r="A8" s="16" t="s">
        <v>2530</v>
      </c>
    </row>
    <row r="9" spans="1:8" x14ac:dyDescent="0.2">
      <c r="A9" s="45" t="s">
        <v>2570</v>
      </c>
    </row>
    <row r="10" spans="1:8" ht="14.25" x14ac:dyDescent="0.25">
      <c r="A10" s="5" t="s">
        <v>1779</v>
      </c>
      <c r="B10" s="2" t="s">
        <v>1160</v>
      </c>
      <c r="C10" s="3" t="s">
        <v>407</v>
      </c>
      <c r="D10" s="43"/>
      <c r="E10" s="43">
        <v>0.5</v>
      </c>
      <c r="F10" s="43"/>
      <c r="G10" s="43">
        <v>0.5</v>
      </c>
      <c r="H10" s="43"/>
    </row>
    <row r="11" spans="1:8" ht="14.25" x14ac:dyDescent="0.25">
      <c r="A11" s="5" t="s">
        <v>1780</v>
      </c>
      <c r="B11" s="2" t="s">
        <v>1159</v>
      </c>
      <c r="C11" s="3" t="s">
        <v>407</v>
      </c>
      <c r="D11" s="43"/>
      <c r="E11" s="43">
        <v>10</v>
      </c>
      <c r="F11" s="43"/>
      <c r="G11" s="43">
        <v>0.5</v>
      </c>
      <c r="H11" s="43"/>
    </row>
    <row r="12" spans="1:8" x14ac:dyDescent="0.2">
      <c r="A12" s="45" t="s">
        <v>2571</v>
      </c>
      <c r="C12" s="3"/>
      <c r="D12" s="4"/>
      <c r="E12" s="4"/>
      <c r="F12" s="4"/>
      <c r="G12" s="4"/>
      <c r="H12" s="4"/>
    </row>
    <row r="13" spans="1:8" ht="14.25" x14ac:dyDescent="0.25">
      <c r="A13" s="5" t="s">
        <v>1781</v>
      </c>
      <c r="B13" s="2" t="s">
        <v>1161</v>
      </c>
      <c r="C13" s="3" t="s">
        <v>407</v>
      </c>
      <c r="D13" s="43">
        <v>0.5</v>
      </c>
      <c r="E13" s="43"/>
      <c r="F13" s="43">
        <v>0.5</v>
      </c>
      <c r="G13" s="43">
        <v>0.5</v>
      </c>
      <c r="H13" s="43"/>
    </row>
    <row r="14" spans="1:8" ht="14.25" x14ac:dyDescent="0.25">
      <c r="A14" s="5" t="s">
        <v>1782</v>
      </c>
      <c r="B14" s="2" t="s">
        <v>1162</v>
      </c>
      <c r="C14" s="3" t="s">
        <v>407</v>
      </c>
      <c r="D14" s="43">
        <v>10</v>
      </c>
      <c r="E14" s="43"/>
      <c r="F14" s="43">
        <v>10</v>
      </c>
      <c r="G14" s="43">
        <v>0.5</v>
      </c>
      <c r="H14" s="43"/>
    </row>
    <row r="15" spans="1:8" hidden="1" x14ac:dyDescent="0.2"/>
    <row r="16" spans="1:8" hidden="1" x14ac:dyDescent="0.2">
      <c r="A16" s="16" t="s">
        <v>1783</v>
      </c>
      <c r="C16" s="3"/>
      <c r="D16" s="12"/>
      <c r="E16" s="12"/>
      <c r="F16" s="12"/>
      <c r="G16" s="12"/>
      <c r="H16" s="12"/>
    </row>
    <row r="17" spans="1:8" ht="15" hidden="1" x14ac:dyDescent="0.25">
      <c r="A17" s="5" t="s">
        <v>1785</v>
      </c>
      <c r="B17" s="2" t="s">
        <v>1164</v>
      </c>
      <c r="C17" s="3" t="s">
        <v>900</v>
      </c>
      <c r="D17" s="12">
        <f>D10*D11</f>
        <v>0</v>
      </c>
      <c r="E17" s="12">
        <f>E10*E11</f>
        <v>5</v>
      </c>
      <c r="F17" s="12">
        <f>F10*F11</f>
        <v>0</v>
      </c>
      <c r="G17" s="12">
        <f>G10*G11</f>
        <v>0.25</v>
      </c>
      <c r="H17" s="12">
        <f>H10*H11</f>
        <v>0</v>
      </c>
    </row>
    <row r="18" spans="1:8" ht="15" hidden="1" x14ac:dyDescent="0.25">
      <c r="A18" s="5" t="s">
        <v>866</v>
      </c>
      <c r="B18" s="2" t="s">
        <v>872</v>
      </c>
      <c r="C18" s="3" t="s">
        <v>873</v>
      </c>
      <c r="D18" s="12">
        <f>(D11*D10^3)/12</f>
        <v>0</v>
      </c>
      <c r="E18" s="12">
        <f>(E11*E10^3)/12</f>
        <v>0.10416666666666667</v>
      </c>
      <c r="F18" s="12">
        <f>(F11*F10^3)/12</f>
        <v>0</v>
      </c>
      <c r="G18" s="12">
        <f>(G11*G10^3)/12</f>
        <v>5.208333333333333E-3</v>
      </c>
      <c r="H18" s="12">
        <f>(H11*H10^3)/12</f>
        <v>0</v>
      </c>
    </row>
    <row r="19" spans="1:8" ht="15" hidden="1" x14ac:dyDescent="0.25">
      <c r="A19" s="5" t="s">
        <v>414</v>
      </c>
      <c r="B19" s="2" t="s">
        <v>907</v>
      </c>
      <c r="C19" s="3" t="s">
        <v>906</v>
      </c>
      <c r="D19" s="12">
        <f>(D11*D10^2)/6</f>
        <v>0</v>
      </c>
      <c r="E19" s="12">
        <f>(E11*E10^2)/6</f>
        <v>0.41666666666666669</v>
      </c>
      <c r="F19" s="12">
        <f>(F11*F10^2)/6</f>
        <v>0</v>
      </c>
      <c r="G19" s="12">
        <f>(G11*G10^2)/6</f>
        <v>2.0833333333333332E-2</v>
      </c>
      <c r="H19" s="12">
        <f>(H11*H10^2)/6</f>
        <v>0</v>
      </c>
    </row>
    <row r="20" spans="1:8" ht="14.25" hidden="1" x14ac:dyDescent="0.25">
      <c r="A20" s="5" t="s">
        <v>413</v>
      </c>
      <c r="B20" s="2" t="s">
        <v>905</v>
      </c>
      <c r="C20" s="3" t="s">
        <v>407</v>
      </c>
      <c r="D20" s="12">
        <f>(D11*D10^2)/4</f>
        <v>0</v>
      </c>
      <c r="E20" s="12">
        <f>(E11*E10^2)/4</f>
        <v>0.625</v>
      </c>
      <c r="F20" s="12">
        <f>(F11*F10^2)/4</f>
        <v>0</v>
      </c>
      <c r="G20" s="12">
        <f>(G11*G10^2)/4</f>
        <v>3.125E-2</v>
      </c>
      <c r="H20" s="12">
        <f>(H11*H10^2)/4</f>
        <v>0</v>
      </c>
    </row>
    <row r="21" spans="1:8" ht="15" hidden="1" x14ac:dyDescent="0.25">
      <c r="A21" s="5" t="s">
        <v>415</v>
      </c>
      <c r="B21" s="2" t="s">
        <v>908</v>
      </c>
      <c r="C21" s="3" t="s">
        <v>906</v>
      </c>
      <c r="D21" s="12" t="e">
        <f>SQRT(D18/D17)</f>
        <v>#DIV/0!</v>
      </c>
      <c r="E21" s="12">
        <f>SQRT(E18/E17)</f>
        <v>0.14433756729740646</v>
      </c>
      <c r="F21" s="12" t="e">
        <f>SQRT(F18/F17)</f>
        <v>#DIV/0!</v>
      </c>
      <c r="G21" s="12">
        <f>SQRT(G18/G17)</f>
        <v>0.14433756729740643</v>
      </c>
      <c r="H21" s="12" t="e">
        <f>SQRT(H18/H17)</f>
        <v>#DIV/0!</v>
      </c>
    </row>
    <row r="22" spans="1:8" ht="15" hidden="1" x14ac:dyDescent="0.25">
      <c r="A22" s="5" t="s">
        <v>867</v>
      </c>
      <c r="B22" s="2" t="s">
        <v>909</v>
      </c>
      <c r="C22" s="3" t="s">
        <v>873</v>
      </c>
      <c r="D22" s="12">
        <f>(D10*D11^3)/12</f>
        <v>0</v>
      </c>
      <c r="E22" s="12">
        <f>(E10*E11^3)/12</f>
        <v>41.666666666666664</v>
      </c>
      <c r="F22" s="12">
        <f>(F10*F11^3)/12</f>
        <v>0</v>
      </c>
      <c r="G22" s="12">
        <f>(G10*G11^3)/12</f>
        <v>5.208333333333333E-3</v>
      </c>
      <c r="H22" s="12">
        <f>(H10*H11^3)/12</f>
        <v>0</v>
      </c>
    </row>
    <row r="23" spans="1:8" ht="15" hidden="1" x14ac:dyDescent="0.25">
      <c r="A23" s="5" t="s">
        <v>417</v>
      </c>
      <c r="B23" s="2" t="s">
        <v>911</v>
      </c>
      <c r="C23" s="3" t="s">
        <v>906</v>
      </c>
      <c r="D23" s="12">
        <f>(D10*D11^2)/6</f>
        <v>0</v>
      </c>
      <c r="E23" s="12">
        <f>(E10*E11^2)/6</f>
        <v>8.3333333333333339</v>
      </c>
      <c r="F23" s="12">
        <f>(F10*F11^2)/6</f>
        <v>0</v>
      </c>
      <c r="G23" s="12">
        <f>(G10*G11^2)/6</f>
        <v>2.0833333333333332E-2</v>
      </c>
      <c r="H23" s="12">
        <f>(H10*H11^2)/6</f>
        <v>0</v>
      </c>
    </row>
    <row r="24" spans="1:8" ht="15" hidden="1" x14ac:dyDescent="0.25">
      <c r="A24" s="5" t="s">
        <v>416</v>
      </c>
      <c r="B24" s="2" t="s">
        <v>910</v>
      </c>
      <c r="C24" s="3" t="s">
        <v>906</v>
      </c>
      <c r="D24" s="12">
        <f>(D10*D11^2)/4</f>
        <v>0</v>
      </c>
      <c r="E24" s="12">
        <f>(E10*E11^2)/4</f>
        <v>12.5</v>
      </c>
      <c r="F24" s="12">
        <f>(F10*F11^2)/4</f>
        <v>0</v>
      </c>
      <c r="G24" s="12">
        <f>(G10*G11^2)/4</f>
        <v>3.125E-2</v>
      </c>
      <c r="H24" s="12">
        <f>(H10*H11^2)/4</f>
        <v>0</v>
      </c>
    </row>
    <row r="25" spans="1:8" ht="15" hidden="1" x14ac:dyDescent="0.25">
      <c r="A25" s="5" t="s">
        <v>418</v>
      </c>
      <c r="B25" s="2" t="s">
        <v>912</v>
      </c>
      <c r="C25" s="3" t="s">
        <v>906</v>
      </c>
      <c r="D25" s="12" t="e">
        <f>SQRT(D22/D17)</f>
        <v>#DIV/0!</v>
      </c>
      <c r="E25" s="12">
        <f>SQRT(E22/E17)</f>
        <v>2.8867513459481287</v>
      </c>
      <c r="F25" s="12" t="e">
        <f>SQRT(F22/F17)</f>
        <v>#DIV/0!</v>
      </c>
      <c r="G25" s="12">
        <f>SQRT(G22/G17)</f>
        <v>0.14433756729740643</v>
      </c>
      <c r="H25" s="12" t="e">
        <f>SQRT(H22/H17)</f>
        <v>#DIV/0!</v>
      </c>
    </row>
    <row r="26" spans="1:8" hidden="1" x14ac:dyDescent="0.2"/>
    <row r="27" spans="1:8" hidden="1" x14ac:dyDescent="0.2">
      <c r="A27" s="16" t="s">
        <v>1784</v>
      </c>
      <c r="C27" s="3"/>
      <c r="D27" s="12"/>
      <c r="E27" s="12"/>
      <c r="F27" s="12"/>
      <c r="G27" s="12"/>
      <c r="H27" s="12"/>
    </row>
    <row r="28" spans="1:8" ht="15" hidden="1" x14ac:dyDescent="0.25">
      <c r="A28" s="5" t="s">
        <v>1786</v>
      </c>
      <c r="B28" s="2" t="s">
        <v>1163</v>
      </c>
      <c r="C28" s="3" t="s">
        <v>900</v>
      </c>
      <c r="D28" s="12">
        <f>D13*D14</f>
        <v>5</v>
      </c>
      <c r="E28" s="12">
        <f>E13*E14</f>
        <v>0</v>
      </c>
      <c r="F28" s="12">
        <f>F13*F14</f>
        <v>5</v>
      </c>
      <c r="G28" s="12">
        <f>G13*G14</f>
        <v>0.25</v>
      </c>
      <c r="H28" s="12">
        <f>H13*H14</f>
        <v>0</v>
      </c>
    </row>
    <row r="29" spans="1:8" ht="15" hidden="1" x14ac:dyDescent="0.25">
      <c r="A29" s="5" t="s">
        <v>866</v>
      </c>
      <c r="B29" s="2" t="s">
        <v>872</v>
      </c>
      <c r="C29" s="3" t="s">
        <v>873</v>
      </c>
      <c r="D29" s="12">
        <f>(D14*D13^3)/12</f>
        <v>0.10416666666666667</v>
      </c>
      <c r="E29" s="12">
        <f>(E14*E13^3)/12</f>
        <v>0</v>
      </c>
      <c r="F29" s="12">
        <f>(F14*F13^3)/12</f>
        <v>0.10416666666666667</v>
      </c>
      <c r="G29" s="12">
        <f>(G14*G13^3)/12</f>
        <v>5.208333333333333E-3</v>
      </c>
      <c r="H29" s="12">
        <f>(H14*H13^3)/12</f>
        <v>0</v>
      </c>
    </row>
    <row r="30" spans="1:8" ht="15" hidden="1" x14ac:dyDescent="0.25">
      <c r="A30" s="5" t="s">
        <v>414</v>
      </c>
      <c r="B30" s="2" t="s">
        <v>907</v>
      </c>
      <c r="C30" s="3" t="s">
        <v>906</v>
      </c>
      <c r="D30" s="12">
        <f>(D14*D13^2)/6</f>
        <v>0.41666666666666669</v>
      </c>
      <c r="E30" s="12">
        <f>(E14*E13^2)/6</f>
        <v>0</v>
      </c>
      <c r="F30" s="12">
        <f>(F14*F13^2)/6</f>
        <v>0.41666666666666669</v>
      </c>
      <c r="G30" s="12">
        <f>(G14*G13^2)/6</f>
        <v>2.0833333333333332E-2</v>
      </c>
      <c r="H30" s="12">
        <f>(H14*H13^2)/6</f>
        <v>0</v>
      </c>
    </row>
    <row r="31" spans="1:8" ht="14.25" hidden="1" x14ac:dyDescent="0.25">
      <c r="A31" s="5" t="s">
        <v>413</v>
      </c>
      <c r="B31" s="2" t="s">
        <v>905</v>
      </c>
      <c r="C31" s="3" t="s">
        <v>407</v>
      </c>
      <c r="D31" s="12">
        <f>(D14*D13^2)/4</f>
        <v>0.625</v>
      </c>
      <c r="E31" s="12">
        <f>(E14*E13^2)/4</f>
        <v>0</v>
      </c>
      <c r="F31" s="12">
        <f>(F14*F13^2)/4</f>
        <v>0.625</v>
      </c>
      <c r="G31" s="12">
        <f>(G14*G13^2)/4</f>
        <v>3.125E-2</v>
      </c>
      <c r="H31" s="12">
        <f>(H14*H13^2)/4</f>
        <v>0</v>
      </c>
    </row>
    <row r="32" spans="1:8" ht="15" hidden="1" x14ac:dyDescent="0.25">
      <c r="A32" s="5" t="s">
        <v>415</v>
      </c>
      <c r="B32" s="2" t="s">
        <v>908</v>
      </c>
      <c r="C32" s="3" t="s">
        <v>906</v>
      </c>
      <c r="D32" s="12">
        <f>SQRT(D29/D28)</f>
        <v>0.14433756729740646</v>
      </c>
      <c r="E32" s="12" t="e">
        <f>SQRT(E29/E28)</f>
        <v>#DIV/0!</v>
      </c>
      <c r="F32" s="12">
        <f>SQRT(F29/F28)</f>
        <v>0.14433756729740646</v>
      </c>
      <c r="G32" s="12">
        <f>SQRT(G29/G28)</f>
        <v>0.14433756729740643</v>
      </c>
      <c r="H32" s="12" t="e">
        <f>SQRT(H29/H28)</f>
        <v>#DIV/0!</v>
      </c>
    </row>
    <row r="33" spans="1:8" ht="15" hidden="1" x14ac:dyDescent="0.25">
      <c r="A33" s="5" t="s">
        <v>867</v>
      </c>
      <c r="B33" s="2" t="s">
        <v>909</v>
      </c>
      <c r="C33" s="3" t="s">
        <v>873</v>
      </c>
      <c r="D33" s="12">
        <f>(D13*D14^3)/12</f>
        <v>41.666666666666664</v>
      </c>
      <c r="E33" s="12">
        <f>(E13*E14^3)/12</f>
        <v>0</v>
      </c>
      <c r="F33" s="12">
        <f>(F13*F14^3)/12</f>
        <v>41.666666666666664</v>
      </c>
      <c r="G33" s="12">
        <f>(G13*G14^3)/12</f>
        <v>5.208333333333333E-3</v>
      </c>
      <c r="H33" s="12">
        <f>(H13*H14^3)/12</f>
        <v>0</v>
      </c>
    </row>
    <row r="34" spans="1:8" ht="15" hidden="1" x14ac:dyDescent="0.25">
      <c r="A34" s="5" t="s">
        <v>417</v>
      </c>
      <c r="B34" s="2" t="s">
        <v>911</v>
      </c>
      <c r="C34" s="3" t="s">
        <v>906</v>
      </c>
      <c r="D34" s="12">
        <f>(D13*D14^2)/6</f>
        <v>8.3333333333333339</v>
      </c>
      <c r="E34" s="12">
        <f>(E13*E14^2)/6</f>
        <v>0</v>
      </c>
      <c r="F34" s="12">
        <f>(F13*F14^2)/6</f>
        <v>8.3333333333333339</v>
      </c>
      <c r="G34" s="12">
        <f>(G13*G14^2)/6</f>
        <v>2.0833333333333332E-2</v>
      </c>
      <c r="H34" s="12">
        <f>(H13*H14^2)/6</f>
        <v>0</v>
      </c>
    </row>
    <row r="35" spans="1:8" ht="15" hidden="1" x14ac:dyDescent="0.25">
      <c r="A35" s="5" t="s">
        <v>416</v>
      </c>
      <c r="B35" s="2" t="s">
        <v>910</v>
      </c>
      <c r="C35" s="3" t="s">
        <v>906</v>
      </c>
      <c r="D35" s="12">
        <f>(D13*D14^2)/4</f>
        <v>12.5</v>
      </c>
      <c r="E35" s="12">
        <f>(E13*E14^2)/4</f>
        <v>0</v>
      </c>
      <c r="F35" s="12">
        <f>(F13*F14^2)/4</f>
        <v>12.5</v>
      </c>
      <c r="G35" s="12">
        <f>(G13*G14^2)/4</f>
        <v>3.125E-2</v>
      </c>
      <c r="H35" s="12">
        <f>(H13*H14^2)/4</f>
        <v>0</v>
      </c>
    </row>
    <row r="36" spans="1:8" ht="15" hidden="1" x14ac:dyDescent="0.25">
      <c r="A36" s="5" t="s">
        <v>418</v>
      </c>
      <c r="B36" s="2" t="s">
        <v>912</v>
      </c>
      <c r="C36" s="3" t="s">
        <v>906</v>
      </c>
      <c r="D36" s="12">
        <f>SQRT(D33/D28)</f>
        <v>2.8867513459481287</v>
      </c>
      <c r="E36" s="12" t="e">
        <f>SQRT(E33/E28)</f>
        <v>#DIV/0!</v>
      </c>
      <c r="F36" s="12">
        <f>SQRT(F33/F28)</f>
        <v>2.8867513459481287</v>
      </c>
      <c r="G36" s="12">
        <f>SQRT(G33/G28)</f>
        <v>0.14433756729740643</v>
      </c>
      <c r="H36" s="12" t="e">
        <f>SQRT(H33/H28)</f>
        <v>#DIV/0!</v>
      </c>
    </row>
    <row r="37" spans="1:8" x14ac:dyDescent="0.2">
      <c r="C37" s="3"/>
      <c r="D37" s="12"/>
      <c r="E37" s="12"/>
      <c r="F37" s="12"/>
      <c r="G37" s="12"/>
      <c r="H37" s="12"/>
    </row>
    <row r="38" spans="1:8" ht="25.5" x14ac:dyDescent="0.2">
      <c r="A38" s="176" t="s">
        <v>2291</v>
      </c>
      <c r="D38" s="215" t="s">
        <v>2686</v>
      </c>
      <c r="E38" s="215" t="s">
        <v>242</v>
      </c>
      <c r="F38" s="215" t="s">
        <v>242</v>
      </c>
      <c r="G38" s="215" t="s">
        <v>242</v>
      </c>
      <c r="H38" s="215" t="s">
        <v>242</v>
      </c>
    </row>
    <row r="39" spans="1:8" x14ac:dyDescent="0.2">
      <c r="A39" s="5" t="s">
        <v>409</v>
      </c>
      <c r="B39" s="2" t="s">
        <v>4</v>
      </c>
      <c r="C39" s="3" t="s">
        <v>407</v>
      </c>
      <c r="D39" s="64">
        <v>11.667999999999999</v>
      </c>
      <c r="E39" s="64">
        <v>11.9</v>
      </c>
      <c r="F39" s="64">
        <v>11.9</v>
      </c>
      <c r="G39" s="64">
        <v>11.9</v>
      </c>
      <c r="H39" s="64">
        <v>11.9</v>
      </c>
    </row>
    <row r="40" spans="1:8" ht="14.25" x14ac:dyDescent="0.25">
      <c r="A40" s="5" t="s">
        <v>411</v>
      </c>
      <c r="B40" s="2" t="s">
        <v>902</v>
      </c>
      <c r="C40" s="3" t="s">
        <v>407</v>
      </c>
      <c r="D40" s="64">
        <v>0.221</v>
      </c>
      <c r="E40" s="64">
        <v>0.29499999999999998</v>
      </c>
      <c r="F40" s="64">
        <v>0.29499999999999998</v>
      </c>
      <c r="G40" s="64">
        <v>0.29499999999999998</v>
      </c>
      <c r="H40" s="64">
        <v>0.29499999999999998</v>
      </c>
    </row>
    <row r="41" spans="1:8" ht="14.25" x14ac:dyDescent="0.25">
      <c r="A41" s="5" t="s">
        <v>1808</v>
      </c>
      <c r="B41" s="2" t="s">
        <v>1929</v>
      </c>
      <c r="C41" s="3" t="s">
        <v>407</v>
      </c>
      <c r="D41" s="64">
        <v>0.48899999999999999</v>
      </c>
      <c r="E41" s="64">
        <v>0.51500000000000001</v>
      </c>
      <c r="F41" s="64">
        <v>0.51500000000000001</v>
      </c>
      <c r="G41" s="64">
        <v>0.51500000000000001</v>
      </c>
      <c r="H41" s="64">
        <v>0.51500000000000001</v>
      </c>
    </row>
    <row r="42" spans="1:8" ht="14.25" x14ac:dyDescent="0.25">
      <c r="A42" s="5" t="s">
        <v>1061</v>
      </c>
      <c r="B42" s="2" t="s">
        <v>1925</v>
      </c>
      <c r="C42" s="3" t="s">
        <v>407</v>
      </c>
      <c r="D42" s="64">
        <v>8.01</v>
      </c>
      <c r="E42" s="64">
        <v>8.01</v>
      </c>
      <c r="F42" s="64">
        <v>8.01</v>
      </c>
      <c r="G42" s="64">
        <v>8.01</v>
      </c>
      <c r="H42" s="64">
        <v>8.01</v>
      </c>
    </row>
    <row r="43" spans="1:8" ht="14.25" x14ac:dyDescent="0.25">
      <c r="A43" s="5" t="s">
        <v>1809</v>
      </c>
      <c r="B43" s="2" t="s">
        <v>1926</v>
      </c>
      <c r="C43" s="3" t="s">
        <v>407</v>
      </c>
      <c r="D43" s="64">
        <v>0.309</v>
      </c>
      <c r="E43" s="64">
        <v>0.51500000000000001</v>
      </c>
      <c r="F43" s="64">
        <v>0.51500000000000001</v>
      </c>
      <c r="G43" s="64">
        <v>0.51500000000000001</v>
      </c>
      <c r="H43" s="64">
        <v>0.51500000000000001</v>
      </c>
    </row>
    <row r="44" spans="1:8" ht="14.25" x14ac:dyDescent="0.25">
      <c r="A44" s="5" t="s">
        <v>1810</v>
      </c>
      <c r="B44" s="2" t="s">
        <v>1927</v>
      </c>
      <c r="C44" s="3" t="s">
        <v>407</v>
      </c>
      <c r="D44" s="64">
        <v>8.01</v>
      </c>
      <c r="E44" s="64">
        <v>8.01</v>
      </c>
      <c r="F44" s="64">
        <v>8.01</v>
      </c>
      <c r="G44" s="64">
        <v>8.01</v>
      </c>
      <c r="H44" s="64">
        <v>8.01</v>
      </c>
    </row>
    <row r="45" spans="1:8" ht="14.25" hidden="1" x14ac:dyDescent="0.25">
      <c r="A45" s="5" t="s">
        <v>885</v>
      </c>
      <c r="B45" s="2" t="s">
        <v>943</v>
      </c>
      <c r="C45" s="3" t="s">
        <v>407</v>
      </c>
      <c r="D45" s="23">
        <f>D39-D41-D43</f>
        <v>10.87</v>
      </c>
      <c r="E45" s="23">
        <f>E39-E41-E43</f>
        <v>10.87</v>
      </c>
      <c r="F45" s="23">
        <f>F39-F41-F43</f>
        <v>10.87</v>
      </c>
      <c r="G45" s="23">
        <f>G39-G41-G43</f>
        <v>10.87</v>
      </c>
      <c r="H45" s="23">
        <f>H39-H41-H43</f>
        <v>10.87</v>
      </c>
    </row>
    <row r="46" spans="1:8" ht="15" hidden="1" x14ac:dyDescent="0.25">
      <c r="A46" s="5" t="s">
        <v>881</v>
      </c>
      <c r="B46" s="2" t="s">
        <v>944</v>
      </c>
      <c r="C46" s="3" t="s">
        <v>900</v>
      </c>
      <c r="D46" s="12">
        <f>D41*D42</f>
        <v>3.91689</v>
      </c>
      <c r="E46" s="12">
        <f>E41*E42</f>
        <v>4.1251499999999997</v>
      </c>
      <c r="F46" s="12">
        <f>F41*F42</f>
        <v>4.1251499999999997</v>
      </c>
      <c r="G46" s="12">
        <f>G41*G42</f>
        <v>4.1251499999999997</v>
      </c>
      <c r="H46" s="12">
        <f>H41*H42</f>
        <v>4.1251499999999997</v>
      </c>
    </row>
    <row r="47" spans="1:8" ht="15" hidden="1" x14ac:dyDescent="0.25">
      <c r="A47" s="5" t="s">
        <v>882</v>
      </c>
      <c r="B47" s="2" t="s">
        <v>945</v>
      </c>
      <c r="C47" s="3" t="s">
        <v>900</v>
      </c>
      <c r="D47" s="12">
        <f>D40*D45</f>
        <v>2.4022699999999997</v>
      </c>
      <c r="E47" s="12">
        <f>E40*E45</f>
        <v>3.2066499999999998</v>
      </c>
      <c r="F47" s="12">
        <f>F40*F45</f>
        <v>3.2066499999999998</v>
      </c>
      <c r="G47" s="12">
        <f>G40*G45</f>
        <v>3.2066499999999998</v>
      </c>
      <c r="H47" s="12">
        <f>H40*H45</f>
        <v>3.2066499999999998</v>
      </c>
    </row>
    <row r="48" spans="1:8" ht="15" hidden="1" x14ac:dyDescent="0.25">
      <c r="A48" s="5" t="s">
        <v>883</v>
      </c>
      <c r="B48" s="2" t="s">
        <v>946</v>
      </c>
      <c r="C48" s="3" t="s">
        <v>900</v>
      </c>
      <c r="D48" s="12">
        <f>D43*D44</f>
        <v>2.4750899999999998</v>
      </c>
      <c r="E48" s="12">
        <f>E43*E44</f>
        <v>4.1251499999999997</v>
      </c>
      <c r="F48" s="12">
        <f>F43*F44</f>
        <v>4.1251499999999997</v>
      </c>
      <c r="G48" s="12">
        <f>G43*G44</f>
        <v>4.1251499999999997</v>
      </c>
      <c r="H48" s="12">
        <f>H43*H44</f>
        <v>4.1251499999999997</v>
      </c>
    </row>
    <row r="49" spans="1:8" ht="15" hidden="1" x14ac:dyDescent="0.25">
      <c r="A49" s="5" t="s">
        <v>884</v>
      </c>
      <c r="B49" s="2" t="s">
        <v>899</v>
      </c>
      <c r="C49" s="3" t="s">
        <v>900</v>
      </c>
      <c r="D49" s="12">
        <f>D46+D47+D48</f>
        <v>8.7942499999999999</v>
      </c>
      <c r="E49" s="12">
        <f>E46+E47+E48</f>
        <v>11.456949999999999</v>
      </c>
      <c r="F49" s="12">
        <f>F46+F47+F48</f>
        <v>11.456949999999999</v>
      </c>
      <c r="G49" s="12">
        <f>G46+G47+G48</f>
        <v>11.456949999999999</v>
      </c>
      <c r="H49" s="12">
        <f>H46+H47+H48</f>
        <v>11.456949999999999</v>
      </c>
    </row>
    <row r="50" spans="1:8" hidden="1" x14ac:dyDescent="0.2">
      <c r="C50" s="3"/>
      <c r="D50" s="12"/>
      <c r="E50" s="12"/>
      <c r="F50" s="12"/>
      <c r="G50" s="12"/>
      <c r="H50" s="12"/>
    </row>
    <row r="51" spans="1:8" x14ac:dyDescent="0.2">
      <c r="A51" s="16" t="s">
        <v>2288</v>
      </c>
      <c r="B51" s="4"/>
      <c r="C51" s="4"/>
      <c r="D51" s="4"/>
      <c r="E51" s="4"/>
      <c r="F51" s="4"/>
      <c r="G51" s="4"/>
      <c r="H51" s="4"/>
    </row>
    <row r="52" spans="1:8" ht="14.25" x14ac:dyDescent="0.25">
      <c r="A52" s="5" t="s">
        <v>1071</v>
      </c>
      <c r="B52" s="2" t="s">
        <v>2582</v>
      </c>
      <c r="C52" s="3" t="s">
        <v>407</v>
      </c>
      <c r="D52" s="275">
        <f>D84</f>
        <v>12.167999999999999</v>
      </c>
      <c r="E52" s="275">
        <f>E84</f>
        <v>12.4</v>
      </c>
      <c r="F52" s="275">
        <f>F84</f>
        <v>12.4</v>
      </c>
      <c r="G52" s="275">
        <f>G84</f>
        <v>12.9</v>
      </c>
      <c r="H52" s="275">
        <f>H84</f>
        <v>11.9</v>
      </c>
    </row>
    <row r="53" spans="1:8" ht="14.25" x14ac:dyDescent="0.25">
      <c r="A53" s="5" t="s">
        <v>411</v>
      </c>
      <c r="B53" s="2" t="s">
        <v>902</v>
      </c>
      <c r="C53" s="3" t="s">
        <v>407</v>
      </c>
      <c r="D53" s="276">
        <f>D40</f>
        <v>0.221</v>
      </c>
      <c r="E53" s="276">
        <f>E40</f>
        <v>0.29499999999999998</v>
      </c>
      <c r="F53" s="276">
        <f>F40</f>
        <v>0.29499999999999998</v>
      </c>
      <c r="G53" s="276">
        <f>G40</f>
        <v>0.29499999999999998</v>
      </c>
      <c r="H53" s="276">
        <f>H40</f>
        <v>0.29499999999999998</v>
      </c>
    </row>
    <row r="54" spans="1:8" ht="14.25" x14ac:dyDescent="0.25">
      <c r="A54" s="5" t="s">
        <v>1808</v>
      </c>
      <c r="B54" s="2" t="s">
        <v>1929</v>
      </c>
      <c r="C54" s="3" t="s">
        <v>407</v>
      </c>
      <c r="D54" s="276">
        <f>D10+D41</f>
        <v>0.48899999999999999</v>
      </c>
      <c r="E54" s="276">
        <f>E10+E41</f>
        <v>1.0150000000000001</v>
      </c>
      <c r="F54" s="276">
        <f>F10+F41</f>
        <v>0.51500000000000001</v>
      </c>
      <c r="G54" s="276">
        <f>G10+G41</f>
        <v>1.0150000000000001</v>
      </c>
      <c r="H54" s="276">
        <f>H10+H41</f>
        <v>0.51500000000000001</v>
      </c>
    </row>
    <row r="55" spans="1:8" ht="14.25" x14ac:dyDescent="0.25">
      <c r="A55" s="5" t="s">
        <v>2287</v>
      </c>
      <c r="B55" s="2" t="s">
        <v>1925</v>
      </c>
      <c r="C55" s="3" t="s">
        <v>407</v>
      </c>
      <c r="D55" s="275">
        <f>MAX(D11,D42)</f>
        <v>8.01</v>
      </c>
      <c r="E55" s="275">
        <f>MAX(E11,E42)</f>
        <v>10</v>
      </c>
      <c r="F55" s="275">
        <f>MAX(F11,F42)</f>
        <v>8.01</v>
      </c>
      <c r="G55" s="275">
        <f>MAX(G11,G42)</f>
        <v>8.01</v>
      </c>
      <c r="H55" s="275">
        <f>MAX(H11,H42)</f>
        <v>8.01</v>
      </c>
    </row>
    <row r="56" spans="1:8" ht="14.25" x14ac:dyDescent="0.25">
      <c r="A56" s="5" t="s">
        <v>1809</v>
      </c>
      <c r="B56" s="2" t="s">
        <v>1926</v>
      </c>
      <c r="C56" s="3" t="s">
        <v>407</v>
      </c>
      <c r="D56" s="276">
        <f>D13+D43</f>
        <v>0.80899999999999994</v>
      </c>
      <c r="E56" s="276">
        <f>E13+E43</f>
        <v>0.51500000000000001</v>
      </c>
      <c r="F56" s="276">
        <f>F13+F43</f>
        <v>1.0150000000000001</v>
      </c>
      <c r="G56" s="276">
        <f>G13+G43</f>
        <v>1.0150000000000001</v>
      </c>
      <c r="H56" s="276">
        <f>H13+H43</f>
        <v>0.51500000000000001</v>
      </c>
    </row>
    <row r="57" spans="1:8" ht="14.25" x14ac:dyDescent="0.25">
      <c r="A57" s="5" t="s">
        <v>2286</v>
      </c>
      <c r="B57" s="2" t="s">
        <v>1927</v>
      </c>
      <c r="C57" s="3" t="s">
        <v>407</v>
      </c>
      <c r="D57" s="275">
        <f>MAX(D14,D44)</f>
        <v>10</v>
      </c>
      <c r="E57" s="275">
        <f>MAX(E14,E44)</f>
        <v>8.01</v>
      </c>
      <c r="F57" s="275">
        <f>MAX(F14,F44)</f>
        <v>10</v>
      </c>
      <c r="G57" s="275">
        <f>MAX(G14,G44)</f>
        <v>8.01</v>
      </c>
      <c r="H57" s="275">
        <f>MAX(H14,H44)</f>
        <v>8.01</v>
      </c>
    </row>
    <row r="58" spans="1:8" ht="14.25" x14ac:dyDescent="0.25">
      <c r="A58" s="5" t="s">
        <v>1842</v>
      </c>
      <c r="B58" s="2" t="s">
        <v>1818</v>
      </c>
      <c r="C58" s="3" t="s">
        <v>407</v>
      </c>
      <c r="D58" s="275">
        <f>D116</f>
        <v>7.4868641499175377</v>
      </c>
      <c r="E58" s="275">
        <f>E116</f>
        <v>4.5662973698042464</v>
      </c>
      <c r="F58" s="275">
        <f>F116</f>
        <v>7.8337026301957531</v>
      </c>
      <c r="G58" s="275">
        <f>G116</f>
        <v>6.4499999999999993</v>
      </c>
      <c r="H58" s="275">
        <f>H116</f>
        <v>5.9499999999999993</v>
      </c>
    </row>
    <row r="59" spans="1:8" ht="14.25" x14ac:dyDescent="0.25">
      <c r="A59" s="5" t="s">
        <v>1822</v>
      </c>
      <c r="B59" s="2" t="s">
        <v>1821</v>
      </c>
      <c r="C59" s="3" t="s">
        <v>407</v>
      </c>
      <c r="D59" s="275">
        <f>D191</f>
        <v>11.431155430711611</v>
      </c>
      <c r="E59" s="275">
        <f>E191</f>
        <v>0.9030555555555555</v>
      </c>
      <c r="F59" s="275">
        <f>F191</f>
        <v>11.496944444444445</v>
      </c>
      <c r="G59" s="275">
        <f>G191</f>
        <v>6.4499999999999993</v>
      </c>
      <c r="H59" s="275">
        <f>H191</f>
        <v>5.9499999999999993</v>
      </c>
    </row>
    <row r="60" spans="1:8" ht="15" x14ac:dyDescent="0.25">
      <c r="A60" s="5" t="s">
        <v>2071</v>
      </c>
      <c r="B60" s="2" t="s">
        <v>899</v>
      </c>
      <c r="C60" s="3" t="s">
        <v>900</v>
      </c>
      <c r="D60" s="275">
        <f>D99</f>
        <v>13.79425</v>
      </c>
      <c r="E60" s="275">
        <f>E99</f>
        <v>16.456949999999999</v>
      </c>
      <c r="F60" s="275">
        <f>F99</f>
        <v>16.456949999999999</v>
      </c>
      <c r="G60" s="275">
        <f>G99</f>
        <v>11.956949999999999</v>
      </c>
      <c r="H60" s="275">
        <f>H99</f>
        <v>11.456949999999999</v>
      </c>
    </row>
    <row r="61" spans="1:8" ht="15" x14ac:dyDescent="0.25">
      <c r="A61" s="5" t="s">
        <v>866</v>
      </c>
      <c r="B61" s="2" t="s">
        <v>872</v>
      </c>
      <c r="C61" s="3" t="s">
        <v>873</v>
      </c>
      <c r="D61" s="275">
        <f>D148</f>
        <v>373.47680483331703</v>
      </c>
      <c r="E61" s="275">
        <f>E148</f>
        <v>433.01302966018159</v>
      </c>
      <c r="F61" s="275">
        <f>F148</f>
        <v>433.01302966018159</v>
      </c>
      <c r="G61" s="275">
        <f>G148</f>
        <v>318.33406119624993</v>
      </c>
      <c r="H61" s="275">
        <f>H148</f>
        <v>299.10364452958322</v>
      </c>
    </row>
    <row r="62" spans="1:8" ht="15" x14ac:dyDescent="0.25">
      <c r="A62" s="5" t="s">
        <v>867</v>
      </c>
      <c r="B62" s="2" t="s">
        <v>909</v>
      </c>
      <c r="C62" s="3" t="s">
        <v>873</v>
      </c>
      <c r="D62" s="275">
        <f>D156</f>
        <v>75.852283772255845</v>
      </c>
      <c r="E62" s="275">
        <f>E156</f>
        <v>85.801594312187504</v>
      </c>
      <c r="F62" s="275">
        <f>F156</f>
        <v>85.801594312187504</v>
      </c>
      <c r="G62" s="275">
        <f>G156</f>
        <v>44.145344312187511</v>
      </c>
      <c r="H62" s="275">
        <f>H156</f>
        <v>44.13492764552084</v>
      </c>
    </row>
    <row r="63" spans="1:8" ht="15" x14ac:dyDescent="0.25">
      <c r="A63" s="5" t="s">
        <v>413</v>
      </c>
      <c r="B63" s="2" t="s">
        <v>905</v>
      </c>
      <c r="C63" s="3" t="s">
        <v>906</v>
      </c>
      <c r="D63" s="275">
        <f>D294</f>
        <v>59.726309446488756</v>
      </c>
      <c r="E63" s="275">
        <f>E294</f>
        <v>68.117597715277768</v>
      </c>
      <c r="F63" s="275">
        <f>F294</f>
        <v>68.117597715277768</v>
      </c>
      <c r="G63" s="275">
        <f>G294</f>
        <v>58.778904124999997</v>
      </c>
      <c r="H63" s="275">
        <f>H294</f>
        <v>55.678904124999995</v>
      </c>
    </row>
    <row r="64" spans="1:8" ht="15" x14ac:dyDescent="0.25">
      <c r="A64" s="5" t="s">
        <v>416</v>
      </c>
      <c r="B64" s="2" t="s">
        <v>910</v>
      </c>
      <c r="C64" s="3" t="s">
        <v>906</v>
      </c>
      <c r="D64" s="275">
        <f>D302</f>
        <v>25.4326653675</v>
      </c>
      <c r="E64" s="275">
        <f>E302</f>
        <v>29.257716187499998</v>
      </c>
      <c r="F64" s="275">
        <f>F302</f>
        <v>29.257716187500002</v>
      </c>
      <c r="G64" s="275">
        <f>G302</f>
        <v>16.820216187500002</v>
      </c>
      <c r="H64" s="275">
        <f>H302</f>
        <v>16.757716187500002</v>
      </c>
    </row>
    <row r="65" spans="1:8" ht="15" x14ac:dyDescent="0.2">
      <c r="A65" s="5" t="s">
        <v>962</v>
      </c>
      <c r="B65" s="2" t="s">
        <v>6</v>
      </c>
      <c r="C65" s="3" t="s">
        <v>873</v>
      </c>
      <c r="D65" s="275">
        <f>D310</f>
        <v>0.84675466368333341</v>
      </c>
      <c r="E65" s="275">
        <f>E310</f>
        <v>1.23908151125</v>
      </c>
      <c r="F65" s="275">
        <f>F310</f>
        <v>1.23908151125</v>
      </c>
      <c r="G65" s="275">
        <f>G310</f>
        <v>0.8640815112500001</v>
      </c>
      <c r="H65" s="275">
        <f>H310</f>
        <v>0.82241484458333336</v>
      </c>
    </row>
    <row r="66" spans="1:8" ht="15" x14ac:dyDescent="0.25">
      <c r="A66" s="5" t="s">
        <v>422</v>
      </c>
      <c r="B66" s="2" t="s">
        <v>913</v>
      </c>
      <c r="C66" s="3" t="s">
        <v>914</v>
      </c>
      <c r="D66" s="277">
        <f>D315</f>
        <v>2011.4799997371624</v>
      </c>
      <c r="E66" s="277">
        <f>E315</f>
        <v>2218.0508517971284</v>
      </c>
      <c r="F66" s="277">
        <f>F315</f>
        <v>2218.050851797128</v>
      </c>
      <c r="G66" s="277">
        <f>G315</f>
        <v>1558.0968560489171</v>
      </c>
      <c r="H66" s="277">
        <f>H315</f>
        <v>1429.4191809899787</v>
      </c>
    </row>
    <row r="67" spans="1:8" ht="15" x14ac:dyDescent="0.25">
      <c r="A67" s="5" t="s">
        <v>964</v>
      </c>
      <c r="B67" s="2" t="s">
        <v>963</v>
      </c>
      <c r="C67" s="3" t="s">
        <v>873</v>
      </c>
      <c r="D67" s="277">
        <f>D326</f>
        <v>20.942337840750003</v>
      </c>
      <c r="E67" s="277">
        <f>E326</f>
        <v>63.722503042916671</v>
      </c>
      <c r="F67" s="277">
        <f>F326</f>
        <v>22.055836376250003</v>
      </c>
      <c r="G67" s="277">
        <f>G326</f>
        <v>22.061044709583335</v>
      </c>
      <c r="H67" s="277">
        <f>H326</f>
        <v>22.055836376250003</v>
      </c>
    </row>
    <row r="68" spans="1:8" ht="15" x14ac:dyDescent="0.25">
      <c r="A68" s="5" t="s">
        <v>1824</v>
      </c>
      <c r="B68" s="2" t="s">
        <v>1825</v>
      </c>
      <c r="C68" s="3" t="s">
        <v>900</v>
      </c>
      <c r="D68" s="277">
        <f>D328</f>
        <v>3.91689</v>
      </c>
      <c r="E68" s="277">
        <f>E328</f>
        <v>9.1251499999999997</v>
      </c>
      <c r="F68" s="277">
        <f>F328</f>
        <v>4.1251499999999997</v>
      </c>
      <c r="G68" s="277">
        <f>G328</f>
        <v>4.3751499999999997</v>
      </c>
      <c r="H68" s="277">
        <f>H328</f>
        <v>4.1251499999999997</v>
      </c>
    </row>
    <row r="69" spans="1:8" ht="15" x14ac:dyDescent="0.25">
      <c r="A69" s="5" t="s">
        <v>1912</v>
      </c>
      <c r="B69" s="2" t="s">
        <v>1923</v>
      </c>
      <c r="C69" s="3" t="s">
        <v>873</v>
      </c>
      <c r="D69" s="277">
        <f>D330</f>
        <v>54.900168492416668</v>
      </c>
      <c r="E69" s="277">
        <f>E330</f>
        <v>22.055836376250003</v>
      </c>
      <c r="F69" s="277">
        <f>F330</f>
        <v>63.722503042916671</v>
      </c>
      <c r="G69" s="277">
        <f>G330</f>
        <v>22.061044709583335</v>
      </c>
      <c r="H69" s="277">
        <f>H330</f>
        <v>22.055836376250003</v>
      </c>
    </row>
    <row r="70" spans="1:8" ht="14.25" x14ac:dyDescent="0.25">
      <c r="A70" s="5" t="s">
        <v>885</v>
      </c>
      <c r="B70" s="2" t="s">
        <v>943</v>
      </c>
      <c r="C70" s="3" t="s">
        <v>407</v>
      </c>
      <c r="D70" s="278">
        <f>D45</f>
        <v>10.87</v>
      </c>
      <c r="E70" s="278">
        <f>E45</f>
        <v>10.87</v>
      </c>
      <c r="F70" s="278">
        <f>F45</f>
        <v>10.87</v>
      </c>
      <c r="G70" s="278">
        <f>G45</f>
        <v>10.87</v>
      </c>
      <c r="H70" s="278">
        <f>H45</f>
        <v>10.87</v>
      </c>
    </row>
    <row r="71" spans="1:8" ht="15" x14ac:dyDescent="0.25">
      <c r="A71" s="13" t="s">
        <v>953</v>
      </c>
      <c r="B71" s="2" t="s">
        <v>955</v>
      </c>
      <c r="C71" s="3" t="s">
        <v>906</v>
      </c>
      <c r="D71" s="278">
        <f t="shared" ref="D71:E72" si="0">D317</f>
        <v>49.884276962262042</v>
      </c>
      <c r="E71" s="278">
        <f t="shared" si="0"/>
        <v>94.82804000536315</v>
      </c>
      <c r="F71" s="278">
        <f t="shared" ref="F71:G71" si="1">F317</f>
        <v>55.275653174667575</v>
      </c>
      <c r="G71" s="278">
        <f t="shared" si="1"/>
        <v>49.354118014922477</v>
      </c>
      <c r="H71" s="278">
        <f t="shared" ref="H71" si="2">H317</f>
        <v>50.269520089005589</v>
      </c>
    </row>
    <row r="72" spans="1:8" ht="15" x14ac:dyDescent="0.25">
      <c r="A72" s="13" t="s">
        <v>954</v>
      </c>
      <c r="B72" s="2" t="s">
        <v>956</v>
      </c>
      <c r="C72" s="3" t="s">
        <v>906</v>
      </c>
      <c r="D72" s="278">
        <f t="shared" si="0"/>
        <v>79.783372410936963</v>
      </c>
      <c r="E72" s="278">
        <f t="shared" si="0"/>
        <v>55.275653174667568</v>
      </c>
      <c r="F72" s="278">
        <f t="shared" ref="F72:G72" si="3">F318</f>
        <v>94.828040005363121</v>
      </c>
      <c r="G72" s="278">
        <f t="shared" si="3"/>
        <v>49.354118014922463</v>
      </c>
      <c r="H72" s="278">
        <f t="shared" ref="H72" si="4">H318</f>
        <v>50.269520089005574</v>
      </c>
    </row>
    <row r="73" spans="1:8" ht="15" x14ac:dyDescent="0.25">
      <c r="A73" s="13" t="s">
        <v>417</v>
      </c>
      <c r="B73" s="2" t="s">
        <v>911</v>
      </c>
      <c r="C73" s="3" t="s">
        <v>906</v>
      </c>
      <c r="D73" s="278">
        <f>D320</f>
        <v>15.17045675445117</v>
      </c>
      <c r="E73" s="278">
        <f>E320</f>
        <v>17.160318862437499</v>
      </c>
      <c r="F73" s="278">
        <f>F320</f>
        <v>17.160318862437499</v>
      </c>
      <c r="G73" s="278">
        <f>G320</f>
        <v>11.022557880696008</v>
      </c>
      <c r="H73" s="278">
        <f>H320</f>
        <v>11.019956965173742</v>
      </c>
    </row>
    <row r="74" spans="1:8" ht="14.25" x14ac:dyDescent="0.25">
      <c r="A74" s="13" t="s">
        <v>415</v>
      </c>
      <c r="B74" s="2" t="s">
        <v>908</v>
      </c>
      <c r="C74" s="3" t="s">
        <v>407</v>
      </c>
      <c r="D74" s="278">
        <f>D322</f>
        <v>5.2033467841562802</v>
      </c>
      <c r="E74" s="278">
        <f>E322</f>
        <v>5.1295091347874848</v>
      </c>
      <c r="F74" s="278">
        <f>F322</f>
        <v>5.1295091347874848</v>
      </c>
      <c r="G74" s="278">
        <f>G322</f>
        <v>5.1597819430737406</v>
      </c>
      <c r="H74" s="278">
        <f>H322</f>
        <v>5.1094757648062004</v>
      </c>
    </row>
    <row r="75" spans="1:8" ht="14.25" x14ac:dyDescent="0.25">
      <c r="A75" s="13" t="s">
        <v>418</v>
      </c>
      <c r="B75" s="2" t="s">
        <v>912</v>
      </c>
      <c r="C75" s="3" t="s">
        <v>407</v>
      </c>
      <c r="D75" s="278">
        <f>D324</f>
        <v>2.3449591644536749</v>
      </c>
      <c r="E75" s="278">
        <f>E324</f>
        <v>2.2833527194277177</v>
      </c>
      <c r="F75" s="278">
        <f>F324</f>
        <v>2.2833527194277177</v>
      </c>
      <c r="G75" s="278">
        <f>G324</f>
        <v>1.9214639804497606</v>
      </c>
      <c r="H75" s="278">
        <f>H324</f>
        <v>1.9627125551408422</v>
      </c>
    </row>
    <row r="76" spans="1:8" x14ac:dyDescent="0.2">
      <c r="C76" s="3"/>
      <c r="D76" s="12"/>
      <c r="E76" s="12"/>
      <c r="F76" s="12"/>
      <c r="G76" s="12"/>
      <c r="H76" s="12"/>
    </row>
    <row r="77" spans="1:8" x14ac:dyDescent="0.2">
      <c r="A77" s="66" t="s">
        <v>2531</v>
      </c>
    </row>
    <row r="78" spans="1:8" hidden="1" x14ac:dyDescent="0.2">
      <c r="A78" s="16" t="s">
        <v>409</v>
      </c>
      <c r="C78" s="3"/>
    </row>
    <row r="79" spans="1:8" ht="14.25" hidden="1" x14ac:dyDescent="0.25">
      <c r="A79" s="5" t="s">
        <v>2280</v>
      </c>
      <c r="B79" s="2" t="s">
        <v>2313</v>
      </c>
      <c r="C79" s="3" t="s">
        <v>407</v>
      </c>
      <c r="D79" s="2">
        <f>D10</f>
        <v>0</v>
      </c>
      <c r="E79" s="2">
        <f>E10</f>
        <v>0.5</v>
      </c>
      <c r="F79" s="2">
        <f>F10</f>
        <v>0</v>
      </c>
      <c r="G79" s="2">
        <f>G10</f>
        <v>0.5</v>
      </c>
      <c r="H79" s="2">
        <f>H10</f>
        <v>0</v>
      </c>
    </row>
    <row r="80" spans="1:8" ht="15" hidden="1" x14ac:dyDescent="0.25">
      <c r="A80" s="5" t="s">
        <v>2281</v>
      </c>
      <c r="B80" s="2" t="s">
        <v>2314</v>
      </c>
      <c r="C80" s="3" t="s">
        <v>407</v>
      </c>
      <c r="D80" s="12">
        <f>D41</f>
        <v>0.48899999999999999</v>
      </c>
      <c r="E80" s="12">
        <f>E41</f>
        <v>0.51500000000000001</v>
      </c>
      <c r="F80" s="12">
        <f>F41</f>
        <v>0.51500000000000001</v>
      </c>
      <c r="G80" s="12">
        <f>G41</f>
        <v>0.51500000000000001</v>
      </c>
      <c r="H80" s="12">
        <f>H41</f>
        <v>0.51500000000000001</v>
      </c>
    </row>
    <row r="81" spans="1:8" ht="15" hidden="1" x14ac:dyDescent="0.25">
      <c r="A81" s="5" t="s">
        <v>2479</v>
      </c>
      <c r="B81" s="2" t="s">
        <v>2315</v>
      </c>
      <c r="C81" s="3" t="s">
        <v>407</v>
      </c>
      <c r="D81" s="12">
        <f>D45</f>
        <v>10.87</v>
      </c>
      <c r="E81" s="12">
        <f>E45</f>
        <v>10.87</v>
      </c>
      <c r="F81" s="12">
        <f>F45</f>
        <v>10.87</v>
      </c>
      <c r="G81" s="12">
        <f>G45</f>
        <v>10.87</v>
      </c>
      <c r="H81" s="12">
        <f>H45</f>
        <v>10.87</v>
      </c>
    </row>
    <row r="82" spans="1:8" ht="15" hidden="1" x14ac:dyDescent="0.25">
      <c r="A82" s="5" t="s">
        <v>2282</v>
      </c>
      <c r="B82" s="2" t="s">
        <v>2316</v>
      </c>
      <c r="C82" s="3" t="s">
        <v>407</v>
      </c>
      <c r="D82" s="12">
        <f>D43</f>
        <v>0.309</v>
      </c>
      <c r="E82" s="12">
        <f>E43</f>
        <v>0.51500000000000001</v>
      </c>
      <c r="F82" s="12">
        <f>F43</f>
        <v>0.51500000000000001</v>
      </c>
      <c r="G82" s="12">
        <f>G43</f>
        <v>0.51500000000000001</v>
      </c>
      <c r="H82" s="12">
        <f>H43</f>
        <v>0.51500000000000001</v>
      </c>
    </row>
    <row r="83" spans="1:8" ht="15" hidden="1" x14ac:dyDescent="0.25">
      <c r="A83" s="5" t="s">
        <v>2283</v>
      </c>
      <c r="B83" s="2" t="s">
        <v>2317</v>
      </c>
      <c r="C83" s="3" t="s">
        <v>407</v>
      </c>
      <c r="D83" s="2">
        <f>D13</f>
        <v>0.5</v>
      </c>
      <c r="E83" s="2">
        <f>E13</f>
        <v>0</v>
      </c>
      <c r="F83" s="2">
        <f>F13</f>
        <v>0.5</v>
      </c>
      <c r="G83" s="2">
        <f>G13</f>
        <v>0.5</v>
      </c>
      <c r="H83" s="2">
        <f>H13</f>
        <v>0</v>
      </c>
    </row>
    <row r="84" spans="1:8" ht="14.25" hidden="1" x14ac:dyDescent="0.25">
      <c r="A84" s="37" t="s">
        <v>2347</v>
      </c>
      <c r="B84" s="40" t="s">
        <v>2346</v>
      </c>
      <c r="C84" s="41" t="s">
        <v>407</v>
      </c>
      <c r="D84" s="56">
        <f>SUM(D79:D83)</f>
        <v>12.167999999999999</v>
      </c>
      <c r="E84" s="56">
        <f>SUM(E79:E83)</f>
        <v>12.4</v>
      </c>
      <c r="F84" s="56">
        <f>SUM(F79:F83)</f>
        <v>12.4</v>
      </c>
      <c r="G84" s="56">
        <f>SUM(G79:G83)</f>
        <v>12.9</v>
      </c>
      <c r="H84" s="56">
        <f>SUM(H79:H83)</f>
        <v>11.9</v>
      </c>
    </row>
    <row r="85" spans="1:8" hidden="1" x14ac:dyDescent="0.2">
      <c r="C85" s="3"/>
      <c r="D85" s="12"/>
      <c r="E85" s="12"/>
      <c r="F85" s="12"/>
      <c r="G85" s="12"/>
      <c r="H85" s="12"/>
    </row>
    <row r="86" spans="1:8" hidden="1" x14ac:dyDescent="0.2">
      <c r="A86" s="16" t="s">
        <v>2267</v>
      </c>
      <c r="C86" s="3"/>
      <c r="D86" s="12"/>
      <c r="E86" s="12"/>
      <c r="F86" s="12"/>
      <c r="G86" s="12"/>
      <c r="H86" s="12"/>
    </row>
    <row r="87" spans="1:8" ht="14.25" hidden="1" x14ac:dyDescent="0.25">
      <c r="A87" s="5" t="s">
        <v>2280</v>
      </c>
      <c r="B87" s="2" t="s">
        <v>2308</v>
      </c>
      <c r="C87" s="3" t="s">
        <v>407</v>
      </c>
      <c r="D87" s="2">
        <f>D11</f>
        <v>0</v>
      </c>
      <c r="E87" s="2">
        <f>E11</f>
        <v>10</v>
      </c>
      <c r="F87" s="2">
        <f>F11</f>
        <v>0</v>
      </c>
      <c r="G87" s="2">
        <f>G11</f>
        <v>0.5</v>
      </c>
      <c r="H87" s="2">
        <f>H11</f>
        <v>0</v>
      </c>
    </row>
    <row r="88" spans="1:8" ht="15" hidden="1" x14ac:dyDescent="0.25">
      <c r="A88" s="5" t="s">
        <v>2281</v>
      </c>
      <c r="B88" s="2" t="s">
        <v>2309</v>
      </c>
      <c r="C88" s="3" t="s">
        <v>407</v>
      </c>
      <c r="D88" s="12">
        <f>D42</f>
        <v>8.01</v>
      </c>
      <c r="E88" s="12">
        <f>E42</f>
        <v>8.01</v>
      </c>
      <c r="F88" s="12">
        <f>F42</f>
        <v>8.01</v>
      </c>
      <c r="G88" s="12">
        <f>G42</f>
        <v>8.01</v>
      </c>
      <c r="H88" s="12">
        <f>H42</f>
        <v>8.01</v>
      </c>
    </row>
    <row r="89" spans="1:8" ht="15" hidden="1" x14ac:dyDescent="0.25">
      <c r="A89" s="5" t="s">
        <v>2479</v>
      </c>
      <c r="B89" s="2" t="s">
        <v>2310</v>
      </c>
      <c r="C89" s="3" t="s">
        <v>407</v>
      </c>
      <c r="D89" s="12">
        <f>D40</f>
        <v>0.221</v>
      </c>
      <c r="E89" s="12">
        <f>E40</f>
        <v>0.29499999999999998</v>
      </c>
      <c r="F89" s="12">
        <f>F40</f>
        <v>0.29499999999999998</v>
      </c>
      <c r="G89" s="12">
        <f>G40</f>
        <v>0.29499999999999998</v>
      </c>
      <c r="H89" s="12">
        <f>H40</f>
        <v>0.29499999999999998</v>
      </c>
    </row>
    <row r="90" spans="1:8" ht="15" hidden="1" x14ac:dyDescent="0.25">
      <c r="A90" s="5" t="s">
        <v>2282</v>
      </c>
      <c r="B90" s="2" t="s">
        <v>2311</v>
      </c>
      <c r="C90" s="3" t="s">
        <v>407</v>
      </c>
      <c r="D90" s="12">
        <f>D44</f>
        <v>8.01</v>
      </c>
      <c r="E90" s="12">
        <f>E44</f>
        <v>8.01</v>
      </c>
      <c r="F90" s="12">
        <f>F44</f>
        <v>8.01</v>
      </c>
      <c r="G90" s="12">
        <f>G44</f>
        <v>8.01</v>
      </c>
      <c r="H90" s="12">
        <f>H44</f>
        <v>8.01</v>
      </c>
    </row>
    <row r="91" spans="1:8" ht="15" hidden="1" x14ac:dyDescent="0.25">
      <c r="A91" s="5" t="s">
        <v>2283</v>
      </c>
      <c r="B91" s="2" t="s">
        <v>2312</v>
      </c>
      <c r="C91" s="3" t="s">
        <v>407</v>
      </c>
      <c r="D91" s="2">
        <f>D14</f>
        <v>10</v>
      </c>
      <c r="E91" s="2">
        <f>E14</f>
        <v>0</v>
      </c>
      <c r="F91" s="2">
        <f>F14</f>
        <v>10</v>
      </c>
      <c r="G91" s="2">
        <f>G14</f>
        <v>0.5</v>
      </c>
      <c r="H91" s="2">
        <f>H14</f>
        <v>0</v>
      </c>
    </row>
    <row r="92" spans="1:8" hidden="1" x14ac:dyDescent="0.2">
      <c r="C92" s="3"/>
      <c r="D92" s="12"/>
      <c r="E92" s="12"/>
      <c r="F92" s="12"/>
      <c r="G92" s="12"/>
      <c r="H92" s="12"/>
    </row>
    <row r="93" spans="1:8" hidden="1" x14ac:dyDescent="0.2">
      <c r="A93" s="16" t="s">
        <v>2265</v>
      </c>
      <c r="C93" s="3"/>
      <c r="D93" s="12"/>
      <c r="E93" s="12"/>
      <c r="F93" s="12"/>
      <c r="G93" s="12"/>
      <c r="H93" s="12"/>
    </row>
    <row r="94" spans="1:8" ht="15" hidden="1" x14ac:dyDescent="0.25">
      <c r="A94" s="5" t="s">
        <v>2280</v>
      </c>
      <c r="B94" s="2" t="s">
        <v>2303</v>
      </c>
      <c r="C94" s="3" t="s">
        <v>900</v>
      </c>
      <c r="D94" s="12">
        <f t="shared" ref="D94:E98" si="5">D79*D87</f>
        <v>0</v>
      </c>
      <c r="E94" s="12">
        <f t="shared" si="5"/>
        <v>5</v>
      </c>
      <c r="F94" s="12">
        <f t="shared" ref="F94:G94" si="6">F79*F87</f>
        <v>0</v>
      </c>
      <c r="G94" s="12">
        <f t="shared" si="6"/>
        <v>0.25</v>
      </c>
      <c r="H94" s="12">
        <f t="shared" ref="H94" si="7">H79*H87</f>
        <v>0</v>
      </c>
    </row>
    <row r="95" spans="1:8" ht="15" hidden="1" x14ac:dyDescent="0.25">
      <c r="A95" s="5" t="s">
        <v>2281</v>
      </c>
      <c r="B95" s="2" t="s">
        <v>2304</v>
      </c>
      <c r="C95" s="3" t="s">
        <v>900</v>
      </c>
      <c r="D95" s="12">
        <f t="shared" si="5"/>
        <v>3.91689</v>
      </c>
      <c r="E95" s="12">
        <f t="shared" si="5"/>
        <v>4.1251499999999997</v>
      </c>
      <c r="F95" s="12">
        <f t="shared" ref="F95:G95" si="8">F80*F88</f>
        <v>4.1251499999999997</v>
      </c>
      <c r="G95" s="12">
        <f t="shared" si="8"/>
        <v>4.1251499999999997</v>
      </c>
      <c r="H95" s="12">
        <f t="shared" ref="H95" si="9">H80*H88</f>
        <v>4.1251499999999997</v>
      </c>
    </row>
    <row r="96" spans="1:8" ht="15" hidden="1" x14ac:dyDescent="0.25">
      <c r="A96" s="5" t="s">
        <v>2479</v>
      </c>
      <c r="B96" s="2" t="s">
        <v>2305</v>
      </c>
      <c r="C96" s="3" t="s">
        <v>900</v>
      </c>
      <c r="D96" s="12">
        <f t="shared" si="5"/>
        <v>2.4022699999999997</v>
      </c>
      <c r="E96" s="12">
        <f t="shared" si="5"/>
        <v>3.2066499999999998</v>
      </c>
      <c r="F96" s="12">
        <f t="shared" ref="F96:G96" si="10">F81*F89</f>
        <v>3.2066499999999998</v>
      </c>
      <c r="G96" s="12">
        <f t="shared" si="10"/>
        <v>3.2066499999999998</v>
      </c>
      <c r="H96" s="12">
        <f t="shared" ref="H96" si="11">H81*H89</f>
        <v>3.2066499999999998</v>
      </c>
    </row>
    <row r="97" spans="1:8" ht="15" hidden="1" x14ac:dyDescent="0.25">
      <c r="A97" s="5" t="s">
        <v>2282</v>
      </c>
      <c r="B97" s="2" t="s">
        <v>2306</v>
      </c>
      <c r="C97" s="3" t="s">
        <v>900</v>
      </c>
      <c r="D97" s="12">
        <f t="shared" si="5"/>
        <v>2.4750899999999998</v>
      </c>
      <c r="E97" s="12">
        <f t="shared" si="5"/>
        <v>4.1251499999999997</v>
      </c>
      <c r="F97" s="12">
        <f t="shared" ref="F97:G97" si="12">F82*F90</f>
        <v>4.1251499999999997</v>
      </c>
      <c r="G97" s="12">
        <f t="shared" si="12"/>
        <v>4.1251499999999997</v>
      </c>
      <c r="H97" s="12">
        <f t="shared" ref="H97" si="13">H82*H90</f>
        <v>4.1251499999999997</v>
      </c>
    </row>
    <row r="98" spans="1:8" ht="15" hidden="1" x14ac:dyDescent="0.25">
      <c r="A98" s="5" t="s">
        <v>2283</v>
      </c>
      <c r="B98" s="2" t="s">
        <v>2307</v>
      </c>
      <c r="C98" s="3" t="s">
        <v>900</v>
      </c>
      <c r="D98" s="12">
        <f t="shared" si="5"/>
        <v>5</v>
      </c>
      <c r="E98" s="12">
        <f t="shared" si="5"/>
        <v>0</v>
      </c>
      <c r="F98" s="12">
        <f t="shared" ref="F98:G98" si="14">F83*F91</f>
        <v>5</v>
      </c>
      <c r="G98" s="12">
        <f t="shared" si="14"/>
        <v>0.25</v>
      </c>
      <c r="H98" s="12">
        <f t="shared" ref="H98" si="15">H83*H91</f>
        <v>0</v>
      </c>
    </row>
    <row r="99" spans="1:8" ht="15" hidden="1" x14ac:dyDescent="0.25">
      <c r="A99" s="37" t="s">
        <v>2345</v>
      </c>
      <c r="B99" s="40" t="s">
        <v>2344</v>
      </c>
      <c r="C99" s="41" t="s">
        <v>2068</v>
      </c>
      <c r="D99" s="56">
        <f>SUM(D94:D98)</f>
        <v>13.79425</v>
      </c>
      <c r="E99" s="56">
        <f>SUM(E94:E98)</f>
        <v>16.456949999999999</v>
      </c>
      <c r="F99" s="56">
        <f>SUM(F94:F98)</f>
        <v>16.456949999999999</v>
      </c>
      <c r="G99" s="56">
        <f>SUM(G94:G98)</f>
        <v>11.956949999999999</v>
      </c>
      <c r="H99" s="56">
        <f>SUM(H94:H98)</f>
        <v>11.456949999999999</v>
      </c>
    </row>
    <row r="100" spans="1:8" hidden="1" x14ac:dyDescent="0.2">
      <c r="C100" s="3"/>
      <c r="D100" s="12"/>
      <c r="E100" s="12"/>
      <c r="F100" s="12"/>
      <c r="G100" s="12"/>
      <c r="H100" s="12"/>
    </row>
    <row r="101" spans="1:8" hidden="1" x14ac:dyDescent="0.2">
      <c r="A101" s="16" t="s">
        <v>2292</v>
      </c>
      <c r="C101" s="3"/>
      <c r="D101" s="12"/>
      <c r="E101" s="12"/>
      <c r="F101" s="12"/>
      <c r="G101" s="12"/>
      <c r="H101" s="12"/>
    </row>
    <row r="102" spans="1:8" ht="14.25" hidden="1" x14ac:dyDescent="0.25">
      <c r="A102" s="5" t="s">
        <v>2280</v>
      </c>
      <c r="B102" s="2" t="s">
        <v>1686</v>
      </c>
      <c r="C102" s="3" t="s">
        <v>407</v>
      </c>
      <c r="D102" s="2">
        <f>D79/2</f>
        <v>0</v>
      </c>
      <c r="E102" s="2">
        <f>E79/2</f>
        <v>0.25</v>
      </c>
      <c r="F102" s="2">
        <f>F79/2</f>
        <v>0</v>
      </c>
      <c r="G102" s="2">
        <f>G79/2</f>
        <v>0.25</v>
      </c>
      <c r="H102" s="2">
        <f>H79/2</f>
        <v>0</v>
      </c>
    </row>
    <row r="103" spans="1:8" ht="15" hidden="1" x14ac:dyDescent="0.25">
      <c r="A103" s="5" t="s">
        <v>2281</v>
      </c>
      <c r="B103" s="2" t="s">
        <v>2299</v>
      </c>
      <c r="C103" s="3" t="s">
        <v>407</v>
      </c>
      <c r="D103" s="2">
        <f>D79+D80/2</f>
        <v>0.2445</v>
      </c>
      <c r="E103" s="2">
        <f>E79+E80/2</f>
        <v>0.75750000000000006</v>
      </c>
      <c r="F103" s="2">
        <f>F79+F80/2</f>
        <v>0.25750000000000001</v>
      </c>
      <c r="G103" s="2">
        <f>G79+G80/2</f>
        <v>0.75750000000000006</v>
      </c>
      <c r="H103" s="2">
        <f>H79+H80/2</f>
        <v>0.25750000000000001</v>
      </c>
    </row>
    <row r="104" spans="1:8" ht="15" hidden="1" x14ac:dyDescent="0.25">
      <c r="A104" s="5" t="s">
        <v>2479</v>
      </c>
      <c r="B104" s="2" t="s">
        <v>2300</v>
      </c>
      <c r="C104" s="3" t="s">
        <v>407</v>
      </c>
      <c r="D104" s="2">
        <f>D79+D80+D81/2</f>
        <v>5.9239999999999995</v>
      </c>
      <c r="E104" s="2">
        <f>E79+E80+E81/2</f>
        <v>6.4499999999999993</v>
      </c>
      <c r="F104" s="2">
        <f>F79+F80+F81/2</f>
        <v>5.9499999999999993</v>
      </c>
      <c r="G104" s="2">
        <f>G79+G80+G81/2</f>
        <v>6.4499999999999993</v>
      </c>
      <c r="H104" s="2">
        <f>H79+H80+H81/2</f>
        <v>5.9499999999999993</v>
      </c>
    </row>
    <row r="105" spans="1:8" ht="15" hidden="1" x14ac:dyDescent="0.25">
      <c r="A105" s="5" t="s">
        <v>2282</v>
      </c>
      <c r="B105" s="2" t="s">
        <v>2301</v>
      </c>
      <c r="C105" s="3" t="s">
        <v>407</v>
      </c>
      <c r="D105" s="2">
        <f>D79+D80+D81+D82/2</f>
        <v>11.513500000000001</v>
      </c>
      <c r="E105" s="2">
        <f>E79+E80+E81+E82/2</f>
        <v>12.1425</v>
      </c>
      <c r="F105" s="2">
        <f>F79+F80+F81+F82/2</f>
        <v>11.6425</v>
      </c>
      <c r="G105" s="2">
        <f>G79+G80+G81+G82/2</f>
        <v>12.1425</v>
      </c>
      <c r="H105" s="2">
        <f>H79+H80+H81+H82/2</f>
        <v>11.6425</v>
      </c>
    </row>
    <row r="106" spans="1:8" ht="15" hidden="1" x14ac:dyDescent="0.25">
      <c r="A106" s="5" t="s">
        <v>2283</v>
      </c>
      <c r="B106" s="2" t="s">
        <v>2302</v>
      </c>
      <c r="C106" s="3" t="s">
        <v>407</v>
      </c>
      <c r="D106" s="2">
        <f>D79+D80+D81+D82+D83/2</f>
        <v>11.917999999999999</v>
      </c>
      <c r="E106" s="2">
        <f>E79+E80+E81+E82+E83/2</f>
        <v>12.4</v>
      </c>
      <c r="F106" s="2">
        <f>F79+F80+F81+F82+F83/2</f>
        <v>12.15</v>
      </c>
      <c r="G106" s="2">
        <f>G79+G80+G81+G82+G83/2</f>
        <v>12.65</v>
      </c>
      <c r="H106" s="2">
        <f>H79+H80+H81+H82+H83/2</f>
        <v>11.9</v>
      </c>
    </row>
    <row r="107" spans="1:8" hidden="1" x14ac:dyDescent="0.2">
      <c r="C107" s="3"/>
      <c r="D107" s="12"/>
      <c r="E107" s="12"/>
      <c r="F107" s="12"/>
      <c r="G107" s="12"/>
      <c r="H107" s="12"/>
    </row>
    <row r="108" spans="1:8" hidden="1" x14ac:dyDescent="0.2">
      <c r="A108" s="16" t="s">
        <v>2293</v>
      </c>
      <c r="C108" s="3"/>
      <c r="D108" s="12"/>
      <c r="E108" s="12"/>
      <c r="F108" s="12"/>
      <c r="G108" s="12"/>
      <c r="H108" s="12"/>
    </row>
    <row r="109" spans="1:8" ht="15" hidden="1" x14ac:dyDescent="0.25">
      <c r="A109" s="5" t="s">
        <v>2280</v>
      </c>
      <c r="B109" s="2" t="s">
        <v>2318</v>
      </c>
      <c r="C109" s="3" t="s">
        <v>906</v>
      </c>
      <c r="D109" s="10">
        <f t="shared" ref="D109:E113" si="16">D94*D102</f>
        <v>0</v>
      </c>
      <c r="E109" s="10">
        <f t="shared" si="16"/>
        <v>1.25</v>
      </c>
      <c r="F109" s="10">
        <f t="shared" ref="F109:G109" si="17">F94*F102</f>
        <v>0</v>
      </c>
      <c r="G109" s="10">
        <f t="shared" si="17"/>
        <v>6.25E-2</v>
      </c>
      <c r="H109" s="10">
        <f t="shared" ref="H109" si="18">H94*H102</f>
        <v>0</v>
      </c>
    </row>
    <row r="110" spans="1:8" ht="15" hidden="1" x14ac:dyDescent="0.25">
      <c r="A110" s="5" t="s">
        <v>2281</v>
      </c>
      <c r="B110" s="2" t="s">
        <v>2319</v>
      </c>
      <c r="C110" s="3" t="s">
        <v>906</v>
      </c>
      <c r="D110" s="10">
        <f t="shared" si="16"/>
        <v>0.95767960499999993</v>
      </c>
      <c r="E110" s="10">
        <f t="shared" si="16"/>
        <v>3.1248011249999998</v>
      </c>
      <c r="F110" s="10">
        <f t="shared" ref="F110:G110" si="19">F95*F103</f>
        <v>1.062226125</v>
      </c>
      <c r="G110" s="10">
        <f t="shared" si="19"/>
        <v>3.1248011249999998</v>
      </c>
      <c r="H110" s="10">
        <f t="shared" ref="H110" si="20">H95*H103</f>
        <v>1.062226125</v>
      </c>
    </row>
    <row r="111" spans="1:8" ht="15" hidden="1" x14ac:dyDescent="0.25">
      <c r="A111" s="5" t="s">
        <v>2479</v>
      </c>
      <c r="B111" s="2" t="s">
        <v>2320</v>
      </c>
      <c r="C111" s="3" t="s">
        <v>2289</v>
      </c>
      <c r="D111" s="10">
        <f t="shared" si="16"/>
        <v>14.231047479999997</v>
      </c>
      <c r="E111" s="10">
        <f t="shared" si="16"/>
        <v>20.682892499999998</v>
      </c>
      <c r="F111" s="10">
        <f t="shared" ref="F111:G111" si="21">F96*F104</f>
        <v>19.079567499999996</v>
      </c>
      <c r="G111" s="10">
        <f t="shared" si="21"/>
        <v>20.682892499999998</v>
      </c>
      <c r="H111" s="10">
        <f t="shared" ref="H111" si="22">H96*H104</f>
        <v>19.079567499999996</v>
      </c>
    </row>
    <row r="112" spans="1:8" ht="15" hidden="1" x14ac:dyDescent="0.25">
      <c r="A112" s="5" t="s">
        <v>2282</v>
      </c>
      <c r="B112" s="2" t="s">
        <v>2321</v>
      </c>
      <c r="C112" s="3" t="s">
        <v>2289</v>
      </c>
      <c r="D112" s="10">
        <f t="shared" si="16"/>
        <v>28.496948714999998</v>
      </c>
      <c r="E112" s="10">
        <f t="shared" si="16"/>
        <v>50.089633874999997</v>
      </c>
      <c r="F112" s="10">
        <f t="shared" ref="F112:G112" si="23">F97*F105</f>
        <v>48.027058874999994</v>
      </c>
      <c r="G112" s="10">
        <f t="shared" si="23"/>
        <v>50.089633874999997</v>
      </c>
      <c r="H112" s="10">
        <f t="shared" ref="H112" si="24">H97*H105</f>
        <v>48.027058874999994</v>
      </c>
    </row>
    <row r="113" spans="1:8" ht="15" hidden="1" x14ac:dyDescent="0.25">
      <c r="A113" s="5" t="s">
        <v>2283</v>
      </c>
      <c r="B113" s="2" t="s">
        <v>2322</v>
      </c>
      <c r="C113" s="3" t="s">
        <v>2289</v>
      </c>
      <c r="D113" s="10">
        <f t="shared" si="16"/>
        <v>59.589999999999996</v>
      </c>
      <c r="E113" s="10">
        <f t="shared" si="16"/>
        <v>0</v>
      </c>
      <c r="F113" s="10">
        <f t="shared" ref="F113:G113" si="25">F98*F106</f>
        <v>60.75</v>
      </c>
      <c r="G113" s="10">
        <f t="shared" si="25"/>
        <v>3.1625000000000001</v>
      </c>
      <c r="H113" s="10">
        <f t="shared" ref="H113" si="26">H98*H106</f>
        <v>0</v>
      </c>
    </row>
    <row r="114" spans="1:8" ht="15" hidden="1" x14ac:dyDescent="0.2">
      <c r="A114" s="5" t="s">
        <v>2266</v>
      </c>
      <c r="B114" s="2" t="s">
        <v>2290</v>
      </c>
      <c r="C114" s="3" t="s">
        <v>2289</v>
      </c>
      <c r="D114" s="63">
        <f>SUM(D109:D113)</f>
        <v>103.27567579999999</v>
      </c>
      <c r="E114" s="63">
        <f>SUM(E109:E113)</f>
        <v>75.147327499999989</v>
      </c>
      <c r="F114" s="63">
        <f>SUM(F109:F113)</f>
        <v>128.91885249999999</v>
      </c>
      <c r="G114" s="63">
        <f>SUM(G109:G113)</f>
        <v>77.122327499999983</v>
      </c>
      <c r="H114" s="63">
        <f>SUM(H109:H113)</f>
        <v>68.168852499999986</v>
      </c>
    </row>
    <row r="115" spans="1:8" hidden="1" x14ac:dyDescent="0.2"/>
    <row r="116" spans="1:8" ht="14.25" hidden="1" x14ac:dyDescent="0.25">
      <c r="A116" s="37" t="s">
        <v>2387</v>
      </c>
      <c r="B116" s="40" t="s">
        <v>1777</v>
      </c>
      <c r="C116" s="41" t="s">
        <v>407</v>
      </c>
      <c r="D116" s="56">
        <f>D114/D99</f>
        <v>7.4868641499175377</v>
      </c>
      <c r="E116" s="56">
        <f>E114/E99</f>
        <v>4.5662973698042464</v>
      </c>
      <c r="F116" s="56">
        <f>F114/F99</f>
        <v>7.8337026301957531</v>
      </c>
      <c r="G116" s="56">
        <f>G114/G99</f>
        <v>6.4499999999999993</v>
      </c>
      <c r="H116" s="56">
        <f>H114/H99</f>
        <v>5.9499999999999993</v>
      </c>
    </row>
    <row r="117" spans="1:8" ht="14.25" hidden="1" x14ac:dyDescent="0.25">
      <c r="A117" s="13" t="s">
        <v>2388</v>
      </c>
      <c r="B117" s="14" t="s">
        <v>2264</v>
      </c>
      <c r="C117" s="3" t="s">
        <v>407</v>
      </c>
      <c r="D117" s="12">
        <f>D84-D116</f>
        <v>4.6811358500824616</v>
      </c>
      <c r="E117" s="12">
        <f>E84-E116</f>
        <v>7.833702630195754</v>
      </c>
      <c r="F117" s="12">
        <f>F84-F116</f>
        <v>4.5662973698042473</v>
      </c>
      <c r="G117" s="12">
        <f>G84-G116</f>
        <v>6.4500000000000011</v>
      </c>
      <c r="H117" s="12">
        <f>H84-H116</f>
        <v>5.9500000000000011</v>
      </c>
    </row>
    <row r="118" spans="1:8" hidden="1" x14ac:dyDescent="0.2"/>
    <row r="119" spans="1:8" hidden="1" x14ac:dyDescent="0.2">
      <c r="A119" s="16" t="s">
        <v>2328</v>
      </c>
    </row>
    <row r="120" spans="1:8" ht="15" hidden="1" x14ac:dyDescent="0.25">
      <c r="A120" s="5" t="s">
        <v>2280</v>
      </c>
      <c r="B120" s="2" t="s">
        <v>947</v>
      </c>
      <c r="C120" s="3" t="s">
        <v>873</v>
      </c>
      <c r="D120" s="10">
        <f t="shared" ref="D120:E124" si="27">(D87*D79^3)/12</f>
        <v>0</v>
      </c>
      <c r="E120" s="10">
        <f t="shared" si="27"/>
        <v>0.10416666666666667</v>
      </c>
      <c r="F120" s="10">
        <f t="shared" ref="F120:G120" si="28">(F87*F79^3)/12</f>
        <v>0</v>
      </c>
      <c r="G120" s="10">
        <f t="shared" si="28"/>
        <v>5.208333333333333E-3</v>
      </c>
      <c r="H120" s="10">
        <f t="shared" ref="H120" si="29">(H87*H79^3)/12</f>
        <v>0</v>
      </c>
    </row>
    <row r="121" spans="1:8" ht="15" hidden="1" x14ac:dyDescent="0.25">
      <c r="A121" s="5" t="s">
        <v>2281</v>
      </c>
      <c r="B121" s="2" t="s">
        <v>2294</v>
      </c>
      <c r="C121" s="3" t="s">
        <v>873</v>
      </c>
      <c r="D121" s="10">
        <f t="shared" si="27"/>
        <v>7.8050887807499997E-2</v>
      </c>
      <c r="E121" s="10">
        <f t="shared" si="27"/>
        <v>9.1174409062500003E-2</v>
      </c>
      <c r="F121" s="10">
        <f t="shared" ref="F121:G121" si="30">(F88*F80^3)/12</f>
        <v>9.1174409062500003E-2</v>
      </c>
      <c r="G121" s="10">
        <f t="shared" si="30"/>
        <v>9.1174409062500003E-2</v>
      </c>
      <c r="H121" s="10">
        <f t="shared" ref="H121" si="31">(H88*H80^3)/12</f>
        <v>9.1174409062500003E-2</v>
      </c>
    </row>
    <row r="122" spans="1:8" ht="15" hidden="1" x14ac:dyDescent="0.25">
      <c r="A122" s="5" t="s">
        <v>2479</v>
      </c>
      <c r="B122" s="2" t="s">
        <v>2295</v>
      </c>
      <c r="C122" s="3" t="s">
        <v>873</v>
      </c>
      <c r="D122" s="10">
        <f t="shared" si="27"/>
        <v>23.653731346916661</v>
      </c>
      <c r="E122" s="10">
        <f t="shared" si="27"/>
        <v>31.573985282083328</v>
      </c>
      <c r="F122" s="10">
        <f t="shared" ref="F122:G122" si="32">(F89*F81^3)/12</f>
        <v>31.573985282083328</v>
      </c>
      <c r="G122" s="10">
        <f t="shared" si="32"/>
        <v>31.573985282083328</v>
      </c>
      <c r="H122" s="10">
        <f t="shared" ref="H122" si="33">(H89*H81^3)/12</f>
        <v>31.573985282083328</v>
      </c>
    </row>
    <row r="123" spans="1:8" ht="15" hidden="1" x14ac:dyDescent="0.25">
      <c r="A123" s="5" t="s">
        <v>2282</v>
      </c>
      <c r="B123" s="2" t="s">
        <v>2296</v>
      </c>
      <c r="C123" s="3" t="s">
        <v>873</v>
      </c>
      <c r="D123" s="10">
        <f t="shared" si="27"/>
        <v>1.9693672357500001E-2</v>
      </c>
      <c r="E123" s="10">
        <f t="shared" si="27"/>
        <v>9.1174409062500003E-2</v>
      </c>
      <c r="F123" s="10">
        <f t="shared" ref="F123:G123" si="34">(F90*F82^3)/12</f>
        <v>9.1174409062500003E-2</v>
      </c>
      <c r="G123" s="10">
        <f t="shared" si="34"/>
        <v>9.1174409062500003E-2</v>
      </c>
      <c r="H123" s="10">
        <f t="shared" ref="H123" si="35">(H90*H82^3)/12</f>
        <v>9.1174409062500003E-2</v>
      </c>
    </row>
    <row r="124" spans="1:8" ht="15" hidden="1" x14ac:dyDescent="0.25">
      <c r="A124" s="5" t="s">
        <v>2283</v>
      </c>
      <c r="B124" s="2" t="s">
        <v>2297</v>
      </c>
      <c r="C124" s="3" t="s">
        <v>873</v>
      </c>
      <c r="D124" s="10">
        <f t="shared" si="27"/>
        <v>0.10416666666666667</v>
      </c>
      <c r="E124" s="10">
        <f t="shared" si="27"/>
        <v>0</v>
      </c>
      <c r="F124" s="10">
        <f t="shared" ref="F124:G124" si="36">(F91*F83^3)/12</f>
        <v>0.10416666666666667</v>
      </c>
      <c r="G124" s="10">
        <f t="shared" si="36"/>
        <v>5.208333333333333E-3</v>
      </c>
      <c r="H124" s="10">
        <f t="shared" ref="H124" si="37">(H91*H83^3)/12</f>
        <v>0</v>
      </c>
    </row>
    <row r="125" spans="1:8" ht="15" hidden="1" x14ac:dyDescent="0.25">
      <c r="A125" s="5" t="s">
        <v>2266</v>
      </c>
      <c r="B125" s="34" t="s">
        <v>2298</v>
      </c>
      <c r="C125" s="3" t="s">
        <v>873</v>
      </c>
      <c r="D125" s="63">
        <f>SUM(D120:D124)</f>
        <v>23.85564257374833</v>
      </c>
      <c r="E125" s="63">
        <f>SUM(E120:E124)</f>
        <v>31.860500766874996</v>
      </c>
      <c r="F125" s="63">
        <f>SUM(F120:F124)</f>
        <v>31.860500766874996</v>
      </c>
      <c r="G125" s="63">
        <f>SUM(G120:G124)</f>
        <v>31.766750766874992</v>
      </c>
      <c r="H125" s="63">
        <f>SUM(H120:H124)</f>
        <v>31.756334100208328</v>
      </c>
    </row>
    <row r="126" spans="1:8" hidden="1" x14ac:dyDescent="0.2"/>
    <row r="127" spans="1:8" ht="14.25" hidden="1" x14ac:dyDescent="0.25">
      <c r="A127" s="16" t="s">
        <v>2323</v>
      </c>
    </row>
    <row r="128" spans="1:8" ht="14.25" hidden="1" x14ac:dyDescent="0.25">
      <c r="A128" s="5" t="s">
        <v>2280</v>
      </c>
      <c r="B128" s="2" t="s">
        <v>1704</v>
      </c>
      <c r="C128" s="3" t="s">
        <v>407</v>
      </c>
      <c r="D128" s="10">
        <f t="shared" ref="D128:E132" si="38">D$116-D102</f>
        <v>7.4868641499175377</v>
      </c>
      <c r="E128" s="10">
        <f t="shared" si="38"/>
        <v>4.3162973698042464</v>
      </c>
      <c r="F128" s="10">
        <f t="shared" ref="F128:G128" si="39">F$116-F102</f>
        <v>7.8337026301957531</v>
      </c>
      <c r="G128" s="10">
        <f t="shared" si="39"/>
        <v>6.1999999999999993</v>
      </c>
      <c r="H128" s="10">
        <f t="shared" ref="H128" si="40">H$116-H102</f>
        <v>5.9499999999999993</v>
      </c>
    </row>
    <row r="129" spans="1:8" ht="15" hidden="1" x14ac:dyDescent="0.25">
      <c r="A129" s="5" t="s">
        <v>2281</v>
      </c>
      <c r="B129" s="2" t="s">
        <v>2324</v>
      </c>
      <c r="C129" s="3" t="s">
        <v>407</v>
      </c>
      <c r="D129" s="10">
        <f t="shared" si="38"/>
        <v>7.2423641499175373</v>
      </c>
      <c r="E129" s="10">
        <f t="shared" si="38"/>
        <v>3.8087973698042461</v>
      </c>
      <c r="F129" s="10">
        <f t="shared" ref="F129:G129" si="41">F$116-F103</f>
        <v>7.5762026301957528</v>
      </c>
      <c r="G129" s="10">
        <f t="shared" si="41"/>
        <v>5.692499999999999</v>
      </c>
      <c r="H129" s="10">
        <f t="shared" ref="H129" si="42">H$116-H103</f>
        <v>5.692499999999999</v>
      </c>
    </row>
    <row r="130" spans="1:8" ht="15" hidden="1" x14ac:dyDescent="0.25">
      <c r="A130" s="5" t="s">
        <v>2479</v>
      </c>
      <c r="B130" s="2" t="s">
        <v>2325</v>
      </c>
      <c r="C130" s="3" t="s">
        <v>407</v>
      </c>
      <c r="D130" s="10">
        <f t="shared" si="38"/>
        <v>1.5628641499175382</v>
      </c>
      <c r="E130" s="10">
        <f t="shared" si="38"/>
        <v>-1.8837026301957529</v>
      </c>
      <c r="F130" s="10">
        <f t="shared" ref="F130:G130" si="43">F$116-F104</f>
        <v>1.8837026301957538</v>
      </c>
      <c r="G130" s="10">
        <f t="shared" si="43"/>
        <v>0</v>
      </c>
      <c r="H130" s="10">
        <f t="shared" ref="H130" si="44">H$116-H104</f>
        <v>0</v>
      </c>
    </row>
    <row r="131" spans="1:8" ht="15" hidden="1" x14ac:dyDescent="0.25">
      <c r="A131" s="5" t="s">
        <v>2282</v>
      </c>
      <c r="B131" s="2" t="s">
        <v>2326</v>
      </c>
      <c r="C131" s="3" t="s">
        <v>407</v>
      </c>
      <c r="D131" s="10">
        <f t="shared" si="38"/>
        <v>-4.0266358500824628</v>
      </c>
      <c r="E131" s="10">
        <f t="shared" si="38"/>
        <v>-7.5762026301957537</v>
      </c>
      <c r="F131" s="10">
        <f t="shared" ref="F131:G131" si="45">F$116-F105</f>
        <v>-3.808797369804247</v>
      </c>
      <c r="G131" s="10">
        <f t="shared" si="45"/>
        <v>-5.6925000000000008</v>
      </c>
      <c r="H131" s="10">
        <f t="shared" ref="H131" si="46">H$116-H105</f>
        <v>-5.6925000000000008</v>
      </c>
    </row>
    <row r="132" spans="1:8" ht="15" hidden="1" x14ac:dyDescent="0.25">
      <c r="A132" s="5" t="s">
        <v>2283</v>
      </c>
      <c r="B132" s="2" t="s">
        <v>2327</v>
      </c>
      <c r="C132" s="3" t="s">
        <v>407</v>
      </c>
      <c r="D132" s="10">
        <f t="shared" si="38"/>
        <v>-4.4311358500824616</v>
      </c>
      <c r="E132" s="10">
        <f t="shared" si="38"/>
        <v>-7.833702630195754</v>
      </c>
      <c r="F132" s="10">
        <f t="shared" ref="F132:G132" si="47">F$116-F106</f>
        <v>-4.3162973698042473</v>
      </c>
      <c r="G132" s="10">
        <f t="shared" si="47"/>
        <v>-6.2000000000000011</v>
      </c>
      <c r="H132" s="10">
        <f t="shared" ref="H132" si="48">H$116-H106</f>
        <v>-5.9500000000000011</v>
      </c>
    </row>
    <row r="133" spans="1:8" hidden="1" x14ac:dyDescent="0.2"/>
    <row r="134" spans="1:8" hidden="1" x14ac:dyDescent="0.2">
      <c r="A134" s="16" t="s">
        <v>2330</v>
      </c>
      <c r="D134" s="4"/>
      <c r="E134" s="4"/>
      <c r="F134" s="4"/>
      <c r="G134" s="4"/>
      <c r="H134" s="4"/>
    </row>
    <row r="135" spans="1:8" ht="15.75" hidden="1" x14ac:dyDescent="0.25">
      <c r="A135" s="5" t="s">
        <v>2280</v>
      </c>
      <c r="B135" s="2" t="s">
        <v>2336</v>
      </c>
      <c r="C135" s="3" t="s">
        <v>873</v>
      </c>
      <c r="D135" s="10">
        <f t="shared" ref="D135:E139" si="49">D94*D128^2</f>
        <v>0</v>
      </c>
      <c r="E135" s="10">
        <f t="shared" si="49"/>
        <v>93.152114922895279</v>
      </c>
      <c r="F135" s="10">
        <f t="shared" ref="F135:G135" si="50">F94*F128^2</f>
        <v>0</v>
      </c>
      <c r="G135" s="10">
        <f t="shared" si="50"/>
        <v>9.6099999999999977</v>
      </c>
      <c r="H135" s="10">
        <f t="shared" ref="H135" si="51">H94*H128^2</f>
        <v>0</v>
      </c>
    </row>
    <row r="136" spans="1:8" ht="15.75" hidden="1" x14ac:dyDescent="0.25">
      <c r="A136" s="5" t="s">
        <v>2281</v>
      </c>
      <c r="B136" s="2" t="s">
        <v>2335</v>
      </c>
      <c r="C136" s="3" t="s">
        <v>873</v>
      </c>
      <c r="D136" s="10">
        <f t="shared" si="49"/>
        <v>205.44808162396939</v>
      </c>
      <c r="E136" s="10">
        <f t="shared" si="49"/>
        <v>59.843292833050072</v>
      </c>
      <c r="F136" s="10">
        <f t="shared" ref="F136:G136" si="52">F95*F129^2</f>
        <v>236.77885078880735</v>
      </c>
      <c r="G136" s="10">
        <f t="shared" si="52"/>
        <v>133.67365521468744</v>
      </c>
      <c r="H136" s="10">
        <f t="shared" ref="H136" si="53">H95*H129^2</f>
        <v>133.67365521468744</v>
      </c>
    </row>
    <row r="137" spans="1:8" ht="15.75" hidden="1" x14ac:dyDescent="0.25">
      <c r="A137" s="5" t="s">
        <v>2479</v>
      </c>
      <c r="B137" s="2" t="s">
        <v>2334</v>
      </c>
      <c r="C137" s="3" t="s">
        <v>873</v>
      </c>
      <c r="D137" s="10">
        <f t="shared" si="49"/>
        <v>5.8676510183109167</v>
      </c>
      <c r="E137" s="10">
        <f t="shared" si="49"/>
        <v>11.378270348553864</v>
      </c>
      <c r="F137" s="10">
        <f t="shared" ref="F137:G137" si="54">F96*F130^2</f>
        <v>11.378270348553874</v>
      </c>
      <c r="G137" s="10">
        <f t="shared" si="54"/>
        <v>0</v>
      </c>
      <c r="H137" s="10">
        <f t="shared" ref="H137" si="55">H96*H130^2</f>
        <v>0</v>
      </c>
    </row>
    <row r="138" spans="1:8" ht="15.75" hidden="1" x14ac:dyDescent="0.25">
      <c r="A138" s="5" t="s">
        <v>2282</v>
      </c>
      <c r="B138" s="2" t="s">
        <v>2333</v>
      </c>
      <c r="C138" s="3" t="s">
        <v>873</v>
      </c>
      <c r="D138" s="10">
        <f t="shared" si="49"/>
        <v>40.130605007858286</v>
      </c>
      <c r="E138" s="10">
        <f t="shared" si="49"/>
        <v>236.7788507888074</v>
      </c>
      <c r="F138" s="10">
        <f t="shared" ref="F138:G138" si="56">F97*F131^2</f>
        <v>59.8432928330501</v>
      </c>
      <c r="G138" s="10">
        <f t="shared" si="56"/>
        <v>133.6736552146875</v>
      </c>
      <c r="H138" s="10">
        <f t="shared" ref="H138" si="57">H97*H131^2</f>
        <v>133.6736552146875</v>
      </c>
    </row>
    <row r="139" spans="1:8" ht="15.75" hidden="1" x14ac:dyDescent="0.25">
      <c r="A139" s="5" t="s">
        <v>2283</v>
      </c>
      <c r="B139" s="2" t="s">
        <v>2332</v>
      </c>
      <c r="C139" s="3" t="s">
        <v>873</v>
      </c>
      <c r="D139" s="10">
        <f t="shared" si="49"/>
        <v>98.174824609430104</v>
      </c>
      <c r="E139" s="10">
        <f t="shared" si="49"/>
        <v>0</v>
      </c>
      <c r="F139" s="10">
        <f t="shared" ref="F139:G139" si="58">F98*F132^2</f>
        <v>93.152114922895322</v>
      </c>
      <c r="G139" s="10">
        <f t="shared" si="58"/>
        <v>9.610000000000003</v>
      </c>
      <c r="H139" s="10">
        <f t="shared" ref="H139" si="59">H98*H132^2</f>
        <v>0</v>
      </c>
    </row>
    <row r="140" spans="1:8" ht="15" hidden="1" x14ac:dyDescent="0.2">
      <c r="A140" s="5" t="s">
        <v>2266</v>
      </c>
      <c r="B140" s="2" t="s">
        <v>2329</v>
      </c>
      <c r="C140" s="3" t="s">
        <v>873</v>
      </c>
      <c r="D140" s="63">
        <f>SUM(D135:D139)</f>
        <v>349.62116225956868</v>
      </c>
      <c r="E140" s="63">
        <f>SUM(E135:E139)</f>
        <v>401.15252889330657</v>
      </c>
      <c r="F140" s="63">
        <f>SUM(F135:F139)</f>
        <v>401.15252889330668</v>
      </c>
      <c r="G140" s="63">
        <f>SUM(G135:G139)</f>
        <v>286.56731042937497</v>
      </c>
      <c r="H140" s="63">
        <f>SUM(H135:H139)</f>
        <v>267.34731042937494</v>
      </c>
    </row>
    <row r="141" spans="1:8" hidden="1" x14ac:dyDescent="0.2"/>
    <row r="142" spans="1:8" hidden="1" x14ac:dyDescent="0.2">
      <c r="A142" s="16" t="s">
        <v>2348</v>
      </c>
    </row>
    <row r="143" spans="1:8" ht="15.75" hidden="1" x14ac:dyDescent="0.25">
      <c r="A143" s="5" t="s">
        <v>2280</v>
      </c>
      <c r="B143" s="2" t="s">
        <v>2331</v>
      </c>
      <c r="C143" s="3" t="s">
        <v>873</v>
      </c>
      <c r="D143" s="10">
        <f t="shared" ref="D143:E147" si="60">D120+D135</f>
        <v>0</v>
      </c>
      <c r="E143" s="10">
        <f t="shared" si="60"/>
        <v>93.256281589561951</v>
      </c>
      <c r="F143" s="10">
        <f t="shared" ref="F143:G143" si="61">F120+F135</f>
        <v>0</v>
      </c>
      <c r="G143" s="10">
        <f t="shared" si="61"/>
        <v>9.6152083333333316</v>
      </c>
      <c r="H143" s="10">
        <f t="shared" ref="H143" si="62">H120+H135</f>
        <v>0</v>
      </c>
    </row>
    <row r="144" spans="1:8" ht="15.75" hidden="1" x14ac:dyDescent="0.25">
      <c r="A144" s="5" t="s">
        <v>2281</v>
      </c>
      <c r="B144" s="2" t="s">
        <v>2340</v>
      </c>
      <c r="C144" s="3" t="s">
        <v>873</v>
      </c>
      <c r="D144" s="10">
        <f t="shared" si="60"/>
        <v>205.52613251177689</v>
      </c>
      <c r="E144" s="10">
        <f t="shared" si="60"/>
        <v>59.934467242112575</v>
      </c>
      <c r="F144" s="10">
        <f t="shared" ref="F144:G144" si="63">F121+F136</f>
        <v>236.87002519786984</v>
      </c>
      <c r="G144" s="10">
        <f t="shared" si="63"/>
        <v>133.76482962374993</v>
      </c>
      <c r="H144" s="10">
        <f t="shared" ref="H144" si="64">H121+H136</f>
        <v>133.76482962374993</v>
      </c>
    </row>
    <row r="145" spans="1:8" ht="15.75" hidden="1" x14ac:dyDescent="0.25">
      <c r="A145" s="5" t="s">
        <v>2479</v>
      </c>
      <c r="B145" s="2" t="s">
        <v>2339</v>
      </c>
      <c r="C145" s="3" t="s">
        <v>873</v>
      </c>
      <c r="D145" s="10">
        <f t="shared" si="60"/>
        <v>29.521382365227577</v>
      </c>
      <c r="E145" s="10">
        <f t="shared" si="60"/>
        <v>42.95225563063719</v>
      </c>
      <c r="F145" s="10">
        <f t="shared" ref="F145:G145" si="65">F122+F137</f>
        <v>42.952255630637204</v>
      </c>
      <c r="G145" s="10">
        <f t="shared" si="65"/>
        <v>31.573985282083328</v>
      </c>
      <c r="H145" s="10">
        <f t="shared" ref="H145" si="66">H122+H137</f>
        <v>31.573985282083328</v>
      </c>
    </row>
    <row r="146" spans="1:8" ht="15.75" hidden="1" x14ac:dyDescent="0.25">
      <c r="A146" s="5" t="s">
        <v>2282</v>
      </c>
      <c r="B146" s="2" t="s">
        <v>2338</v>
      </c>
      <c r="C146" s="3" t="s">
        <v>873</v>
      </c>
      <c r="D146" s="10">
        <f t="shared" si="60"/>
        <v>40.150298680215784</v>
      </c>
      <c r="E146" s="10">
        <f t="shared" si="60"/>
        <v>236.87002519786989</v>
      </c>
      <c r="F146" s="10">
        <f t="shared" ref="F146:G146" si="67">F123+F138</f>
        <v>59.934467242112603</v>
      </c>
      <c r="G146" s="10">
        <f t="shared" si="67"/>
        <v>133.76482962374999</v>
      </c>
      <c r="H146" s="10">
        <f t="shared" ref="H146" si="68">H123+H138</f>
        <v>133.76482962374999</v>
      </c>
    </row>
    <row r="147" spans="1:8" ht="15.75" hidden="1" x14ac:dyDescent="0.25">
      <c r="A147" s="5" t="s">
        <v>2283</v>
      </c>
      <c r="B147" s="2" t="s">
        <v>2337</v>
      </c>
      <c r="C147" s="3" t="s">
        <v>873</v>
      </c>
      <c r="D147" s="10">
        <f t="shared" si="60"/>
        <v>98.278991276096775</v>
      </c>
      <c r="E147" s="10">
        <f t="shared" si="60"/>
        <v>0</v>
      </c>
      <c r="F147" s="10">
        <f t="shared" ref="F147:G147" si="69">F124+F139</f>
        <v>93.256281589561993</v>
      </c>
      <c r="G147" s="10">
        <f t="shared" si="69"/>
        <v>9.6152083333333369</v>
      </c>
      <c r="H147" s="10">
        <f t="shared" ref="H147" si="70">H124+H139</f>
        <v>0</v>
      </c>
    </row>
    <row r="148" spans="1:8" ht="15.75" hidden="1" x14ac:dyDescent="0.25">
      <c r="A148" s="37" t="s">
        <v>2341</v>
      </c>
      <c r="B148" s="40" t="s">
        <v>2342</v>
      </c>
      <c r="C148" s="41" t="s">
        <v>2343</v>
      </c>
      <c r="D148" s="65">
        <f>SUM(D143:D147)</f>
        <v>373.47680483331703</v>
      </c>
      <c r="E148" s="65">
        <f>SUM(E143:E147)</f>
        <v>433.01302966018159</v>
      </c>
      <c r="F148" s="65">
        <f>SUM(F143:F147)</f>
        <v>433.01302966018159</v>
      </c>
      <c r="G148" s="65">
        <f>SUM(G143:G147)</f>
        <v>318.33406119624993</v>
      </c>
      <c r="H148" s="65">
        <f>SUM(H143:H147)</f>
        <v>299.10364452958322</v>
      </c>
    </row>
    <row r="149" spans="1:8" hidden="1" x14ac:dyDescent="0.2"/>
    <row r="150" spans="1:8" hidden="1" x14ac:dyDescent="0.2">
      <c r="A150" s="16" t="s">
        <v>2349</v>
      </c>
    </row>
    <row r="151" spans="1:8" ht="15" hidden="1" x14ac:dyDescent="0.25">
      <c r="A151" s="5" t="s">
        <v>2280</v>
      </c>
      <c r="B151" s="2" t="s">
        <v>950</v>
      </c>
      <c r="C151" s="3" t="s">
        <v>873</v>
      </c>
      <c r="D151" s="10">
        <f t="shared" ref="D151:E155" si="71">(D79*D87^3)/12</f>
        <v>0</v>
      </c>
      <c r="E151" s="10">
        <f t="shared" si="71"/>
        <v>41.666666666666664</v>
      </c>
      <c r="F151" s="10">
        <f t="shared" ref="F151:G151" si="72">(F79*F87^3)/12</f>
        <v>0</v>
      </c>
      <c r="G151" s="10">
        <f t="shared" si="72"/>
        <v>5.208333333333333E-3</v>
      </c>
      <c r="H151" s="10">
        <f t="shared" ref="H151" si="73">(H79*H87^3)/12</f>
        <v>0</v>
      </c>
    </row>
    <row r="152" spans="1:8" ht="15" hidden="1" x14ac:dyDescent="0.25">
      <c r="A152" s="5" t="s">
        <v>2281</v>
      </c>
      <c r="B152" s="2" t="s">
        <v>2494</v>
      </c>
      <c r="C152" s="3" t="s">
        <v>873</v>
      </c>
      <c r="D152" s="10">
        <f t="shared" si="71"/>
        <v>20.942337840750003</v>
      </c>
      <c r="E152" s="10">
        <f t="shared" si="71"/>
        <v>22.055836376250003</v>
      </c>
      <c r="F152" s="10">
        <f t="shared" ref="F152:G152" si="74">(F80*F88^3)/12</f>
        <v>22.055836376250003</v>
      </c>
      <c r="G152" s="10">
        <f t="shared" si="74"/>
        <v>22.055836376250003</v>
      </c>
      <c r="H152" s="10">
        <f t="shared" ref="H152" si="75">(H80*H88^3)/12</f>
        <v>22.055836376250003</v>
      </c>
    </row>
    <row r="153" spans="1:8" ht="15" hidden="1" x14ac:dyDescent="0.25">
      <c r="A153" s="5" t="s">
        <v>2479</v>
      </c>
      <c r="B153" s="2" t="s">
        <v>2495</v>
      </c>
      <c r="C153" s="3" t="s">
        <v>873</v>
      </c>
      <c r="D153" s="10">
        <f t="shared" si="71"/>
        <v>9.777439089166666E-3</v>
      </c>
      <c r="E153" s="10">
        <f t="shared" si="71"/>
        <v>2.325489302083333E-2</v>
      </c>
      <c r="F153" s="10">
        <f t="shared" ref="F153:G153" si="76">(F81*F89^3)/12</f>
        <v>2.325489302083333E-2</v>
      </c>
      <c r="G153" s="10">
        <f t="shared" si="76"/>
        <v>2.325489302083333E-2</v>
      </c>
      <c r="H153" s="10">
        <f t="shared" ref="H153" si="77">(H81*H89^3)/12</f>
        <v>2.325489302083333E-2</v>
      </c>
    </row>
    <row r="154" spans="1:8" ht="15" hidden="1" x14ac:dyDescent="0.25">
      <c r="A154" s="5" t="s">
        <v>2282</v>
      </c>
      <c r="B154" s="2" t="s">
        <v>2496</v>
      </c>
      <c r="C154" s="3" t="s">
        <v>873</v>
      </c>
      <c r="D154" s="10">
        <f t="shared" si="71"/>
        <v>13.233501825750002</v>
      </c>
      <c r="E154" s="10">
        <f t="shared" si="71"/>
        <v>22.055836376250003</v>
      </c>
      <c r="F154" s="10">
        <f t="shared" ref="F154:G154" si="78">(F82*F90^3)/12</f>
        <v>22.055836376250003</v>
      </c>
      <c r="G154" s="10">
        <f t="shared" si="78"/>
        <v>22.055836376250003</v>
      </c>
      <c r="H154" s="10">
        <f t="shared" ref="H154" si="79">(H82*H90^3)/12</f>
        <v>22.055836376250003</v>
      </c>
    </row>
    <row r="155" spans="1:8" ht="15" hidden="1" x14ac:dyDescent="0.25">
      <c r="A155" s="5" t="s">
        <v>2283</v>
      </c>
      <c r="B155" s="2" t="s">
        <v>2497</v>
      </c>
      <c r="C155" s="3" t="s">
        <v>873</v>
      </c>
      <c r="D155" s="10">
        <f t="shared" si="71"/>
        <v>41.666666666666664</v>
      </c>
      <c r="E155" s="10">
        <f t="shared" si="71"/>
        <v>0</v>
      </c>
      <c r="F155" s="10">
        <f t="shared" ref="F155:G155" si="80">(F83*F91^3)/12</f>
        <v>41.666666666666664</v>
      </c>
      <c r="G155" s="10">
        <f t="shared" si="80"/>
        <v>5.208333333333333E-3</v>
      </c>
      <c r="H155" s="10">
        <f t="shared" ref="H155" si="81">(H83*H91^3)/12</f>
        <v>0</v>
      </c>
    </row>
    <row r="156" spans="1:8" ht="15" hidden="1" x14ac:dyDescent="0.25">
      <c r="A156" s="37" t="s">
        <v>2350</v>
      </c>
      <c r="B156" s="40" t="s">
        <v>2498</v>
      </c>
      <c r="C156" s="41" t="s">
        <v>2343</v>
      </c>
      <c r="D156" s="55">
        <f>SUM(D151:D155)</f>
        <v>75.852283772255845</v>
      </c>
      <c r="E156" s="55">
        <f>SUM(E151:E155)</f>
        <v>85.801594312187504</v>
      </c>
      <c r="F156" s="55">
        <f>SUM(F151:F155)</f>
        <v>85.801594312187504</v>
      </c>
      <c r="G156" s="55">
        <f>SUM(G151:G155)</f>
        <v>44.145344312187511</v>
      </c>
      <c r="H156" s="55">
        <f>SUM(H151:H155)</f>
        <v>44.13492764552084</v>
      </c>
    </row>
    <row r="157" spans="1:8" hidden="1" x14ac:dyDescent="0.2"/>
    <row r="158" spans="1:8" ht="14.25" hidden="1" x14ac:dyDescent="0.25">
      <c r="A158" s="13" t="s">
        <v>2351</v>
      </c>
      <c r="B158" s="14" t="s">
        <v>2284</v>
      </c>
      <c r="C158" s="3" t="s">
        <v>407</v>
      </c>
      <c r="D158" s="28">
        <f>MAX(0.5*D87,0.5*D88,0.5*D89,0.5*D90,0.5*D91)</f>
        <v>5</v>
      </c>
      <c r="E158" s="28">
        <f>MAX(0.5*E87,0.5*E88,0.5*E89,0.5*E90,0.5*E91)</f>
        <v>5</v>
      </c>
      <c r="F158" s="28">
        <f>MAX(0.5*F87,0.5*F88,0.5*F89,0.5*F90,0.5*F91)</f>
        <v>5</v>
      </c>
      <c r="G158" s="28">
        <f>MAX(0.5*G87,0.5*G88,0.5*G89,0.5*G90,0.5*G91)</f>
        <v>4.0049999999999999</v>
      </c>
      <c r="H158" s="28">
        <f>MAX(0.5*H87,0.5*H88,0.5*H89,0.5*H90,0.5*H91)</f>
        <v>4.0049999999999999</v>
      </c>
    </row>
    <row r="159" spans="1:8" hidden="1" x14ac:dyDescent="0.2"/>
    <row r="160" spans="1:8" hidden="1" x14ac:dyDescent="0.2">
      <c r="A160" s="16" t="s">
        <v>2369</v>
      </c>
    </row>
    <row r="161" spans="1:8" hidden="1" x14ac:dyDescent="0.2">
      <c r="A161" s="45" t="s">
        <v>2371</v>
      </c>
      <c r="D161" s="4"/>
      <c r="E161" s="4"/>
      <c r="F161" s="4"/>
      <c r="G161" s="4"/>
      <c r="H161" s="4"/>
    </row>
    <row r="162" spans="1:8" hidden="1" x14ac:dyDescent="0.2">
      <c r="A162" s="5" t="s">
        <v>2370</v>
      </c>
      <c r="D162" s="2">
        <v>0</v>
      </c>
      <c r="E162" s="2">
        <v>0</v>
      </c>
      <c r="F162" s="2">
        <v>0</v>
      </c>
      <c r="G162" s="2">
        <v>0</v>
      </c>
      <c r="H162" s="2">
        <v>0</v>
      </c>
    </row>
    <row r="163" spans="1:8" ht="15" hidden="1" x14ac:dyDescent="0.2">
      <c r="A163" s="5" t="s">
        <v>2280</v>
      </c>
      <c r="C163" s="3" t="s">
        <v>900</v>
      </c>
      <c r="D163" s="12">
        <f t="shared" ref="D163:E167" si="82">-D94</f>
        <v>0</v>
      </c>
      <c r="E163" s="12">
        <f t="shared" si="82"/>
        <v>-5</v>
      </c>
      <c r="F163" s="12">
        <f t="shared" ref="F163:G163" si="83">-F94</f>
        <v>0</v>
      </c>
      <c r="G163" s="12">
        <f t="shared" si="83"/>
        <v>-0.25</v>
      </c>
      <c r="H163" s="12">
        <f t="shared" ref="H163" si="84">-H94</f>
        <v>0</v>
      </c>
    </row>
    <row r="164" spans="1:8" ht="15" hidden="1" x14ac:dyDescent="0.2">
      <c r="A164" s="5" t="s">
        <v>2281</v>
      </c>
      <c r="C164" s="3" t="s">
        <v>900</v>
      </c>
      <c r="D164" s="12">
        <f t="shared" si="82"/>
        <v>-3.91689</v>
      </c>
      <c r="E164" s="12">
        <f t="shared" si="82"/>
        <v>-4.1251499999999997</v>
      </c>
      <c r="F164" s="12">
        <f t="shared" ref="F164:G164" si="85">-F95</f>
        <v>-4.1251499999999997</v>
      </c>
      <c r="G164" s="12">
        <f t="shared" si="85"/>
        <v>-4.1251499999999997</v>
      </c>
      <c r="H164" s="12">
        <f t="shared" ref="H164" si="86">-H95</f>
        <v>-4.1251499999999997</v>
      </c>
    </row>
    <row r="165" spans="1:8" ht="15" hidden="1" x14ac:dyDescent="0.2">
      <c r="A165" s="5" t="s">
        <v>2479</v>
      </c>
      <c r="C165" s="3" t="s">
        <v>900</v>
      </c>
      <c r="D165" s="12">
        <f t="shared" si="82"/>
        <v>-2.4022699999999997</v>
      </c>
      <c r="E165" s="12">
        <f t="shared" si="82"/>
        <v>-3.2066499999999998</v>
      </c>
      <c r="F165" s="12">
        <f t="shared" ref="F165:G165" si="87">-F96</f>
        <v>-3.2066499999999998</v>
      </c>
      <c r="G165" s="12">
        <f t="shared" si="87"/>
        <v>-3.2066499999999998</v>
      </c>
      <c r="H165" s="12">
        <f t="shared" ref="H165" si="88">-H96</f>
        <v>-3.2066499999999998</v>
      </c>
    </row>
    <row r="166" spans="1:8" ht="15" hidden="1" x14ac:dyDescent="0.2">
      <c r="A166" s="5" t="s">
        <v>2282</v>
      </c>
      <c r="C166" s="3" t="s">
        <v>900</v>
      </c>
      <c r="D166" s="12">
        <f t="shared" si="82"/>
        <v>-2.4750899999999998</v>
      </c>
      <c r="E166" s="12">
        <f t="shared" si="82"/>
        <v>-4.1251499999999997</v>
      </c>
      <c r="F166" s="12">
        <f t="shared" ref="F166:G166" si="89">-F97</f>
        <v>-4.1251499999999997</v>
      </c>
      <c r="G166" s="12">
        <f t="shared" si="89"/>
        <v>-4.1251499999999997</v>
      </c>
      <c r="H166" s="12">
        <f t="shared" ref="H166" si="90">-H97</f>
        <v>-4.1251499999999997</v>
      </c>
    </row>
    <row r="167" spans="1:8" ht="15" hidden="1" x14ac:dyDescent="0.2">
      <c r="A167" s="5" t="s">
        <v>2283</v>
      </c>
      <c r="C167" s="3" t="s">
        <v>900</v>
      </c>
      <c r="D167" s="12">
        <f t="shared" si="82"/>
        <v>-5</v>
      </c>
      <c r="E167" s="12">
        <f t="shared" si="82"/>
        <v>0</v>
      </c>
      <c r="F167" s="12">
        <f t="shared" ref="F167:G167" si="91">-F98</f>
        <v>-5</v>
      </c>
      <c r="G167" s="12">
        <f t="shared" si="91"/>
        <v>-0.25</v>
      </c>
      <c r="H167" s="12">
        <f t="shared" ref="H167" si="92">-H98</f>
        <v>0</v>
      </c>
    </row>
    <row r="168" spans="1:8" hidden="1" x14ac:dyDescent="0.2"/>
    <row r="169" spans="1:8" hidden="1" x14ac:dyDescent="0.2">
      <c r="A169" s="45" t="s">
        <v>2374</v>
      </c>
    </row>
    <row r="170" spans="1:8" ht="15" hidden="1" x14ac:dyDescent="0.25">
      <c r="A170" s="5" t="s">
        <v>2373</v>
      </c>
      <c r="B170" s="2" t="s">
        <v>2372</v>
      </c>
      <c r="C170" s="3" t="s">
        <v>900</v>
      </c>
      <c r="D170" s="12">
        <f>D99/2</f>
        <v>6.897125</v>
      </c>
      <c r="E170" s="12">
        <f>E99/2</f>
        <v>8.2284749999999995</v>
      </c>
      <c r="F170" s="12">
        <f>F99/2</f>
        <v>8.2284749999999995</v>
      </c>
      <c r="G170" s="12">
        <f>G99/2</f>
        <v>5.9784749999999995</v>
      </c>
      <c r="H170" s="12">
        <f>H99/2</f>
        <v>5.7284749999999995</v>
      </c>
    </row>
    <row r="171" spans="1:8" ht="15" hidden="1" x14ac:dyDescent="0.2">
      <c r="A171" s="5" t="s">
        <v>2280</v>
      </c>
      <c r="B171" s="2" t="s">
        <v>2375</v>
      </c>
      <c r="C171" s="3" t="s">
        <v>900</v>
      </c>
      <c r="D171" s="12">
        <f t="shared" ref="D171:E175" si="93">D170+D163</f>
        <v>6.897125</v>
      </c>
      <c r="E171" s="12">
        <f t="shared" si="93"/>
        <v>3.2284749999999995</v>
      </c>
      <c r="F171" s="12">
        <f t="shared" ref="F171:G171" si="94">F170+F163</f>
        <v>8.2284749999999995</v>
      </c>
      <c r="G171" s="12">
        <f t="shared" si="94"/>
        <v>5.7284749999999995</v>
      </c>
      <c r="H171" s="12">
        <f t="shared" ref="H171" si="95">H170+H163</f>
        <v>5.7284749999999995</v>
      </c>
    </row>
    <row r="172" spans="1:8" ht="15" hidden="1" x14ac:dyDescent="0.2">
      <c r="A172" s="5" t="s">
        <v>2281</v>
      </c>
      <c r="B172" s="2" t="s">
        <v>2376</v>
      </c>
      <c r="C172" s="3" t="s">
        <v>900</v>
      </c>
      <c r="D172" s="12">
        <f t="shared" si="93"/>
        <v>2.980235</v>
      </c>
      <c r="E172" s="12">
        <f t="shared" si="93"/>
        <v>-0.89667500000000011</v>
      </c>
      <c r="F172" s="12">
        <f t="shared" ref="F172:G172" si="96">F171+F164</f>
        <v>4.1033249999999999</v>
      </c>
      <c r="G172" s="12">
        <f t="shared" si="96"/>
        <v>1.6033249999999999</v>
      </c>
      <c r="H172" s="12">
        <f t="shared" ref="H172" si="97">H171+H164</f>
        <v>1.6033249999999999</v>
      </c>
    </row>
    <row r="173" spans="1:8" ht="15" hidden="1" x14ac:dyDescent="0.2">
      <c r="A173" s="5" t="s">
        <v>2479</v>
      </c>
      <c r="B173" s="2" t="s">
        <v>2377</v>
      </c>
      <c r="C173" s="3" t="s">
        <v>900</v>
      </c>
      <c r="D173" s="12">
        <f t="shared" si="93"/>
        <v>0.57796500000000028</v>
      </c>
      <c r="E173" s="12">
        <f t="shared" si="93"/>
        <v>-4.1033249999999999</v>
      </c>
      <c r="F173" s="12">
        <f t="shared" ref="F173:G173" si="98">F172+F165</f>
        <v>0.89667500000000011</v>
      </c>
      <c r="G173" s="12">
        <f t="shared" si="98"/>
        <v>-1.6033249999999999</v>
      </c>
      <c r="H173" s="12">
        <f t="shared" ref="H173" si="99">H172+H165</f>
        <v>-1.6033249999999999</v>
      </c>
    </row>
    <row r="174" spans="1:8" ht="15" hidden="1" x14ac:dyDescent="0.2">
      <c r="A174" s="5" t="s">
        <v>2282</v>
      </c>
      <c r="B174" s="2" t="s">
        <v>2378</v>
      </c>
      <c r="C174" s="3" t="s">
        <v>900</v>
      </c>
      <c r="D174" s="12">
        <f t="shared" si="93"/>
        <v>-1.8971249999999995</v>
      </c>
      <c r="E174" s="12">
        <f t="shared" si="93"/>
        <v>-8.2284749999999995</v>
      </c>
      <c r="F174" s="12">
        <f t="shared" ref="F174:G174" si="100">F173+F166</f>
        <v>-3.2284749999999995</v>
      </c>
      <c r="G174" s="12">
        <f t="shared" si="100"/>
        <v>-5.7284749999999995</v>
      </c>
      <c r="H174" s="12">
        <f t="shared" ref="H174" si="101">H173+H166</f>
        <v>-5.7284749999999995</v>
      </c>
    </row>
    <row r="175" spans="1:8" ht="15" hidden="1" x14ac:dyDescent="0.2">
      <c r="A175" s="5" t="s">
        <v>2283</v>
      </c>
      <c r="B175" s="2" t="s">
        <v>2379</v>
      </c>
      <c r="C175" s="3" t="s">
        <v>900</v>
      </c>
      <c r="D175" s="12">
        <f t="shared" si="93"/>
        <v>-6.8971249999999991</v>
      </c>
      <c r="E175" s="12">
        <f t="shared" si="93"/>
        <v>-8.2284749999999995</v>
      </c>
      <c r="F175" s="12">
        <f t="shared" ref="F175:G175" si="102">F174+F167</f>
        <v>-8.2284749999999995</v>
      </c>
      <c r="G175" s="12">
        <f t="shared" si="102"/>
        <v>-5.9784749999999995</v>
      </c>
      <c r="H175" s="12">
        <f t="shared" ref="H175" si="103">H174+H167</f>
        <v>-5.7284749999999995</v>
      </c>
    </row>
    <row r="176" spans="1:8" hidden="1" x14ac:dyDescent="0.2"/>
    <row r="177" spans="1:8" hidden="1" x14ac:dyDescent="0.2">
      <c r="A177" s="45" t="s">
        <v>2385</v>
      </c>
    </row>
    <row r="178" spans="1:8" hidden="1" x14ac:dyDescent="0.2">
      <c r="A178" s="5" t="s">
        <v>2280</v>
      </c>
      <c r="B178" s="2" t="s">
        <v>2380</v>
      </c>
      <c r="C178" s="3" t="s">
        <v>407</v>
      </c>
      <c r="D178" s="12">
        <f t="shared" ref="D178:E182" si="104">IF(D87=0,0,D170/D87)</f>
        <v>0</v>
      </c>
      <c r="E178" s="12">
        <f t="shared" si="104"/>
        <v>0.82284749999999995</v>
      </c>
      <c r="F178" s="12">
        <f t="shared" ref="F178:G178" si="105">IF(F87=0,0,F170/F87)</f>
        <v>0</v>
      </c>
      <c r="G178" s="12">
        <f t="shared" si="105"/>
        <v>11.956949999999999</v>
      </c>
      <c r="H178" s="12">
        <f t="shared" ref="H178" si="106">IF(H87=0,0,H170/H87)</f>
        <v>0</v>
      </c>
    </row>
    <row r="179" spans="1:8" hidden="1" x14ac:dyDescent="0.2">
      <c r="A179" s="5" t="s">
        <v>2281</v>
      </c>
      <c r="B179" s="2" t="s">
        <v>2381</v>
      </c>
      <c r="C179" s="3" t="s">
        <v>407</v>
      </c>
      <c r="D179" s="12">
        <f t="shared" si="104"/>
        <v>0.86106429463171041</v>
      </c>
      <c r="E179" s="12">
        <f t="shared" si="104"/>
        <v>0.4030555555555555</v>
      </c>
      <c r="F179" s="12">
        <f t="shared" ref="F179:G179" si="107">IF(F88=0,0,F171/F88)</f>
        <v>1.0272752808988763</v>
      </c>
      <c r="G179" s="12">
        <f t="shared" si="107"/>
        <v>0.71516541822721591</v>
      </c>
      <c r="H179" s="12">
        <f t="shared" ref="H179" si="108">IF(H88=0,0,H171/H88)</f>
        <v>0.71516541822721591</v>
      </c>
    </row>
    <row r="180" spans="1:8" hidden="1" x14ac:dyDescent="0.2">
      <c r="A180" s="5" t="s">
        <v>2479</v>
      </c>
      <c r="B180" s="2" t="s">
        <v>2382</v>
      </c>
      <c r="C180" s="3" t="s">
        <v>407</v>
      </c>
      <c r="D180" s="12">
        <f t="shared" si="104"/>
        <v>13.485226244343892</v>
      </c>
      <c r="E180" s="12">
        <f t="shared" si="104"/>
        <v>-3.0395762711864411</v>
      </c>
      <c r="F180" s="12">
        <f t="shared" ref="F180:G180" si="109">IF(F89=0,0,F172/F89)</f>
        <v>13.909576271186442</v>
      </c>
      <c r="G180" s="12">
        <f t="shared" si="109"/>
        <v>5.4349999999999996</v>
      </c>
      <c r="H180" s="12">
        <f t="shared" ref="H180" si="110">IF(H89=0,0,H172/H89)</f>
        <v>5.4349999999999996</v>
      </c>
    </row>
    <row r="181" spans="1:8" hidden="1" x14ac:dyDescent="0.2">
      <c r="A181" s="5" t="s">
        <v>2282</v>
      </c>
      <c r="B181" s="2" t="s">
        <v>2383</v>
      </c>
      <c r="C181" s="3" t="s">
        <v>407</v>
      </c>
      <c r="D181" s="12">
        <f t="shared" si="104"/>
        <v>7.2155430711610527E-2</v>
      </c>
      <c r="E181" s="12">
        <f t="shared" si="104"/>
        <v>-0.51227528089887642</v>
      </c>
      <c r="F181" s="12">
        <f t="shared" ref="F181:G181" si="111">IF(F90=0,0,F173/F90)</f>
        <v>0.11194444444444446</v>
      </c>
      <c r="G181" s="12">
        <f t="shared" si="111"/>
        <v>-0.20016541822721598</v>
      </c>
      <c r="H181" s="12">
        <f t="shared" ref="H181" si="112">IF(H90=0,0,H173/H90)</f>
        <v>-0.20016541822721598</v>
      </c>
    </row>
    <row r="182" spans="1:8" hidden="1" x14ac:dyDescent="0.2">
      <c r="A182" s="5" t="s">
        <v>2283</v>
      </c>
      <c r="B182" s="2" t="s">
        <v>2384</v>
      </c>
      <c r="C182" s="3" t="s">
        <v>407</v>
      </c>
      <c r="D182" s="12">
        <f t="shared" si="104"/>
        <v>-0.18971249999999995</v>
      </c>
      <c r="E182" s="12">
        <f t="shared" si="104"/>
        <v>0</v>
      </c>
      <c r="F182" s="12">
        <f t="shared" ref="F182:G182" si="113">IF(F91=0,0,F174/F91)</f>
        <v>-0.32284749999999995</v>
      </c>
      <c r="G182" s="12">
        <f t="shared" si="113"/>
        <v>-11.456949999999999</v>
      </c>
      <c r="H182" s="12">
        <f t="shared" ref="H182" si="114">IF(H91=0,0,H174/H91)</f>
        <v>0</v>
      </c>
    </row>
    <row r="183" spans="1:8" hidden="1" x14ac:dyDescent="0.2"/>
    <row r="184" spans="1:8" hidden="1" x14ac:dyDescent="0.2">
      <c r="A184" s="45" t="s">
        <v>2397</v>
      </c>
      <c r="D184" s="4" t="s">
        <v>2268</v>
      </c>
      <c r="E184" s="4" t="s">
        <v>2268</v>
      </c>
      <c r="F184" s="4" t="s">
        <v>2268</v>
      </c>
      <c r="G184" s="4" t="s">
        <v>2268</v>
      </c>
      <c r="H184" s="4" t="s">
        <v>2268</v>
      </c>
    </row>
    <row r="185" spans="1:8" hidden="1" x14ac:dyDescent="0.2">
      <c r="B185" s="2" t="s">
        <v>2390</v>
      </c>
      <c r="C185" s="3" t="s">
        <v>407</v>
      </c>
      <c r="D185" s="12">
        <f>D178</f>
        <v>0</v>
      </c>
      <c r="E185" s="12">
        <f>E178</f>
        <v>0.82284749999999995</v>
      </c>
      <c r="F185" s="12">
        <f>F178</f>
        <v>0</v>
      </c>
      <c r="G185" s="12">
        <f>G178</f>
        <v>11.956949999999999</v>
      </c>
      <c r="H185" s="12">
        <f>H178</f>
        <v>0</v>
      </c>
    </row>
    <row r="186" spans="1:8" hidden="1" x14ac:dyDescent="0.2">
      <c r="B186" s="2" t="s">
        <v>2391</v>
      </c>
      <c r="C186" s="3" t="s">
        <v>407</v>
      </c>
      <c r="D186" s="12">
        <f>D79+D179</f>
        <v>0.86106429463171041</v>
      </c>
      <c r="E186" s="12">
        <f>E79+E179</f>
        <v>0.9030555555555555</v>
      </c>
      <c r="F186" s="12">
        <f>F79+F179</f>
        <v>1.0272752808988763</v>
      </c>
      <c r="G186" s="12">
        <f>G79+G179</f>
        <v>1.2151654182272158</v>
      </c>
      <c r="H186" s="12">
        <f>H79+H179</f>
        <v>0.71516541822721591</v>
      </c>
    </row>
    <row r="187" spans="1:8" hidden="1" x14ac:dyDescent="0.2">
      <c r="B187" s="2" t="s">
        <v>2392</v>
      </c>
      <c r="C187" s="3" t="s">
        <v>407</v>
      </c>
      <c r="D187" s="12">
        <f>D79+D80+D180</f>
        <v>13.974226244343892</v>
      </c>
      <c r="E187" s="12">
        <f>E79+E80+E180</f>
        <v>-2.024576271186441</v>
      </c>
      <c r="F187" s="12">
        <f>F79+F80+F180</f>
        <v>14.424576271186442</v>
      </c>
      <c r="G187" s="12">
        <f>G79+G80+G180</f>
        <v>6.4499999999999993</v>
      </c>
      <c r="H187" s="12">
        <f>H79+H80+H180</f>
        <v>5.9499999999999993</v>
      </c>
    </row>
    <row r="188" spans="1:8" hidden="1" x14ac:dyDescent="0.2">
      <c r="B188" s="2" t="s">
        <v>2393</v>
      </c>
      <c r="C188" s="3" t="s">
        <v>407</v>
      </c>
      <c r="D188" s="12">
        <f>D79+D80+D81+D181</f>
        <v>11.431155430711611</v>
      </c>
      <c r="E188" s="12">
        <f>E79+E80+E81+E181</f>
        <v>11.372724719101123</v>
      </c>
      <c r="F188" s="12">
        <f>F79+F80+F81+F181</f>
        <v>11.496944444444445</v>
      </c>
      <c r="G188" s="12">
        <f>G79+G80+G81+G181</f>
        <v>11.684834581772783</v>
      </c>
      <c r="H188" s="12">
        <f>H79+H80+H81+H181</f>
        <v>11.184834581772783</v>
      </c>
    </row>
    <row r="189" spans="1:8" hidden="1" x14ac:dyDescent="0.2">
      <c r="B189" s="2" t="s">
        <v>2394</v>
      </c>
      <c r="C189" s="3" t="s">
        <v>407</v>
      </c>
      <c r="D189" s="12">
        <f>D79+D80+D81+D82+D182</f>
        <v>11.478287499999999</v>
      </c>
      <c r="E189" s="12">
        <f>E79+E80+E81+E82+E182</f>
        <v>12.4</v>
      </c>
      <c r="F189" s="12">
        <f>F79+F80+F81+F82+F182</f>
        <v>11.5771525</v>
      </c>
      <c r="G189" s="12">
        <f>G79+G80+G81+G82+G182</f>
        <v>0.94305000000000128</v>
      </c>
      <c r="H189" s="12">
        <f>H79+H80+H81+H82+H182</f>
        <v>11.9</v>
      </c>
    </row>
    <row r="190" spans="1:8" hidden="1" x14ac:dyDescent="0.2"/>
    <row r="191" spans="1:8" ht="14.25" hidden="1" x14ac:dyDescent="0.25">
      <c r="A191" s="37" t="s">
        <v>2386</v>
      </c>
      <c r="B191" s="40" t="s">
        <v>1774</v>
      </c>
      <c r="C191" s="3" t="s">
        <v>407</v>
      </c>
      <c r="D191" s="56">
        <f>IF(D171&lt;0,D185,IF(D172&lt;0,D186,IF(D173&lt;0,D187,IF(D174&lt;0,D188,IF(D175&lt;0,D189)))))</f>
        <v>11.431155430711611</v>
      </c>
      <c r="E191" s="56">
        <f>IF(E171&lt;0,E185,IF(E172&lt;0,E186,IF(E173&lt;0,E187,IF(E174&lt;0,E188,IF(E175&lt;0,E189)))))</f>
        <v>0.9030555555555555</v>
      </c>
      <c r="F191" s="56">
        <f>IF(F171&lt;0,F185,IF(F172&lt;0,F186,IF(F173&lt;0,F187,IF(F174&lt;0,F188,IF(F175&lt;0,F189)))))</f>
        <v>11.496944444444445</v>
      </c>
      <c r="G191" s="56">
        <f>IF(G171&lt;0,G185,IF(G172&lt;0,G186,IF(G173&lt;0,G187,IF(G174&lt;0,G188,IF(G175&lt;0,G189)))))</f>
        <v>6.4499999999999993</v>
      </c>
      <c r="H191" s="56">
        <f>IF(H171&lt;0,H185,IF(H172&lt;0,H186,IF(H173&lt;0,H187,IF(H174&lt;0,H188,IF(H175&lt;0,H189)))))</f>
        <v>5.9499999999999993</v>
      </c>
    </row>
    <row r="192" spans="1:8" ht="14.25" hidden="1" x14ac:dyDescent="0.25">
      <c r="A192" s="13" t="s">
        <v>2395</v>
      </c>
      <c r="B192" s="14" t="s">
        <v>2396</v>
      </c>
      <c r="C192" s="3" t="s">
        <v>407</v>
      </c>
      <c r="D192" s="12">
        <f>D84-D191</f>
        <v>0.73684456928838848</v>
      </c>
      <c r="E192" s="12">
        <f>E84-E191</f>
        <v>11.496944444444445</v>
      </c>
      <c r="F192" s="12">
        <f>F84-F191</f>
        <v>0.9030555555555555</v>
      </c>
      <c r="G192" s="12">
        <f>G84-G191</f>
        <v>6.4500000000000011</v>
      </c>
      <c r="H192" s="12">
        <f>H84-H191</f>
        <v>5.9500000000000011</v>
      </c>
    </row>
    <row r="193" spans="1:8" hidden="1" x14ac:dyDescent="0.2"/>
    <row r="194" spans="1:8" hidden="1" x14ac:dyDescent="0.2">
      <c r="A194" s="16" t="s">
        <v>413</v>
      </c>
    </row>
    <row r="195" spans="1:8" hidden="1" x14ac:dyDescent="0.2">
      <c r="A195" s="45" t="s">
        <v>2389</v>
      </c>
    </row>
    <row r="196" spans="1:8" hidden="1" x14ac:dyDescent="0.2">
      <c r="A196" s="5" t="s">
        <v>2398</v>
      </c>
      <c r="B196" s="2" t="s">
        <v>2269</v>
      </c>
      <c r="C196" s="2" t="s">
        <v>407</v>
      </c>
      <c r="D196" s="2">
        <f>D102</f>
        <v>0</v>
      </c>
      <c r="E196" s="2">
        <f>E102</f>
        <v>0.25</v>
      </c>
      <c r="F196" s="2">
        <f>F102</f>
        <v>0</v>
      </c>
      <c r="G196" s="2">
        <f>G102</f>
        <v>0.25</v>
      </c>
      <c r="H196" s="2">
        <f>H102</f>
        <v>0</v>
      </c>
    </row>
    <row r="197" spans="1:8" hidden="1" x14ac:dyDescent="0.2">
      <c r="A197" s="5" t="s">
        <v>2270</v>
      </c>
      <c r="B197" s="2" t="s">
        <v>2270</v>
      </c>
      <c r="C197" s="2" t="s">
        <v>407</v>
      </c>
      <c r="D197" s="2">
        <f>D79</f>
        <v>0</v>
      </c>
      <c r="E197" s="2">
        <f>E79</f>
        <v>0.5</v>
      </c>
      <c r="F197" s="2">
        <f>F79</f>
        <v>0</v>
      </c>
      <c r="G197" s="2">
        <f>G79</f>
        <v>0.5</v>
      </c>
      <c r="H197" s="2">
        <f>H79</f>
        <v>0</v>
      </c>
    </row>
    <row r="198" spans="1:8" hidden="1" x14ac:dyDescent="0.2">
      <c r="A198" s="5" t="s">
        <v>2399</v>
      </c>
      <c r="B198" s="2" t="s">
        <v>2271</v>
      </c>
      <c r="C198" s="2" t="s">
        <v>407</v>
      </c>
      <c r="D198" s="2">
        <f>D103</f>
        <v>0.2445</v>
      </c>
      <c r="E198" s="2">
        <f>E103</f>
        <v>0.75750000000000006</v>
      </c>
      <c r="F198" s="2">
        <f>F103</f>
        <v>0.25750000000000001</v>
      </c>
      <c r="G198" s="2">
        <f>G103</f>
        <v>0.75750000000000006</v>
      </c>
      <c r="H198" s="2">
        <f>H103</f>
        <v>0.25750000000000001</v>
      </c>
    </row>
    <row r="199" spans="1:8" hidden="1" x14ac:dyDescent="0.2">
      <c r="A199" s="5" t="s">
        <v>2272</v>
      </c>
      <c r="B199" s="2" t="s">
        <v>2272</v>
      </c>
      <c r="C199" s="2" t="s">
        <v>407</v>
      </c>
      <c r="D199" s="12">
        <f>D197+D80</f>
        <v>0.48899999999999999</v>
      </c>
      <c r="E199" s="12">
        <f>E197+E80</f>
        <v>1.0150000000000001</v>
      </c>
      <c r="F199" s="12">
        <f>F197+F80</f>
        <v>0.51500000000000001</v>
      </c>
      <c r="G199" s="12">
        <f>G197+G80</f>
        <v>1.0150000000000001</v>
      </c>
      <c r="H199" s="12">
        <f>H197+H80</f>
        <v>0.51500000000000001</v>
      </c>
    </row>
    <row r="200" spans="1:8" hidden="1" x14ac:dyDescent="0.2">
      <c r="A200" s="5" t="s">
        <v>2480</v>
      </c>
      <c r="B200" s="2" t="s">
        <v>2273</v>
      </c>
      <c r="C200" s="2" t="s">
        <v>407</v>
      </c>
      <c r="D200" s="2">
        <f>D104</f>
        <v>5.9239999999999995</v>
      </c>
      <c r="E200" s="2">
        <f>E104</f>
        <v>6.4499999999999993</v>
      </c>
      <c r="F200" s="2">
        <f>F104</f>
        <v>5.9499999999999993</v>
      </c>
      <c r="G200" s="2">
        <f>G104</f>
        <v>6.4499999999999993</v>
      </c>
      <c r="H200" s="2">
        <f>H104</f>
        <v>5.9499999999999993</v>
      </c>
    </row>
    <row r="201" spans="1:8" hidden="1" x14ac:dyDescent="0.2">
      <c r="A201" s="5" t="s">
        <v>2274</v>
      </c>
      <c r="B201" s="2" t="s">
        <v>2274</v>
      </c>
      <c r="C201" s="2" t="s">
        <v>407</v>
      </c>
      <c r="D201" s="12">
        <f>D199+D81</f>
        <v>11.359</v>
      </c>
      <c r="E201" s="12">
        <f>E199+E81</f>
        <v>11.885</v>
      </c>
      <c r="F201" s="12">
        <f>F199+F81</f>
        <v>11.385</v>
      </c>
      <c r="G201" s="12">
        <f>G199+G81</f>
        <v>11.885</v>
      </c>
      <c r="H201" s="12">
        <f>H199+H81</f>
        <v>11.385</v>
      </c>
    </row>
    <row r="202" spans="1:8" hidden="1" x14ac:dyDescent="0.2">
      <c r="A202" s="5" t="s">
        <v>2400</v>
      </c>
      <c r="B202" s="2" t="s">
        <v>2275</v>
      </c>
      <c r="C202" s="2" t="s">
        <v>407</v>
      </c>
      <c r="D202" s="2">
        <f>D105</f>
        <v>11.513500000000001</v>
      </c>
      <c r="E202" s="2">
        <f>E105</f>
        <v>12.1425</v>
      </c>
      <c r="F202" s="2">
        <f>F105</f>
        <v>11.6425</v>
      </c>
      <c r="G202" s="2">
        <f>G105</f>
        <v>12.1425</v>
      </c>
      <c r="H202" s="2">
        <f>H105</f>
        <v>11.6425</v>
      </c>
    </row>
    <row r="203" spans="1:8" hidden="1" x14ac:dyDescent="0.2">
      <c r="A203" s="5" t="s">
        <v>2276</v>
      </c>
      <c r="B203" s="2" t="s">
        <v>2276</v>
      </c>
      <c r="C203" s="2" t="s">
        <v>407</v>
      </c>
      <c r="D203" s="12">
        <f>D201+D82</f>
        <v>11.667999999999999</v>
      </c>
      <c r="E203" s="12">
        <f>E201+E82</f>
        <v>12.4</v>
      </c>
      <c r="F203" s="12">
        <f>F201+F82</f>
        <v>11.9</v>
      </c>
      <c r="G203" s="12">
        <f>G201+G82</f>
        <v>12.4</v>
      </c>
      <c r="H203" s="12">
        <f>H201+H82</f>
        <v>11.9</v>
      </c>
    </row>
    <row r="204" spans="1:8" hidden="1" x14ac:dyDescent="0.2">
      <c r="A204" s="5" t="s">
        <v>2401</v>
      </c>
      <c r="B204" s="2" t="s">
        <v>2277</v>
      </c>
      <c r="C204" s="2" t="s">
        <v>407</v>
      </c>
      <c r="D204" s="2">
        <f>D106</f>
        <v>11.917999999999999</v>
      </c>
      <c r="E204" s="2">
        <f>E106</f>
        <v>12.4</v>
      </c>
      <c r="F204" s="2">
        <f>F106</f>
        <v>12.15</v>
      </c>
      <c r="G204" s="2">
        <f>G106</f>
        <v>12.65</v>
      </c>
      <c r="H204" s="2">
        <f>H106</f>
        <v>11.9</v>
      </c>
    </row>
    <row r="205" spans="1:8" hidden="1" x14ac:dyDescent="0.2">
      <c r="A205" s="5" t="s">
        <v>2278</v>
      </c>
      <c r="B205" s="2" t="s">
        <v>2278</v>
      </c>
      <c r="C205" s="2" t="s">
        <v>407</v>
      </c>
      <c r="D205" s="12">
        <f>D203+D83</f>
        <v>12.167999999999999</v>
      </c>
      <c r="E205" s="12">
        <f>E203+E83</f>
        <v>12.4</v>
      </c>
      <c r="F205" s="12">
        <f>F203+F83</f>
        <v>12.4</v>
      </c>
      <c r="G205" s="12">
        <f>G203+G83</f>
        <v>12.9</v>
      </c>
      <c r="H205" s="12">
        <f>H203+H83</f>
        <v>11.9</v>
      </c>
    </row>
    <row r="206" spans="1:8" hidden="1" x14ac:dyDescent="0.2"/>
    <row r="207" spans="1:8" hidden="1" x14ac:dyDescent="0.2">
      <c r="A207" s="45" t="s">
        <v>2402</v>
      </c>
    </row>
    <row r="208" spans="1:8" hidden="1" x14ac:dyDescent="0.2">
      <c r="A208" s="5" t="s">
        <v>2398</v>
      </c>
      <c r="B208" s="2" t="s">
        <v>2269</v>
      </c>
      <c r="C208" s="2" t="s">
        <v>407</v>
      </c>
      <c r="D208" s="12">
        <f t="shared" ref="D208:E217" si="115">D$191-D196</f>
        <v>11.431155430711611</v>
      </c>
      <c r="E208" s="12">
        <f t="shared" si="115"/>
        <v>0.6530555555555555</v>
      </c>
      <c r="F208" s="12">
        <f t="shared" ref="F208:G208" si="116">F$191-F196</f>
        <v>11.496944444444445</v>
      </c>
      <c r="G208" s="12">
        <f t="shared" si="116"/>
        <v>6.1999999999999993</v>
      </c>
      <c r="H208" s="12">
        <f t="shared" ref="H208" si="117">H$191-H196</f>
        <v>5.9499999999999993</v>
      </c>
    </row>
    <row r="209" spans="1:8" hidden="1" x14ac:dyDescent="0.2">
      <c r="A209" s="5" t="s">
        <v>2270</v>
      </c>
      <c r="B209" s="2" t="s">
        <v>2270</v>
      </c>
      <c r="C209" s="2" t="s">
        <v>407</v>
      </c>
      <c r="D209" s="12">
        <f t="shared" si="115"/>
        <v>11.431155430711611</v>
      </c>
      <c r="E209" s="12">
        <f t="shared" si="115"/>
        <v>0.4030555555555555</v>
      </c>
      <c r="F209" s="12">
        <f t="shared" ref="F209:G209" si="118">F$191-F197</f>
        <v>11.496944444444445</v>
      </c>
      <c r="G209" s="12">
        <f t="shared" si="118"/>
        <v>5.9499999999999993</v>
      </c>
      <c r="H209" s="12">
        <f t="shared" ref="H209" si="119">H$191-H197</f>
        <v>5.9499999999999993</v>
      </c>
    </row>
    <row r="210" spans="1:8" hidden="1" x14ac:dyDescent="0.2">
      <c r="A210" s="5" t="s">
        <v>2399</v>
      </c>
      <c r="B210" s="2" t="s">
        <v>2271</v>
      </c>
      <c r="C210" s="2" t="s">
        <v>407</v>
      </c>
      <c r="D210" s="12">
        <f t="shared" si="115"/>
        <v>11.18665543071161</v>
      </c>
      <c r="E210" s="12">
        <f t="shared" si="115"/>
        <v>0.14555555555555544</v>
      </c>
      <c r="F210" s="12">
        <f t="shared" ref="F210:G210" si="120">F$191-F198</f>
        <v>11.239444444444445</v>
      </c>
      <c r="G210" s="12">
        <f t="shared" si="120"/>
        <v>5.692499999999999</v>
      </c>
      <c r="H210" s="12">
        <f t="shared" ref="H210" si="121">H$191-H198</f>
        <v>5.692499999999999</v>
      </c>
    </row>
    <row r="211" spans="1:8" hidden="1" x14ac:dyDescent="0.2">
      <c r="A211" s="5" t="s">
        <v>2272</v>
      </c>
      <c r="B211" s="2" t="s">
        <v>2272</v>
      </c>
      <c r="C211" s="2" t="s">
        <v>407</v>
      </c>
      <c r="D211" s="12">
        <f t="shared" si="115"/>
        <v>10.94215543071161</v>
      </c>
      <c r="E211" s="12">
        <f t="shared" si="115"/>
        <v>-0.11194444444444462</v>
      </c>
      <c r="F211" s="12">
        <f t="shared" ref="F211:G211" si="122">F$191-F199</f>
        <v>10.981944444444444</v>
      </c>
      <c r="G211" s="12">
        <f t="shared" si="122"/>
        <v>5.4349999999999987</v>
      </c>
      <c r="H211" s="12">
        <f t="shared" ref="H211" si="123">H$191-H199</f>
        <v>5.4349999999999996</v>
      </c>
    </row>
    <row r="212" spans="1:8" hidden="1" x14ac:dyDescent="0.2">
      <c r="A212" s="5" t="s">
        <v>2480</v>
      </c>
      <c r="B212" s="2" t="s">
        <v>2273</v>
      </c>
      <c r="C212" s="2" t="s">
        <v>407</v>
      </c>
      <c r="D212" s="12">
        <f t="shared" si="115"/>
        <v>5.5071554307116113</v>
      </c>
      <c r="E212" s="12">
        <f t="shared" si="115"/>
        <v>-5.5469444444444438</v>
      </c>
      <c r="F212" s="12">
        <f t="shared" ref="F212:G212" si="124">F$191-F200</f>
        <v>5.5469444444444456</v>
      </c>
      <c r="G212" s="12">
        <f t="shared" si="124"/>
        <v>0</v>
      </c>
      <c r="H212" s="12">
        <f t="shared" ref="H212" si="125">H$191-H200</f>
        <v>0</v>
      </c>
    </row>
    <row r="213" spans="1:8" hidden="1" x14ac:dyDescent="0.2">
      <c r="A213" s="5" t="s">
        <v>2274</v>
      </c>
      <c r="B213" s="2" t="s">
        <v>2274</v>
      </c>
      <c r="C213" s="2" t="s">
        <v>407</v>
      </c>
      <c r="D213" s="12">
        <f t="shared" si="115"/>
        <v>7.2155430711610791E-2</v>
      </c>
      <c r="E213" s="12">
        <f t="shared" si="115"/>
        <v>-10.981944444444444</v>
      </c>
      <c r="F213" s="12">
        <f t="shared" ref="F213:G213" si="126">F$191-F201</f>
        <v>0.11194444444444507</v>
      </c>
      <c r="G213" s="12">
        <f t="shared" si="126"/>
        <v>-5.4350000000000005</v>
      </c>
      <c r="H213" s="12">
        <f t="shared" ref="H213" si="127">H$191-H201</f>
        <v>-5.4350000000000005</v>
      </c>
    </row>
    <row r="214" spans="1:8" hidden="1" x14ac:dyDescent="0.2">
      <c r="A214" s="5" t="s">
        <v>2400</v>
      </c>
      <c r="B214" s="2" t="s">
        <v>2275</v>
      </c>
      <c r="C214" s="2" t="s">
        <v>407</v>
      </c>
      <c r="D214" s="12">
        <f t="shared" si="115"/>
        <v>-8.2344569288389735E-2</v>
      </c>
      <c r="E214" s="12">
        <f t="shared" si="115"/>
        <v>-11.239444444444445</v>
      </c>
      <c r="F214" s="12">
        <f t="shared" ref="F214:G214" si="128">F$191-F202</f>
        <v>-0.14555555555555522</v>
      </c>
      <c r="G214" s="12">
        <f t="shared" si="128"/>
        <v>-5.6925000000000008</v>
      </c>
      <c r="H214" s="12">
        <f t="shared" ref="H214" si="129">H$191-H202</f>
        <v>-5.6925000000000008</v>
      </c>
    </row>
    <row r="215" spans="1:8" hidden="1" x14ac:dyDescent="0.2">
      <c r="A215" s="5" t="s">
        <v>2276</v>
      </c>
      <c r="B215" s="2" t="s">
        <v>2276</v>
      </c>
      <c r="C215" s="2" t="s">
        <v>407</v>
      </c>
      <c r="D215" s="12">
        <f t="shared" si="115"/>
        <v>-0.23684456928838848</v>
      </c>
      <c r="E215" s="12">
        <f t="shared" si="115"/>
        <v>-11.496944444444445</v>
      </c>
      <c r="F215" s="12">
        <f t="shared" ref="F215:G215" si="130">F$191-F203</f>
        <v>-0.4030555555555555</v>
      </c>
      <c r="G215" s="12">
        <f t="shared" si="130"/>
        <v>-5.9500000000000011</v>
      </c>
      <c r="H215" s="12">
        <f t="shared" ref="H215" si="131">H$191-H203</f>
        <v>-5.9500000000000011</v>
      </c>
    </row>
    <row r="216" spans="1:8" hidden="1" x14ac:dyDescent="0.2">
      <c r="A216" s="5" t="s">
        <v>2401</v>
      </c>
      <c r="B216" s="2" t="s">
        <v>2277</v>
      </c>
      <c r="C216" s="2" t="s">
        <v>407</v>
      </c>
      <c r="D216" s="12">
        <f t="shared" si="115"/>
        <v>-0.48684456928838848</v>
      </c>
      <c r="E216" s="12">
        <f t="shared" si="115"/>
        <v>-11.496944444444445</v>
      </c>
      <c r="F216" s="12">
        <f t="shared" ref="F216:G216" si="132">F$191-F204</f>
        <v>-0.6530555555555555</v>
      </c>
      <c r="G216" s="12">
        <f t="shared" si="132"/>
        <v>-6.2000000000000011</v>
      </c>
      <c r="H216" s="12">
        <f t="shared" ref="H216" si="133">H$191-H204</f>
        <v>-5.9500000000000011</v>
      </c>
    </row>
    <row r="217" spans="1:8" hidden="1" x14ac:dyDescent="0.2">
      <c r="A217" s="5" t="s">
        <v>2278</v>
      </c>
      <c r="B217" s="2" t="s">
        <v>2278</v>
      </c>
      <c r="C217" s="2" t="s">
        <v>407</v>
      </c>
      <c r="D217" s="12">
        <f t="shared" si="115"/>
        <v>-0.73684456928838848</v>
      </c>
      <c r="E217" s="12">
        <f t="shared" si="115"/>
        <v>-11.496944444444445</v>
      </c>
      <c r="F217" s="12">
        <f t="shared" ref="F217:G217" si="134">F$191-F205</f>
        <v>-0.9030555555555555</v>
      </c>
      <c r="G217" s="12">
        <f t="shared" si="134"/>
        <v>-6.4500000000000011</v>
      </c>
      <c r="H217" s="12">
        <f t="shared" ref="H217" si="135">H$191-H205</f>
        <v>-5.9500000000000011</v>
      </c>
    </row>
    <row r="218" spans="1:8" hidden="1" x14ac:dyDescent="0.2"/>
    <row r="219" spans="1:8" hidden="1" x14ac:dyDescent="0.2">
      <c r="A219" s="45" t="s">
        <v>2403</v>
      </c>
    </row>
    <row r="220" spans="1:8" hidden="1" x14ac:dyDescent="0.2">
      <c r="A220" s="5" t="s">
        <v>2398</v>
      </c>
      <c r="B220" s="2" t="s">
        <v>2269</v>
      </c>
      <c r="C220" s="2" t="s">
        <v>407</v>
      </c>
      <c r="D220" s="12">
        <f t="shared" ref="D220:E229" si="136">D208/2</f>
        <v>5.7155777153558054</v>
      </c>
      <c r="E220" s="12">
        <f t="shared" si="136"/>
        <v>0.32652777777777775</v>
      </c>
      <c r="F220" s="12">
        <f t="shared" ref="F220:G220" si="137">F208/2</f>
        <v>5.7484722222222224</v>
      </c>
      <c r="G220" s="12">
        <f t="shared" si="137"/>
        <v>3.0999999999999996</v>
      </c>
      <c r="H220" s="12">
        <f t="shared" ref="H220" si="138">H208/2</f>
        <v>2.9749999999999996</v>
      </c>
    </row>
    <row r="221" spans="1:8" hidden="1" x14ac:dyDescent="0.2">
      <c r="A221" s="5" t="s">
        <v>2270</v>
      </c>
      <c r="B221" s="2" t="s">
        <v>2270</v>
      </c>
      <c r="C221" s="2" t="s">
        <v>407</v>
      </c>
      <c r="D221" s="12">
        <f t="shared" si="136"/>
        <v>5.7155777153558054</v>
      </c>
      <c r="E221" s="12">
        <f t="shared" si="136"/>
        <v>0.20152777777777775</v>
      </c>
      <c r="F221" s="12">
        <f t="shared" ref="F221:G221" si="139">F209/2</f>
        <v>5.7484722222222224</v>
      </c>
      <c r="G221" s="12">
        <f t="shared" si="139"/>
        <v>2.9749999999999996</v>
      </c>
      <c r="H221" s="12">
        <f t="shared" ref="H221" si="140">H209/2</f>
        <v>2.9749999999999996</v>
      </c>
    </row>
    <row r="222" spans="1:8" hidden="1" x14ac:dyDescent="0.2">
      <c r="A222" s="5" t="s">
        <v>2399</v>
      </c>
      <c r="B222" s="2" t="s">
        <v>2271</v>
      </c>
      <c r="C222" s="2" t="s">
        <v>407</v>
      </c>
      <c r="D222" s="12">
        <f t="shared" si="136"/>
        <v>5.5933277153558052</v>
      </c>
      <c r="E222" s="12">
        <f t="shared" si="136"/>
        <v>7.2777777777777719E-2</v>
      </c>
      <c r="F222" s="12">
        <f t="shared" ref="F222:G222" si="141">F210/2</f>
        <v>5.6197222222222223</v>
      </c>
      <c r="G222" s="12">
        <f t="shared" si="141"/>
        <v>2.8462499999999995</v>
      </c>
      <c r="H222" s="12">
        <f t="shared" ref="H222" si="142">H210/2</f>
        <v>2.8462499999999995</v>
      </c>
    </row>
    <row r="223" spans="1:8" hidden="1" x14ac:dyDescent="0.2">
      <c r="A223" s="5" t="s">
        <v>2272</v>
      </c>
      <c r="B223" s="2" t="s">
        <v>2272</v>
      </c>
      <c r="C223" s="2" t="s">
        <v>407</v>
      </c>
      <c r="D223" s="12">
        <f t="shared" si="136"/>
        <v>5.471077715355805</v>
      </c>
      <c r="E223" s="12">
        <f t="shared" si="136"/>
        <v>-5.5972222222222312E-2</v>
      </c>
      <c r="F223" s="12">
        <f t="shared" ref="F223:G223" si="143">F211/2</f>
        <v>5.4909722222222221</v>
      </c>
      <c r="G223" s="12">
        <f t="shared" si="143"/>
        <v>2.7174999999999994</v>
      </c>
      <c r="H223" s="12">
        <f t="shared" ref="H223" si="144">H211/2</f>
        <v>2.7174999999999998</v>
      </c>
    </row>
    <row r="224" spans="1:8" hidden="1" x14ac:dyDescent="0.2">
      <c r="A224" s="5" t="s">
        <v>2480</v>
      </c>
      <c r="B224" s="2" t="s">
        <v>2273</v>
      </c>
      <c r="C224" s="2" t="s">
        <v>407</v>
      </c>
      <c r="D224" s="12">
        <f t="shared" si="136"/>
        <v>2.7535777153558056</v>
      </c>
      <c r="E224" s="12">
        <f t="shared" si="136"/>
        <v>-2.7734722222222219</v>
      </c>
      <c r="F224" s="12">
        <f t="shared" ref="F224:G224" si="145">F212/2</f>
        <v>2.7734722222222228</v>
      </c>
      <c r="G224" s="12">
        <f t="shared" si="145"/>
        <v>0</v>
      </c>
      <c r="H224" s="12">
        <f t="shared" ref="H224" si="146">H212/2</f>
        <v>0</v>
      </c>
    </row>
    <row r="225" spans="1:8" hidden="1" x14ac:dyDescent="0.2">
      <c r="A225" s="5" t="s">
        <v>2274</v>
      </c>
      <c r="B225" s="2" t="s">
        <v>2274</v>
      </c>
      <c r="C225" s="2" t="s">
        <v>407</v>
      </c>
      <c r="D225" s="12">
        <f t="shared" si="136"/>
        <v>3.6077715355805395E-2</v>
      </c>
      <c r="E225" s="12">
        <f t="shared" si="136"/>
        <v>-5.4909722222222221</v>
      </c>
      <c r="F225" s="12">
        <f t="shared" ref="F225:G225" si="147">F213/2</f>
        <v>5.5972222222222534E-2</v>
      </c>
      <c r="G225" s="12">
        <f t="shared" si="147"/>
        <v>-2.7175000000000002</v>
      </c>
      <c r="H225" s="12">
        <f t="shared" ref="H225" si="148">H213/2</f>
        <v>-2.7175000000000002</v>
      </c>
    </row>
    <row r="226" spans="1:8" hidden="1" x14ac:dyDescent="0.2">
      <c r="A226" s="5" t="s">
        <v>2400</v>
      </c>
      <c r="B226" s="2" t="s">
        <v>2275</v>
      </c>
      <c r="C226" s="2" t="s">
        <v>407</v>
      </c>
      <c r="D226" s="12">
        <f t="shared" si="136"/>
        <v>-4.1172284644194868E-2</v>
      </c>
      <c r="E226" s="12">
        <f t="shared" si="136"/>
        <v>-5.6197222222222223</v>
      </c>
      <c r="F226" s="12">
        <f t="shared" ref="F226:G226" si="149">F214/2</f>
        <v>-7.2777777777777608E-2</v>
      </c>
      <c r="G226" s="12">
        <f t="shared" si="149"/>
        <v>-2.8462500000000004</v>
      </c>
      <c r="H226" s="12">
        <f t="shared" ref="H226" si="150">H214/2</f>
        <v>-2.8462500000000004</v>
      </c>
    </row>
    <row r="227" spans="1:8" hidden="1" x14ac:dyDescent="0.2">
      <c r="A227" s="5" t="s">
        <v>2276</v>
      </c>
      <c r="B227" s="2" t="s">
        <v>2276</v>
      </c>
      <c r="C227" s="2" t="s">
        <v>407</v>
      </c>
      <c r="D227" s="12">
        <f t="shared" si="136"/>
        <v>-0.11842228464419424</v>
      </c>
      <c r="E227" s="12">
        <f t="shared" si="136"/>
        <v>-5.7484722222222224</v>
      </c>
      <c r="F227" s="12">
        <f t="shared" ref="F227:G227" si="151">F215/2</f>
        <v>-0.20152777777777775</v>
      </c>
      <c r="G227" s="12">
        <f t="shared" si="151"/>
        <v>-2.9750000000000005</v>
      </c>
      <c r="H227" s="12">
        <f t="shared" ref="H227" si="152">H215/2</f>
        <v>-2.9750000000000005</v>
      </c>
    </row>
    <row r="228" spans="1:8" hidden="1" x14ac:dyDescent="0.2">
      <c r="A228" s="5" t="s">
        <v>2401</v>
      </c>
      <c r="B228" s="2" t="s">
        <v>2277</v>
      </c>
      <c r="C228" s="2" t="s">
        <v>407</v>
      </c>
      <c r="D228" s="12">
        <f t="shared" si="136"/>
        <v>-0.24342228464419424</v>
      </c>
      <c r="E228" s="12">
        <f t="shared" si="136"/>
        <v>-5.7484722222222224</v>
      </c>
      <c r="F228" s="12">
        <f t="shared" ref="F228:G228" si="153">F216/2</f>
        <v>-0.32652777777777775</v>
      </c>
      <c r="G228" s="12">
        <f t="shared" si="153"/>
        <v>-3.1000000000000005</v>
      </c>
      <c r="H228" s="12">
        <f t="shared" ref="H228" si="154">H216/2</f>
        <v>-2.9750000000000005</v>
      </c>
    </row>
    <row r="229" spans="1:8" hidden="1" x14ac:dyDescent="0.2">
      <c r="A229" s="5" t="s">
        <v>2278</v>
      </c>
      <c r="B229" s="2" t="s">
        <v>2278</v>
      </c>
      <c r="C229" s="2" t="s">
        <v>407</v>
      </c>
      <c r="D229" s="12">
        <f t="shared" si="136"/>
        <v>-0.36842228464419424</v>
      </c>
      <c r="E229" s="12">
        <f t="shared" si="136"/>
        <v>-5.7484722222222224</v>
      </c>
      <c r="F229" s="12">
        <f t="shared" ref="F229:G229" si="155">F217/2</f>
        <v>-0.45152777777777775</v>
      </c>
      <c r="G229" s="12">
        <f t="shared" si="155"/>
        <v>-3.2250000000000005</v>
      </c>
      <c r="H229" s="12">
        <f t="shared" ref="H229" si="156">H217/2</f>
        <v>-2.9750000000000005</v>
      </c>
    </row>
    <row r="230" spans="1:8" hidden="1" x14ac:dyDescent="0.2"/>
    <row r="231" spans="1:8" hidden="1" x14ac:dyDescent="0.2">
      <c r="A231" s="45" t="s">
        <v>2404</v>
      </c>
    </row>
    <row r="232" spans="1:8" hidden="1" x14ac:dyDescent="0.2">
      <c r="A232" s="5" t="s">
        <v>2398</v>
      </c>
      <c r="B232" s="2" t="s">
        <v>2269</v>
      </c>
      <c r="C232" s="2" t="s">
        <v>407</v>
      </c>
      <c r="D232" s="12">
        <f>D87</f>
        <v>0</v>
      </c>
      <c r="E232" s="12">
        <f>E87</f>
        <v>10</v>
      </c>
      <c r="F232" s="12">
        <f>F87</f>
        <v>0</v>
      </c>
      <c r="G232" s="12">
        <f>G87</f>
        <v>0.5</v>
      </c>
      <c r="H232" s="12">
        <f>H87</f>
        <v>0</v>
      </c>
    </row>
    <row r="233" spans="1:8" hidden="1" x14ac:dyDescent="0.2">
      <c r="A233" s="5" t="s">
        <v>2270</v>
      </c>
      <c r="B233" s="2" t="s">
        <v>2270</v>
      </c>
      <c r="C233" s="2" t="s">
        <v>407</v>
      </c>
      <c r="D233" s="12">
        <f>D232</f>
        <v>0</v>
      </c>
      <c r="E233" s="12">
        <f>E232</f>
        <v>10</v>
      </c>
      <c r="F233" s="12">
        <f>F232</f>
        <v>0</v>
      </c>
      <c r="G233" s="12">
        <f>G232</f>
        <v>0.5</v>
      </c>
      <c r="H233" s="12">
        <f>H232</f>
        <v>0</v>
      </c>
    </row>
    <row r="234" spans="1:8" hidden="1" x14ac:dyDescent="0.2">
      <c r="A234" s="5" t="s">
        <v>2399</v>
      </c>
      <c r="B234" s="2" t="s">
        <v>2271</v>
      </c>
      <c r="C234" s="2" t="s">
        <v>407</v>
      </c>
      <c r="D234" s="12">
        <f t="shared" ref="D234:E234" si="157">D88</f>
        <v>8.01</v>
      </c>
      <c r="E234" s="12">
        <f t="shared" si="157"/>
        <v>8.01</v>
      </c>
      <c r="F234" s="12">
        <f t="shared" ref="F234:G234" si="158">F88</f>
        <v>8.01</v>
      </c>
      <c r="G234" s="12">
        <f t="shared" si="158"/>
        <v>8.01</v>
      </c>
      <c r="H234" s="12">
        <f t="shared" ref="H234" si="159">H88</f>
        <v>8.01</v>
      </c>
    </row>
    <row r="235" spans="1:8" hidden="1" x14ac:dyDescent="0.2">
      <c r="A235" s="5" t="s">
        <v>2272</v>
      </c>
      <c r="B235" s="2" t="s">
        <v>2272</v>
      </c>
      <c r="C235" s="2" t="s">
        <v>407</v>
      </c>
      <c r="D235" s="12">
        <f>D234</f>
        <v>8.01</v>
      </c>
      <c r="E235" s="12">
        <f>E234</f>
        <v>8.01</v>
      </c>
      <c r="F235" s="12">
        <f>F234</f>
        <v>8.01</v>
      </c>
      <c r="G235" s="12">
        <f>G234</f>
        <v>8.01</v>
      </c>
      <c r="H235" s="12">
        <f>H234</f>
        <v>8.01</v>
      </c>
    </row>
    <row r="236" spans="1:8" hidden="1" x14ac:dyDescent="0.2">
      <c r="A236" s="5" t="s">
        <v>2480</v>
      </c>
      <c r="B236" s="2" t="s">
        <v>2273</v>
      </c>
      <c r="C236" s="2" t="s">
        <v>407</v>
      </c>
      <c r="D236" s="12">
        <f t="shared" ref="D236:E236" si="160">D89</f>
        <v>0.221</v>
      </c>
      <c r="E236" s="12">
        <f t="shared" si="160"/>
        <v>0.29499999999999998</v>
      </c>
      <c r="F236" s="12">
        <f t="shared" ref="F236:G236" si="161">F89</f>
        <v>0.29499999999999998</v>
      </c>
      <c r="G236" s="12">
        <f t="shared" si="161"/>
        <v>0.29499999999999998</v>
      </c>
      <c r="H236" s="12">
        <f t="shared" ref="H236" si="162">H89</f>
        <v>0.29499999999999998</v>
      </c>
    </row>
    <row r="237" spans="1:8" hidden="1" x14ac:dyDescent="0.2">
      <c r="A237" s="5" t="s">
        <v>2274</v>
      </c>
      <c r="B237" s="2" t="s">
        <v>2274</v>
      </c>
      <c r="C237" s="2" t="s">
        <v>407</v>
      </c>
      <c r="D237" s="12">
        <f>D236</f>
        <v>0.221</v>
      </c>
      <c r="E237" s="12">
        <f>E236</f>
        <v>0.29499999999999998</v>
      </c>
      <c r="F237" s="12">
        <f>F236</f>
        <v>0.29499999999999998</v>
      </c>
      <c r="G237" s="12">
        <f>G236</f>
        <v>0.29499999999999998</v>
      </c>
      <c r="H237" s="12">
        <f>H236</f>
        <v>0.29499999999999998</v>
      </c>
    </row>
    <row r="238" spans="1:8" hidden="1" x14ac:dyDescent="0.2">
      <c r="A238" s="5" t="s">
        <v>2400</v>
      </c>
      <c r="B238" s="2" t="s">
        <v>2275</v>
      </c>
      <c r="C238" s="2" t="s">
        <v>407</v>
      </c>
      <c r="D238" s="12">
        <f t="shared" ref="D238:E238" si="163">D90</f>
        <v>8.01</v>
      </c>
      <c r="E238" s="12">
        <f t="shared" si="163"/>
        <v>8.01</v>
      </c>
      <c r="F238" s="12">
        <f t="shared" ref="F238:G238" si="164">F90</f>
        <v>8.01</v>
      </c>
      <c r="G238" s="12">
        <f t="shared" si="164"/>
        <v>8.01</v>
      </c>
      <c r="H238" s="12">
        <f t="shared" ref="H238" si="165">H90</f>
        <v>8.01</v>
      </c>
    </row>
    <row r="239" spans="1:8" hidden="1" x14ac:dyDescent="0.2">
      <c r="A239" s="5" t="s">
        <v>2276</v>
      </c>
      <c r="B239" s="2" t="s">
        <v>2276</v>
      </c>
      <c r="C239" s="2" t="s">
        <v>407</v>
      </c>
      <c r="D239" s="12">
        <f>D238</f>
        <v>8.01</v>
      </c>
      <c r="E239" s="12">
        <f>E238</f>
        <v>8.01</v>
      </c>
      <c r="F239" s="12">
        <f>F238</f>
        <v>8.01</v>
      </c>
      <c r="G239" s="12">
        <f>G238</f>
        <v>8.01</v>
      </c>
      <c r="H239" s="12">
        <f>H238</f>
        <v>8.01</v>
      </c>
    </row>
    <row r="240" spans="1:8" hidden="1" x14ac:dyDescent="0.2">
      <c r="A240" s="5" t="s">
        <v>2401</v>
      </c>
      <c r="B240" s="2" t="s">
        <v>2277</v>
      </c>
      <c r="C240" s="2" t="s">
        <v>407</v>
      </c>
      <c r="D240" s="12">
        <f t="shared" ref="D240:E240" si="166">D91</f>
        <v>10</v>
      </c>
      <c r="E240" s="12">
        <f t="shared" si="166"/>
        <v>0</v>
      </c>
      <c r="F240" s="12">
        <f t="shared" ref="F240:G240" si="167">F91</f>
        <v>10</v>
      </c>
      <c r="G240" s="12">
        <f t="shared" si="167"/>
        <v>0.5</v>
      </c>
      <c r="H240" s="12">
        <f t="shared" ref="H240" si="168">H91</f>
        <v>0</v>
      </c>
    </row>
    <row r="241" spans="1:8" hidden="1" x14ac:dyDescent="0.2">
      <c r="A241" s="5" t="s">
        <v>2278</v>
      </c>
      <c r="B241" s="2" t="s">
        <v>2278</v>
      </c>
      <c r="C241" s="2" t="s">
        <v>407</v>
      </c>
      <c r="D241" s="12">
        <f>D240</f>
        <v>10</v>
      </c>
      <c r="E241" s="12">
        <f>E240</f>
        <v>0</v>
      </c>
      <c r="F241" s="12">
        <f>F240</f>
        <v>10</v>
      </c>
      <c r="G241" s="12">
        <f>G240</f>
        <v>0.5</v>
      </c>
      <c r="H241" s="12">
        <f>H240</f>
        <v>0</v>
      </c>
    </row>
    <row r="242" spans="1:8" hidden="1" x14ac:dyDescent="0.2"/>
    <row r="243" spans="1:8" hidden="1" x14ac:dyDescent="0.2">
      <c r="A243" s="45" t="s">
        <v>2405</v>
      </c>
    </row>
    <row r="244" spans="1:8" hidden="1" x14ac:dyDescent="0.2">
      <c r="A244" s="5" t="s">
        <v>2398</v>
      </c>
      <c r="B244" s="2" t="s">
        <v>2269</v>
      </c>
      <c r="C244" s="2" t="s">
        <v>2406</v>
      </c>
      <c r="D244" s="15">
        <f>IF(D$191=D185,1,0)</f>
        <v>0</v>
      </c>
      <c r="E244" s="15">
        <f>IF(E$191=E185,1,0)</f>
        <v>0</v>
      </c>
      <c r="F244" s="15">
        <f>IF(F$191=F185,1,0)</f>
        <v>0</v>
      </c>
      <c r="G244" s="15">
        <f>IF(G$191=G185,1,0)</f>
        <v>0</v>
      </c>
      <c r="H244" s="15">
        <f>IF(H$191=H185,1,0)</f>
        <v>0</v>
      </c>
    </row>
    <row r="245" spans="1:8" hidden="1" x14ac:dyDescent="0.2">
      <c r="A245" s="5" t="s">
        <v>2270</v>
      </c>
      <c r="B245" s="2" t="s">
        <v>2270</v>
      </c>
      <c r="C245" s="2" t="s">
        <v>2406</v>
      </c>
      <c r="D245" s="15">
        <f t="shared" ref="D245:E246" si="169">IF(D$191=D185,1,0)</f>
        <v>0</v>
      </c>
      <c r="E245" s="15">
        <f t="shared" si="169"/>
        <v>0</v>
      </c>
      <c r="F245" s="15">
        <f t="shared" ref="F245:G245" si="170">IF(F$191=F185,1,0)</f>
        <v>0</v>
      </c>
      <c r="G245" s="15">
        <f t="shared" si="170"/>
        <v>0</v>
      </c>
      <c r="H245" s="15">
        <f t="shared" ref="H245" si="171">IF(H$191=H185,1,0)</f>
        <v>0</v>
      </c>
    </row>
    <row r="246" spans="1:8" hidden="1" x14ac:dyDescent="0.2">
      <c r="A246" s="5" t="s">
        <v>2399</v>
      </c>
      <c r="B246" s="2" t="s">
        <v>2271</v>
      </c>
      <c r="C246" s="2" t="s">
        <v>2406</v>
      </c>
      <c r="D246" s="15">
        <f t="shared" si="169"/>
        <v>0</v>
      </c>
      <c r="E246" s="15">
        <f t="shared" si="169"/>
        <v>1</v>
      </c>
      <c r="F246" s="15">
        <f t="shared" ref="F246:G246" si="172">IF(F$191=F186,1,0)</f>
        <v>0</v>
      </c>
      <c r="G246" s="15">
        <f t="shared" si="172"/>
        <v>0</v>
      </c>
      <c r="H246" s="15">
        <f t="shared" ref="H246" si="173">IF(H$191=H186,1,0)</f>
        <v>0</v>
      </c>
    </row>
    <row r="247" spans="1:8" hidden="1" x14ac:dyDescent="0.2">
      <c r="A247" s="5" t="s">
        <v>2272</v>
      </c>
      <c r="B247" s="2" t="s">
        <v>2272</v>
      </c>
      <c r="C247" s="2" t="s">
        <v>2406</v>
      </c>
      <c r="D247" s="15">
        <f t="shared" ref="D247:E248" si="174">IF(D$191=D186,1,0)</f>
        <v>0</v>
      </c>
      <c r="E247" s="15">
        <f t="shared" si="174"/>
        <v>1</v>
      </c>
      <c r="F247" s="15">
        <f t="shared" ref="F247:G247" si="175">IF(F$191=F186,1,0)</f>
        <v>0</v>
      </c>
      <c r="G247" s="15">
        <f t="shared" si="175"/>
        <v>0</v>
      </c>
      <c r="H247" s="15">
        <f t="shared" ref="H247" si="176">IF(H$191=H186,1,0)</f>
        <v>0</v>
      </c>
    </row>
    <row r="248" spans="1:8" hidden="1" x14ac:dyDescent="0.2">
      <c r="A248" s="5" t="s">
        <v>2480</v>
      </c>
      <c r="B248" s="2" t="s">
        <v>2273</v>
      </c>
      <c r="C248" s="2" t="s">
        <v>2406</v>
      </c>
      <c r="D248" s="15">
        <f t="shared" si="174"/>
        <v>0</v>
      </c>
      <c r="E248" s="15">
        <f t="shared" si="174"/>
        <v>0</v>
      </c>
      <c r="F248" s="15">
        <f t="shared" ref="F248:G248" si="177">IF(F$191=F187,1,0)</f>
        <v>0</v>
      </c>
      <c r="G248" s="15">
        <f t="shared" si="177"/>
        <v>1</v>
      </c>
      <c r="H248" s="15">
        <f t="shared" ref="H248" si="178">IF(H$191=H187,1,0)</f>
        <v>1</v>
      </c>
    </row>
    <row r="249" spans="1:8" hidden="1" x14ac:dyDescent="0.2">
      <c r="A249" s="5" t="s">
        <v>2274</v>
      </c>
      <c r="B249" s="2" t="s">
        <v>2274</v>
      </c>
      <c r="C249" s="2" t="s">
        <v>2406</v>
      </c>
      <c r="D249" s="15">
        <f t="shared" ref="D249:E250" si="179">IF(D$191=D187,1,0)</f>
        <v>0</v>
      </c>
      <c r="E249" s="15">
        <f t="shared" si="179"/>
        <v>0</v>
      </c>
      <c r="F249" s="15">
        <f t="shared" ref="F249:G249" si="180">IF(F$191=F187,1,0)</f>
        <v>0</v>
      </c>
      <c r="G249" s="15">
        <f t="shared" si="180"/>
        <v>1</v>
      </c>
      <c r="H249" s="15">
        <f t="shared" ref="H249" si="181">IF(H$191=H187,1,0)</f>
        <v>1</v>
      </c>
    </row>
    <row r="250" spans="1:8" hidden="1" x14ac:dyDescent="0.2">
      <c r="A250" s="5" t="s">
        <v>2400</v>
      </c>
      <c r="B250" s="2" t="s">
        <v>2275</v>
      </c>
      <c r="C250" s="2" t="s">
        <v>2406</v>
      </c>
      <c r="D250" s="15">
        <f t="shared" si="179"/>
        <v>1</v>
      </c>
      <c r="E250" s="15">
        <f t="shared" si="179"/>
        <v>0</v>
      </c>
      <c r="F250" s="15">
        <f t="shared" ref="F250:G250" si="182">IF(F$191=F188,1,0)</f>
        <v>1</v>
      </c>
      <c r="G250" s="15">
        <f t="shared" si="182"/>
        <v>0</v>
      </c>
      <c r="H250" s="15">
        <f t="shared" ref="H250" si="183">IF(H$191=H188,1,0)</f>
        <v>0</v>
      </c>
    </row>
    <row r="251" spans="1:8" hidden="1" x14ac:dyDescent="0.2">
      <c r="A251" s="5" t="s">
        <v>2276</v>
      </c>
      <c r="B251" s="2" t="s">
        <v>2276</v>
      </c>
      <c r="C251" s="2" t="s">
        <v>2406</v>
      </c>
      <c r="D251" s="15">
        <f t="shared" ref="D251:E252" si="184">IF(D$191=D188,1,0)</f>
        <v>1</v>
      </c>
      <c r="E251" s="15">
        <f t="shared" si="184"/>
        <v>0</v>
      </c>
      <c r="F251" s="15">
        <f t="shared" ref="F251:G251" si="185">IF(F$191=F188,1,0)</f>
        <v>1</v>
      </c>
      <c r="G251" s="15">
        <f t="shared" si="185"/>
        <v>0</v>
      </c>
      <c r="H251" s="15">
        <f t="shared" ref="H251" si="186">IF(H$191=H188,1,0)</f>
        <v>0</v>
      </c>
    </row>
    <row r="252" spans="1:8" hidden="1" x14ac:dyDescent="0.2">
      <c r="A252" s="5" t="s">
        <v>2401</v>
      </c>
      <c r="B252" s="2" t="s">
        <v>2277</v>
      </c>
      <c r="C252" s="2" t="s">
        <v>2406</v>
      </c>
      <c r="D252" s="15">
        <f t="shared" si="184"/>
        <v>0</v>
      </c>
      <c r="E252" s="15">
        <f t="shared" si="184"/>
        <v>0</v>
      </c>
      <c r="F252" s="15">
        <f t="shared" ref="F252:G252" si="187">IF(F$191=F189,1,0)</f>
        <v>0</v>
      </c>
      <c r="G252" s="15">
        <f t="shared" si="187"/>
        <v>0</v>
      </c>
      <c r="H252" s="15">
        <f t="shared" ref="H252" si="188">IF(H$191=H189,1,0)</f>
        <v>0</v>
      </c>
    </row>
    <row r="253" spans="1:8" hidden="1" x14ac:dyDescent="0.2">
      <c r="A253" s="5" t="s">
        <v>2278</v>
      </c>
      <c r="B253" s="2" t="s">
        <v>2278</v>
      </c>
      <c r="C253" s="2" t="s">
        <v>2406</v>
      </c>
      <c r="D253" s="15">
        <f>IF(D$191=D189,1,0)</f>
        <v>0</v>
      </c>
      <c r="E253" s="15">
        <f>IF(E$191=E189,1,0)</f>
        <v>0</v>
      </c>
      <c r="F253" s="15">
        <f>IF(F$191=F189,1,0)</f>
        <v>0</v>
      </c>
      <c r="G253" s="15">
        <f>IF(G$191=G189,1,0)</f>
        <v>0</v>
      </c>
      <c r="H253" s="15">
        <f>IF(H$191=H189,1,0)</f>
        <v>0</v>
      </c>
    </row>
    <row r="254" spans="1:8" hidden="1" x14ac:dyDescent="0.2"/>
    <row r="255" spans="1:8" hidden="1" x14ac:dyDescent="0.2">
      <c r="A255" s="45" t="s">
        <v>2410</v>
      </c>
    </row>
    <row r="256" spans="1:8" ht="15" hidden="1" x14ac:dyDescent="0.25">
      <c r="A256" s="5" t="s">
        <v>2398</v>
      </c>
      <c r="B256" s="2" t="s">
        <v>2411</v>
      </c>
      <c r="C256" s="3" t="s">
        <v>900</v>
      </c>
      <c r="D256" s="2">
        <f>IF(D244=0,D94,ABS(D191*D232))</f>
        <v>0</v>
      </c>
      <c r="E256" s="2">
        <f>IF(E244=0,E94,ABS(E191*E232))</f>
        <v>5</v>
      </c>
      <c r="F256" s="2">
        <f>IF(F244=0,F94,ABS(F191*F232))</f>
        <v>0</v>
      </c>
      <c r="G256" s="2">
        <f>IF(G244=0,G94,ABS(G191*G232))</f>
        <v>0.25</v>
      </c>
      <c r="H256" s="2">
        <f>IF(H244=0,H94,ABS(H191*H232))</f>
        <v>0</v>
      </c>
    </row>
    <row r="257" spans="1:8" ht="15" hidden="1" x14ac:dyDescent="0.25">
      <c r="A257" s="5" t="s">
        <v>2270</v>
      </c>
      <c r="B257" s="2" t="s">
        <v>2420</v>
      </c>
      <c r="C257" s="3" t="s">
        <v>900</v>
      </c>
      <c r="D257" s="2">
        <f>IF(D245=0,0,ABS(D209*D233))</f>
        <v>0</v>
      </c>
      <c r="E257" s="2">
        <f>IF(E245=0,0,ABS(E209*E233))</f>
        <v>0</v>
      </c>
      <c r="F257" s="2">
        <f>IF(F245=0,0,ABS(F209*F233))</f>
        <v>0</v>
      </c>
      <c r="G257" s="2">
        <f>IF(G245=0,0,ABS(G209*G233))</f>
        <v>0</v>
      </c>
      <c r="H257" s="2">
        <f>IF(H245=0,0,ABS(H209*H233))</f>
        <v>0</v>
      </c>
    </row>
    <row r="258" spans="1:8" ht="15" hidden="1" x14ac:dyDescent="0.25">
      <c r="A258" s="5" t="s">
        <v>2399</v>
      </c>
      <c r="B258" s="2" t="s">
        <v>2412</v>
      </c>
      <c r="C258" s="3" t="s">
        <v>900</v>
      </c>
      <c r="D258" s="2">
        <f>IF(D246=0,D95,ABS(D209*D234))</f>
        <v>3.91689</v>
      </c>
      <c r="E258" s="2">
        <f>IF(E246=0,E95,ABS(E209*E234))</f>
        <v>3.2284749999999995</v>
      </c>
      <c r="F258" s="2">
        <f>IF(F246=0,F95,ABS(F209*F234))</f>
        <v>4.1251499999999997</v>
      </c>
      <c r="G258" s="2">
        <f>IF(G246=0,G95,ABS(G209*G234))</f>
        <v>4.1251499999999997</v>
      </c>
      <c r="H258" s="2">
        <f>IF(H246=0,H95,ABS(H209*H234))</f>
        <v>4.1251499999999997</v>
      </c>
    </row>
    <row r="259" spans="1:8" ht="15" hidden="1" x14ac:dyDescent="0.25">
      <c r="A259" s="5" t="s">
        <v>2272</v>
      </c>
      <c r="B259" s="2" t="s">
        <v>2419</v>
      </c>
      <c r="C259" s="3" t="s">
        <v>900</v>
      </c>
      <c r="D259" s="2">
        <f>IF(D247=0,0,ABS(D211*D235))</f>
        <v>0</v>
      </c>
      <c r="E259" s="2">
        <f>IF(E247=0,0,ABS(E211*E235))</f>
        <v>0.89667500000000144</v>
      </c>
      <c r="F259" s="2">
        <f>IF(F247=0,0,ABS(F211*F235))</f>
        <v>0</v>
      </c>
      <c r="G259" s="2">
        <f>IF(G247=0,0,ABS(G211*G235))</f>
        <v>0</v>
      </c>
      <c r="H259" s="2">
        <f>IF(H247=0,0,ABS(H211*H235))</f>
        <v>0</v>
      </c>
    </row>
    <row r="260" spans="1:8" ht="15" hidden="1" x14ac:dyDescent="0.25">
      <c r="A260" s="5" t="s">
        <v>2480</v>
      </c>
      <c r="B260" s="2" t="s">
        <v>2413</v>
      </c>
      <c r="C260" s="3" t="s">
        <v>900</v>
      </c>
      <c r="D260" s="2">
        <f>IF(D248=0,D96,ABS(D211*D236))</f>
        <v>2.4022699999999997</v>
      </c>
      <c r="E260" s="2">
        <f>IF(E248=0,E96,ABS(E211*E236))</f>
        <v>3.2066499999999998</v>
      </c>
      <c r="F260" s="2">
        <f>IF(F248=0,F96,ABS(F211*F236))</f>
        <v>3.2066499999999998</v>
      </c>
      <c r="G260" s="2">
        <f>IF(G248=0,G96,ABS(G211*G236))</f>
        <v>1.6033249999999994</v>
      </c>
      <c r="H260" s="2">
        <f>IF(H248=0,H96,ABS(H211*H236))</f>
        <v>1.6033249999999999</v>
      </c>
    </row>
    <row r="261" spans="1:8" ht="15" hidden="1" x14ac:dyDescent="0.25">
      <c r="A261" s="5" t="s">
        <v>2274</v>
      </c>
      <c r="B261" s="2" t="s">
        <v>2418</v>
      </c>
      <c r="C261" s="3" t="s">
        <v>900</v>
      </c>
      <c r="D261" s="2">
        <f>IF(D249=0,0,ABS(D213*D237))</f>
        <v>0</v>
      </c>
      <c r="E261" s="2">
        <f>IF(E249=0,0,ABS(E213*E237))</f>
        <v>0</v>
      </c>
      <c r="F261" s="2">
        <f>IF(F249=0,0,ABS(F213*F237))</f>
        <v>0</v>
      </c>
      <c r="G261" s="2">
        <f>IF(G249=0,0,ABS(G213*G237))</f>
        <v>1.6033250000000001</v>
      </c>
      <c r="H261" s="2">
        <f>IF(H249=0,0,ABS(H213*H237))</f>
        <v>1.6033250000000001</v>
      </c>
    </row>
    <row r="262" spans="1:8" ht="15" hidden="1" x14ac:dyDescent="0.25">
      <c r="A262" s="5" t="s">
        <v>2400</v>
      </c>
      <c r="B262" s="2" t="s">
        <v>2414</v>
      </c>
      <c r="C262" s="3" t="s">
        <v>2407</v>
      </c>
      <c r="D262" s="2">
        <f>IF(D250=0,D97,ABS(D213*D238))</f>
        <v>0.57796500000000239</v>
      </c>
      <c r="E262" s="2">
        <f>IF(E250=0,E97,ABS(E213*E238))</f>
        <v>4.1251499999999997</v>
      </c>
      <c r="F262" s="2">
        <f>IF(F250=0,F97,ABS(F213*F238))</f>
        <v>0.896675000000005</v>
      </c>
      <c r="G262" s="2">
        <f>IF(G250=0,G97,ABS(G213*G238))</f>
        <v>4.1251499999999997</v>
      </c>
      <c r="H262" s="2">
        <f>IF(H250=0,H97,ABS(H213*H238))</f>
        <v>4.1251499999999997</v>
      </c>
    </row>
    <row r="263" spans="1:8" ht="15" hidden="1" x14ac:dyDescent="0.25">
      <c r="A263" s="5" t="s">
        <v>2276</v>
      </c>
      <c r="B263" s="2" t="s">
        <v>2417</v>
      </c>
      <c r="C263" s="3" t="s">
        <v>2407</v>
      </c>
      <c r="D263" s="2">
        <f>IF(D251=0,0,ABS(D215*D239))</f>
        <v>1.8971249999999917</v>
      </c>
      <c r="E263" s="2">
        <f>IF(E251=0,0,ABS(E215*E239))</f>
        <v>0</v>
      </c>
      <c r="F263" s="2">
        <f>IF(F251=0,0,ABS(F215*F239))</f>
        <v>3.2284749999999995</v>
      </c>
      <c r="G263" s="2">
        <f>IF(G251=0,0,ABS(G215*G239))</f>
        <v>0</v>
      </c>
      <c r="H263" s="2">
        <f>IF(H251=0,0,ABS(H215*H239))</f>
        <v>0</v>
      </c>
    </row>
    <row r="264" spans="1:8" ht="15" hidden="1" x14ac:dyDescent="0.25">
      <c r="A264" s="5" t="s">
        <v>2401</v>
      </c>
      <c r="B264" s="2" t="s">
        <v>2415</v>
      </c>
      <c r="C264" s="3" t="s">
        <v>2407</v>
      </c>
      <c r="D264" s="2">
        <f>IF(D252=0,D98,ABS(D215*D240))</f>
        <v>5</v>
      </c>
      <c r="E264" s="2">
        <f>IF(E252=0,E98,ABS(E215*E240))</f>
        <v>0</v>
      </c>
      <c r="F264" s="2">
        <f>IF(F252=0,F98,ABS(F215*F240))</f>
        <v>5</v>
      </c>
      <c r="G264" s="2">
        <f>IF(G252=0,G98,ABS(G215*G240))</f>
        <v>0.25</v>
      </c>
      <c r="H264" s="2">
        <f>IF(H252=0,H98,ABS(H215*H240))</f>
        <v>0</v>
      </c>
    </row>
    <row r="265" spans="1:8" ht="15" hidden="1" x14ac:dyDescent="0.25">
      <c r="A265" s="5" t="s">
        <v>2278</v>
      </c>
      <c r="B265" s="2" t="s">
        <v>2416</v>
      </c>
      <c r="C265" s="3" t="s">
        <v>2407</v>
      </c>
      <c r="D265" s="2">
        <f>IF(D253=0,0,ABS(D217*D241))</f>
        <v>0</v>
      </c>
      <c r="E265" s="2">
        <f>IF(E253=0,0,ABS(E217*E241))</f>
        <v>0</v>
      </c>
      <c r="F265" s="2">
        <f>IF(F253=0,0,ABS(F217*F241))</f>
        <v>0</v>
      </c>
      <c r="G265" s="2">
        <f>IF(G253=0,0,ABS(G217*G241))</f>
        <v>0</v>
      </c>
      <c r="H265" s="2">
        <f>IF(H253=0,0,ABS(H217*H241))</f>
        <v>0</v>
      </c>
    </row>
    <row r="266" spans="1:8" hidden="1" x14ac:dyDescent="0.2"/>
    <row r="267" spans="1:8" ht="25.5" hidden="1" x14ac:dyDescent="0.2">
      <c r="A267" s="59" t="s">
        <v>2469</v>
      </c>
    </row>
    <row r="268" spans="1:8" ht="14.25" hidden="1" x14ac:dyDescent="0.25">
      <c r="A268" s="5" t="s">
        <v>2398</v>
      </c>
      <c r="B268" s="2" t="s">
        <v>2421</v>
      </c>
      <c r="C268" s="2" t="s">
        <v>407</v>
      </c>
      <c r="D268" s="12">
        <f>IF(D244=0,D208,0.5*D191)</f>
        <v>11.431155430711611</v>
      </c>
      <c r="E268" s="12">
        <f>IF(E244=0,E208,0.5*E191)</f>
        <v>0.6530555555555555</v>
      </c>
      <c r="F268" s="12">
        <f>IF(F244=0,F208,0.5*F191)</f>
        <v>11.496944444444445</v>
      </c>
      <c r="G268" s="12">
        <f>IF(G244=0,G208,0.5*G191)</f>
        <v>6.1999999999999993</v>
      </c>
      <c r="H268" s="12">
        <f>IF(H244=0,H208,0.5*H191)</f>
        <v>5.9499999999999993</v>
      </c>
    </row>
    <row r="269" spans="1:8" ht="14.25" hidden="1" x14ac:dyDescent="0.25">
      <c r="A269" s="5" t="s">
        <v>2270</v>
      </c>
      <c r="B269" s="2" t="s">
        <v>2422</v>
      </c>
      <c r="C269" s="2" t="s">
        <v>407</v>
      </c>
      <c r="D269" s="12">
        <f>IF(D245=0,0,D221)</f>
        <v>0</v>
      </c>
      <c r="E269" s="12">
        <f>IF(E245=0,0,E221)</f>
        <v>0</v>
      </c>
      <c r="F269" s="12">
        <f>IF(F245=0,0,F221)</f>
        <v>0</v>
      </c>
      <c r="G269" s="12">
        <f>IF(G245=0,0,G221)</f>
        <v>0</v>
      </c>
      <c r="H269" s="12">
        <f>IF(H245=0,0,H221)</f>
        <v>0</v>
      </c>
    </row>
    <row r="270" spans="1:8" ht="14.25" hidden="1" x14ac:dyDescent="0.25">
      <c r="A270" s="5" t="s">
        <v>2399</v>
      </c>
      <c r="B270" s="67" t="s">
        <v>2423</v>
      </c>
      <c r="C270" s="2" t="s">
        <v>407</v>
      </c>
      <c r="D270" s="12">
        <f>IF(D246=0,D210,D221)</f>
        <v>11.18665543071161</v>
      </c>
      <c r="E270" s="12">
        <f>IF(E246=0,E210,E221)</f>
        <v>0.20152777777777775</v>
      </c>
      <c r="F270" s="12">
        <f>IF(F246=0,F210,F221)</f>
        <v>11.239444444444445</v>
      </c>
      <c r="G270" s="12">
        <f>IF(G246=0,G210,G221)</f>
        <v>5.692499999999999</v>
      </c>
      <c r="H270" s="12">
        <f>IF(H246=0,H210,H221)</f>
        <v>5.692499999999999</v>
      </c>
    </row>
    <row r="271" spans="1:8" ht="14.25" hidden="1" x14ac:dyDescent="0.25">
      <c r="A271" s="5" t="s">
        <v>2272</v>
      </c>
      <c r="B271" s="2" t="s">
        <v>2424</v>
      </c>
      <c r="C271" s="2" t="s">
        <v>407</v>
      </c>
      <c r="D271" s="12">
        <f>IF(D247=0,0,D223)</f>
        <v>0</v>
      </c>
      <c r="E271" s="12">
        <f>IF(E247=0,0,E223)</f>
        <v>-5.5972222222222312E-2</v>
      </c>
      <c r="F271" s="12">
        <f>IF(F247=0,0,F223)</f>
        <v>0</v>
      </c>
      <c r="G271" s="12">
        <f>IF(G247=0,0,G223)</f>
        <v>0</v>
      </c>
      <c r="H271" s="12">
        <f>IF(H247=0,0,H223)</f>
        <v>0</v>
      </c>
    </row>
    <row r="272" spans="1:8" ht="14.25" hidden="1" x14ac:dyDescent="0.25">
      <c r="A272" s="5" t="s">
        <v>2480</v>
      </c>
      <c r="B272" s="2" t="s">
        <v>2425</v>
      </c>
      <c r="C272" s="2" t="s">
        <v>407</v>
      </c>
      <c r="D272" s="12">
        <f>IF(D248=0,D212,D223)</f>
        <v>5.5071554307116113</v>
      </c>
      <c r="E272" s="12">
        <f>IF(E248=0,E212,E223)</f>
        <v>-5.5469444444444438</v>
      </c>
      <c r="F272" s="12">
        <f>IF(F248=0,F212,F223)</f>
        <v>5.5469444444444456</v>
      </c>
      <c r="G272" s="12">
        <f>IF(G248=0,G212,G223)</f>
        <v>2.7174999999999994</v>
      </c>
      <c r="H272" s="12">
        <f>IF(H248=0,H212,H223)</f>
        <v>2.7174999999999998</v>
      </c>
    </row>
    <row r="273" spans="1:8" ht="14.25" hidden="1" x14ac:dyDescent="0.25">
      <c r="A273" s="5" t="s">
        <v>2274</v>
      </c>
      <c r="B273" s="2" t="s">
        <v>2426</v>
      </c>
      <c r="C273" s="2" t="s">
        <v>407</v>
      </c>
      <c r="D273" s="12">
        <f>IF(D249=0,0,D225)</f>
        <v>0</v>
      </c>
      <c r="E273" s="12">
        <f>IF(E249=0,0,E225)</f>
        <v>0</v>
      </c>
      <c r="F273" s="12">
        <f>IF(F249=0,0,F225)</f>
        <v>0</v>
      </c>
      <c r="G273" s="12">
        <f>IF(G249=0,0,G225)</f>
        <v>-2.7175000000000002</v>
      </c>
      <c r="H273" s="12">
        <f>IF(H249=0,0,H225)</f>
        <v>-2.7175000000000002</v>
      </c>
    </row>
    <row r="274" spans="1:8" ht="14.25" hidden="1" x14ac:dyDescent="0.25">
      <c r="A274" s="5" t="s">
        <v>2400</v>
      </c>
      <c r="B274" s="2" t="s">
        <v>2427</v>
      </c>
      <c r="C274" s="2" t="s">
        <v>407</v>
      </c>
      <c r="D274" s="12">
        <f>IF(D250=0,D214,D225)</f>
        <v>3.6077715355805395E-2</v>
      </c>
      <c r="E274" s="12">
        <f>IF(E250=0,E214,E225)</f>
        <v>-11.239444444444445</v>
      </c>
      <c r="F274" s="12">
        <f>IF(F250=0,F214,F225)</f>
        <v>5.5972222222222534E-2</v>
      </c>
      <c r="G274" s="12">
        <f>IF(G250=0,G214,G225)</f>
        <v>-5.6925000000000008</v>
      </c>
      <c r="H274" s="12">
        <f>IF(H250=0,H214,H225)</f>
        <v>-5.6925000000000008</v>
      </c>
    </row>
    <row r="275" spans="1:8" ht="14.25" hidden="1" x14ac:dyDescent="0.25">
      <c r="A275" s="5" t="s">
        <v>2276</v>
      </c>
      <c r="B275" s="2" t="s">
        <v>2428</v>
      </c>
      <c r="C275" s="2" t="s">
        <v>407</v>
      </c>
      <c r="D275" s="12">
        <f>IF(D251=0,0,D227)</f>
        <v>-0.11842228464419424</v>
      </c>
      <c r="E275" s="12">
        <f>IF(E251=0,0,E227)</f>
        <v>0</v>
      </c>
      <c r="F275" s="12">
        <f>IF(F251=0,0,F227)</f>
        <v>-0.20152777777777775</v>
      </c>
      <c r="G275" s="12">
        <f>IF(G251=0,0,G227)</f>
        <v>0</v>
      </c>
      <c r="H275" s="12">
        <f>IF(H251=0,0,H227)</f>
        <v>0</v>
      </c>
    </row>
    <row r="276" spans="1:8" ht="14.25" hidden="1" x14ac:dyDescent="0.25">
      <c r="A276" s="5" t="s">
        <v>2401</v>
      </c>
      <c r="B276" s="2" t="s">
        <v>2429</v>
      </c>
      <c r="C276" s="2" t="s">
        <v>407</v>
      </c>
      <c r="D276" s="12">
        <f>IF(D252=0,D216,D227)</f>
        <v>-0.48684456928838848</v>
      </c>
      <c r="E276" s="12">
        <f>IF(E252=0,E216,E227)</f>
        <v>-11.496944444444445</v>
      </c>
      <c r="F276" s="12">
        <f>IF(F252=0,F216,F227)</f>
        <v>-0.6530555555555555</v>
      </c>
      <c r="G276" s="12">
        <f>IF(G252=0,G216,G227)</f>
        <v>-6.2000000000000011</v>
      </c>
      <c r="H276" s="12">
        <f>IF(H252=0,H216,H227)</f>
        <v>-5.9500000000000011</v>
      </c>
    </row>
    <row r="277" spans="1:8" ht="14.25" hidden="1" x14ac:dyDescent="0.25">
      <c r="A277" s="5" t="s">
        <v>2278</v>
      </c>
      <c r="B277" s="2" t="s">
        <v>2430</v>
      </c>
      <c r="C277" s="2" t="s">
        <v>407</v>
      </c>
      <c r="D277" s="12">
        <f>IF(D253=0,0,D229)</f>
        <v>0</v>
      </c>
      <c r="E277" s="12">
        <f>IF(E253=0,0,E229)</f>
        <v>0</v>
      </c>
      <c r="F277" s="12">
        <f>IF(F253=0,0,F229)</f>
        <v>0</v>
      </c>
      <c r="G277" s="12">
        <f>IF(G253=0,0,G229)</f>
        <v>0</v>
      </c>
      <c r="H277" s="12">
        <f>IF(H253=0,0,H229)</f>
        <v>0</v>
      </c>
    </row>
    <row r="278" spans="1:8" hidden="1" x14ac:dyDescent="0.2"/>
    <row r="279" spans="1:8" ht="25.5" hidden="1" x14ac:dyDescent="0.2">
      <c r="A279" s="59" t="s">
        <v>2468</v>
      </c>
    </row>
    <row r="280" spans="1:8" ht="15" hidden="1" x14ac:dyDescent="0.25">
      <c r="A280" s="5" t="s">
        <v>2398</v>
      </c>
      <c r="B280" s="2" t="s">
        <v>2431</v>
      </c>
      <c r="C280" s="3" t="s">
        <v>906</v>
      </c>
      <c r="D280" s="12">
        <f t="shared" ref="D280:E289" si="189">D256*D268</f>
        <v>0</v>
      </c>
      <c r="E280" s="12">
        <f t="shared" si="189"/>
        <v>3.2652777777777775</v>
      </c>
      <c r="F280" s="12">
        <f t="shared" ref="F280:G280" si="190">F256*F268</f>
        <v>0</v>
      </c>
      <c r="G280" s="12">
        <f t="shared" si="190"/>
        <v>1.5499999999999998</v>
      </c>
      <c r="H280" s="12">
        <f t="shared" ref="H280" si="191">H256*H268</f>
        <v>0</v>
      </c>
    </row>
    <row r="281" spans="1:8" ht="15" hidden="1" x14ac:dyDescent="0.25">
      <c r="A281" s="5" t="s">
        <v>2270</v>
      </c>
      <c r="B281" s="2" t="s">
        <v>2432</v>
      </c>
      <c r="C281" s="3" t="s">
        <v>906</v>
      </c>
      <c r="D281" s="12">
        <f t="shared" si="189"/>
        <v>0</v>
      </c>
      <c r="E281" s="12">
        <f t="shared" si="189"/>
        <v>0</v>
      </c>
      <c r="F281" s="12">
        <f t="shared" ref="F281:G281" si="192">F257*F269</f>
        <v>0</v>
      </c>
      <c r="G281" s="12">
        <f t="shared" si="192"/>
        <v>0</v>
      </c>
      <c r="H281" s="12">
        <f t="shared" ref="H281" si="193">H257*H269</f>
        <v>0</v>
      </c>
    </row>
    <row r="282" spans="1:8" ht="15" hidden="1" x14ac:dyDescent="0.25">
      <c r="A282" s="5" t="s">
        <v>2399</v>
      </c>
      <c r="B282" s="2" t="s">
        <v>2433</v>
      </c>
      <c r="C282" s="3" t="s">
        <v>2289</v>
      </c>
      <c r="D282" s="12">
        <f t="shared" si="189"/>
        <v>43.816898789999996</v>
      </c>
      <c r="E282" s="12">
        <f t="shared" si="189"/>
        <v>0.65062739236111089</v>
      </c>
      <c r="F282" s="12">
        <f t="shared" ref="F282:G282" si="194">F258*F270</f>
        <v>46.364394249999997</v>
      </c>
      <c r="G282" s="12">
        <f t="shared" si="194"/>
        <v>23.482416374999993</v>
      </c>
      <c r="H282" s="12">
        <f t="shared" ref="H282" si="195">H258*H270</f>
        <v>23.482416374999993</v>
      </c>
    </row>
    <row r="283" spans="1:8" ht="15" hidden="1" x14ac:dyDescent="0.25">
      <c r="A283" s="5" t="s">
        <v>2272</v>
      </c>
      <c r="B283" s="2" t="s">
        <v>2434</v>
      </c>
      <c r="C283" s="3" t="s">
        <v>2289</v>
      </c>
      <c r="D283" s="12">
        <f t="shared" si="189"/>
        <v>0</v>
      </c>
      <c r="E283" s="12">
        <f t="shared" si="189"/>
        <v>-5.0188892361111272E-2</v>
      </c>
      <c r="F283" s="12">
        <f t="shared" ref="F283:G283" si="196">F259*F271</f>
        <v>0</v>
      </c>
      <c r="G283" s="12">
        <f t="shared" si="196"/>
        <v>0</v>
      </c>
      <c r="H283" s="12">
        <f t="shared" ref="H283" si="197">H259*H271</f>
        <v>0</v>
      </c>
    </row>
    <row r="284" spans="1:8" ht="15" hidden="1" x14ac:dyDescent="0.25">
      <c r="A284" s="5" t="s">
        <v>2480</v>
      </c>
      <c r="B284" s="2" t="s">
        <v>2435</v>
      </c>
      <c r="C284" s="3" t="s">
        <v>2289</v>
      </c>
      <c r="D284" s="12">
        <f t="shared" si="189"/>
        <v>13.229674276535581</v>
      </c>
      <c r="E284" s="12">
        <f t="shared" si="189"/>
        <v>-17.787109402777773</v>
      </c>
      <c r="F284" s="12">
        <f t="shared" ref="F284:G284" si="198">F260*F272</f>
        <v>17.78710940277778</v>
      </c>
      <c r="G284" s="12">
        <f t="shared" si="198"/>
        <v>4.3570356874999971</v>
      </c>
      <c r="H284" s="12">
        <f t="shared" ref="H284" si="199">H260*H272</f>
        <v>4.3570356874999998</v>
      </c>
    </row>
    <row r="285" spans="1:8" ht="15" hidden="1" x14ac:dyDescent="0.25">
      <c r="A285" s="5" t="s">
        <v>2274</v>
      </c>
      <c r="B285" s="2" t="s">
        <v>2436</v>
      </c>
      <c r="C285" s="3" t="s">
        <v>2289</v>
      </c>
      <c r="D285" s="12">
        <f t="shared" si="189"/>
        <v>0</v>
      </c>
      <c r="E285" s="12">
        <f t="shared" si="189"/>
        <v>0</v>
      </c>
      <c r="F285" s="12">
        <f t="shared" ref="F285:G285" si="200">F261*F273</f>
        <v>0</v>
      </c>
      <c r="G285" s="12">
        <f t="shared" si="200"/>
        <v>-4.3570356875000007</v>
      </c>
      <c r="H285" s="12">
        <f t="shared" ref="H285" si="201">H261*H273</f>
        <v>-4.3570356875000007</v>
      </c>
    </row>
    <row r="286" spans="1:8" ht="15" hidden="1" x14ac:dyDescent="0.25">
      <c r="A286" s="5" t="s">
        <v>2400</v>
      </c>
      <c r="B286" s="2" t="s">
        <v>2437</v>
      </c>
      <c r="C286" s="3" t="s">
        <v>2289</v>
      </c>
      <c r="D286" s="12">
        <f t="shared" si="189"/>
        <v>2.0851656755618151E-2</v>
      </c>
      <c r="E286" s="12">
        <f t="shared" si="189"/>
        <v>-46.364394249999997</v>
      </c>
      <c r="F286" s="12">
        <f t="shared" ref="F286:G286" si="202">F262*F274</f>
        <v>5.0188892361111667E-2</v>
      </c>
      <c r="G286" s="12">
        <f t="shared" si="202"/>
        <v>-23.482416375</v>
      </c>
      <c r="H286" s="12">
        <f t="shared" ref="H286" si="203">H262*H274</f>
        <v>-23.482416375</v>
      </c>
    </row>
    <row r="287" spans="1:8" ht="15" hidden="1" x14ac:dyDescent="0.25">
      <c r="A287" s="5" t="s">
        <v>2276</v>
      </c>
      <c r="B287" s="2" t="s">
        <v>2438</v>
      </c>
      <c r="C287" s="3" t="s">
        <v>2289</v>
      </c>
      <c r="D287" s="12">
        <f t="shared" si="189"/>
        <v>-0.22466187675561602</v>
      </c>
      <c r="E287" s="12">
        <f t="shared" si="189"/>
        <v>0</v>
      </c>
      <c r="F287" s="12">
        <f t="shared" ref="F287:G287" si="204">F263*F275</f>
        <v>-0.65062739236111089</v>
      </c>
      <c r="G287" s="12">
        <f t="shared" si="204"/>
        <v>0</v>
      </c>
      <c r="H287" s="12">
        <f t="shared" ref="H287" si="205">H263*H275</f>
        <v>0</v>
      </c>
    </row>
    <row r="288" spans="1:8" ht="15" hidden="1" x14ac:dyDescent="0.25">
      <c r="A288" s="5" t="s">
        <v>2401</v>
      </c>
      <c r="B288" s="2" t="s">
        <v>2439</v>
      </c>
      <c r="C288" s="3" t="s">
        <v>2289</v>
      </c>
      <c r="D288" s="12">
        <f t="shared" si="189"/>
        <v>-2.4342228464419424</v>
      </c>
      <c r="E288" s="12">
        <f t="shared" si="189"/>
        <v>0</v>
      </c>
      <c r="F288" s="12">
        <f t="shared" ref="F288:G288" si="206">F264*F276</f>
        <v>-3.2652777777777775</v>
      </c>
      <c r="G288" s="12">
        <f t="shared" si="206"/>
        <v>-1.5500000000000003</v>
      </c>
      <c r="H288" s="12">
        <f t="shared" ref="H288" si="207">H264*H276</f>
        <v>0</v>
      </c>
    </row>
    <row r="289" spans="1:8" ht="15" hidden="1" x14ac:dyDescent="0.25">
      <c r="A289" s="5" t="s">
        <v>2278</v>
      </c>
      <c r="B289" s="2" t="s">
        <v>2440</v>
      </c>
      <c r="C289" s="3" t="s">
        <v>2289</v>
      </c>
      <c r="D289" s="12">
        <f t="shared" si="189"/>
        <v>0</v>
      </c>
      <c r="E289" s="12">
        <f t="shared" si="189"/>
        <v>0</v>
      </c>
      <c r="F289" s="12">
        <f t="shared" ref="F289:G289" si="208">F265*F277</f>
        <v>0</v>
      </c>
      <c r="G289" s="12">
        <f t="shared" si="208"/>
        <v>0</v>
      </c>
      <c r="H289" s="12">
        <f t="shared" ref="H289" si="209">H265*H277</f>
        <v>0</v>
      </c>
    </row>
    <row r="290" spans="1:8" hidden="1" x14ac:dyDescent="0.2"/>
    <row r="291" spans="1:8" ht="15" hidden="1" x14ac:dyDescent="0.25">
      <c r="A291" s="5" t="s">
        <v>2443</v>
      </c>
      <c r="B291" s="2" t="s">
        <v>2441</v>
      </c>
      <c r="C291" s="3" t="s">
        <v>2289</v>
      </c>
      <c r="D291" s="12">
        <f>ABS(SUMIF(D280:D289,"&gt;0"))</f>
        <v>57.067424723291197</v>
      </c>
      <c r="E291" s="12">
        <f>ABS(SUMIF(E280:E289,"&gt;0"))</f>
        <v>3.9159051701388883</v>
      </c>
      <c r="F291" s="12">
        <f>ABS(SUMIF(F280:F289,"&gt;0"))</f>
        <v>64.201692545138883</v>
      </c>
      <c r="G291" s="12">
        <f>ABS(SUMIF(G280:G289,"&gt;0"))</f>
        <v>29.389452062499991</v>
      </c>
      <c r="H291" s="12">
        <f>ABS(SUMIF(H280:H289,"&gt;0"))</f>
        <v>27.839452062499994</v>
      </c>
    </row>
    <row r="292" spans="1:8" ht="15" hidden="1" x14ac:dyDescent="0.25">
      <c r="A292" s="5" t="s">
        <v>2444</v>
      </c>
      <c r="B292" s="2" t="s">
        <v>2442</v>
      </c>
      <c r="C292" s="3" t="s">
        <v>2289</v>
      </c>
      <c r="D292" s="12">
        <f>ABS(SUMIF(D280:D289,"&lt;0"))</f>
        <v>2.6588847231975583</v>
      </c>
      <c r="E292" s="12">
        <f>ABS(SUMIF(E280:E289,"&lt;0"))</f>
        <v>64.201692545138883</v>
      </c>
      <c r="F292" s="12">
        <f>ABS(SUMIF(F280:F289,"&lt;0"))</f>
        <v>3.9159051701388883</v>
      </c>
      <c r="G292" s="12">
        <f>ABS(SUMIF(G280:G289,"&lt;0"))</f>
        <v>29.389452062500002</v>
      </c>
      <c r="H292" s="12">
        <f>ABS(SUMIF(H280:H289,"&lt;0"))</f>
        <v>27.839452062500001</v>
      </c>
    </row>
    <row r="293" spans="1:8" hidden="1" x14ac:dyDescent="0.2"/>
    <row r="294" spans="1:8" ht="15" hidden="1" x14ac:dyDescent="0.25">
      <c r="A294" s="37" t="s">
        <v>413</v>
      </c>
      <c r="B294" s="40" t="s">
        <v>2408</v>
      </c>
      <c r="C294" s="41" t="s">
        <v>2409</v>
      </c>
      <c r="D294" s="56">
        <f>D291+D292</f>
        <v>59.726309446488756</v>
      </c>
      <c r="E294" s="56">
        <f>E291+E292</f>
        <v>68.117597715277768</v>
      </c>
      <c r="F294" s="56">
        <f>F291+F292</f>
        <v>68.117597715277768</v>
      </c>
      <c r="G294" s="56">
        <f>G291+G292</f>
        <v>58.778904124999997</v>
      </c>
      <c r="H294" s="56">
        <f>H291+H292</f>
        <v>55.678904124999995</v>
      </c>
    </row>
    <row r="295" spans="1:8" hidden="1" x14ac:dyDescent="0.2">
      <c r="D295" s="61"/>
      <c r="E295" s="61"/>
      <c r="F295" s="61"/>
      <c r="G295" s="61"/>
      <c r="H295" s="61"/>
    </row>
    <row r="296" spans="1:8" hidden="1" x14ac:dyDescent="0.2">
      <c r="A296" s="16" t="s">
        <v>416</v>
      </c>
      <c r="C296" s="3"/>
    </row>
    <row r="297" spans="1:8" ht="15" hidden="1" x14ac:dyDescent="0.25">
      <c r="A297" s="5" t="s">
        <v>2280</v>
      </c>
      <c r="B297" s="2" t="s">
        <v>2362</v>
      </c>
      <c r="C297" s="3" t="s">
        <v>906</v>
      </c>
      <c r="D297" s="10">
        <f t="shared" ref="D297:E301" si="210">(D79*D87^2)/4</f>
        <v>0</v>
      </c>
      <c r="E297" s="10">
        <f t="shared" si="210"/>
        <v>12.5</v>
      </c>
      <c r="F297" s="10">
        <f t="shared" ref="F297:G297" si="211">(F79*F87^2)/4</f>
        <v>0</v>
      </c>
      <c r="G297" s="10">
        <f t="shared" si="211"/>
        <v>3.125E-2</v>
      </c>
      <c r="H297" s="10">
        <f t="shared" ref="H297" si="212">(H79*H87^2)/4</f>
        <v>0</v>
      </c>
    </row>
    <row r="298" spans="1:8" ht="15" hidden="1" x14ac:dyDescent="0.25">
      <c r="A298" s="5" t="s">
        <v>2281</v>
      </c>
      <c r="B298" s="2" t="s">
        <v>2363</v>
      </c>
      <c r="C298" s="3" t="s">
        <v>906</v>
      </c>
      <c r="D298" s="10">
        <f t="shared" si="210"/>
        <v>7.843572225</v>
      </c>
      <c r="E298" s="10">
        <f t="shared" si="210"/>
        <v>8.2606128749999996</v>
      </c>
      <c r="F298" s="10">
        <f t="shared" ref="F298:G298" si="213">(F80*F88^2)/4</f>
        <v>8.2606128749999996</v>
      </c>
      <c r="G298" s="10">
        <f t="shared" si="213"/>
        <v>8.2606128749999996</v>
      </c>
      <c r="H298" s="10">
        <f t="shared" ref="H298" si="214">(H80*H88^2)/4</f>
        <v>8.2606128749999996</v>
      </c>
    </row>
    <row r="299" spans="1:8" ht="15" hidden="1" x14ac:dyDescent="0.25">
      <c r="A299" s="5" t="s">
        <v>2479</v>
      </c>
      <c r="B299" s="2" t="s">
        <v>2364</v>
      </c>
      <c r="C299" s="3" t="s">
        <v>2289</v>
      </c>
      <c r="D299" s="10">
        <f t="shared" si="210"/>
        <v>0.1327254175</v>
      </c>
      <c r="E299" s="10">
        <f t="shared" si="210"/>
        <v>0.23649043749999996</v>
      </c>
      <c r="F299" s="10">
        <f t="shared" ref="F299:G299" si="215">(F81*F89^2)/4</f>
        <v>0.23649043749999996</v>
      </c>
      <c r="G299" s="10">
        <f t="shared" si="215"/>
        <v>0.23649043749999996</v>
      </c>
      <c r="H299" s="10">
        <f t="shared" ref="H299" si="216">(H81*H89^2)/4</f>
        <v>0.23649043749999996</v>
      </c>
    </row>
    <row r="300" spans="1:8" ht="15" hidden="1" x14ac:dyDescent="0.25">
      <c r="A300" s="5" t="s">
        <v>2282</v>
      </c>
      <c r="B300" s="2" t="s">
        <v>2365</v>
      </c>
      <c r="C300" s="3" t="s">
        <v>2289</v>
      </c>
      <c r="D300" s="10">
        <f t="shared" si="210"/>
        <v>4.9563677249999998</v>
      </c>
      <c r="E300" s="10">
        <f t="shared" si="210"/>
        <v>8.2606128749999996</v>
      </c>
      <c r="F300" s="10">
        <f t="shared" ref="F300:G300" si="217">(F82*F90^2)/4</f>
        <v>8.2606128749999996</v>
      </c>
      <c r="G300" s="10">
        <f t="shared" si="217"/>
        <v>8.2606128749999996</v>
      </c>
      <c r="H300" s="10">
        <f t="shared" ref="H300" si="218">(H82*H90^2)/4</f>
        <v>8.2606128749999996</v>
      </c>
    </row>
    <row r="301" spans="1:8" ht="15" hidden="1" x14ac:dyDescent="0.25">
      <c r="A301" s="5" t="s">
        <v>2283</v>
      </c>
      <c r="B301" s="2" t="s">
        <v>2366</v>
      </c>
      <c r="C301" s="3" t="s">
        <v>2289</v>
      </c>
      <c r="D301" s="10">
        <f t="shared" si="210"/>
        <v>12.5</v>
      </c>
      <c r="E301" s="10">
        <f t="shared" si="210"/>
        <v>0</v>
      </c>
      <c r="F301" s="10">
        <f t="shared" ref="F301:G301" si="219">(F83*F91^2)/4</f>
        <v>12.5</v>
      </c>
      <c r="G301" s="10">
        <f t="shared" si="219"/>
        <v>3.125E-2</v>
      </c>
      <c r="H301" s="10">
        <f t="shared" ref="H301" si="220">(H83*H91^2)/4</f>
        <v>0</v>
      </c>
    </row>
    <row r="302" spans="1:8" ht="15" hidden="1" x14ac:dyDescent="0.25">
      <c r="A302" s="37" t="s">
        <v>2360</v>
      </c>
      <c r="B302" s="40" t="s">
        <v>2361</v>
      </c>
      <c r="C302" s="41" t="s">
        <v>2359</v>
      </c>
      <c r="D302" s="55">
        <f>SUM(D297:D301)</f>
        <v>25.4326653675</v>
      </c>
      <c r="E302" s="55">
        <f>SUM(E297:E301)</f>
        <v>29.257716187499998</v>
      </c>
      <c r="F302" s="55">
        <f>SUM(F297:F301)</f>
        <v>29.257716187500002</v>
      </c>
      <c r="G302" s="55">
        <f>SUM(G297:G301)</f>
        <v>16.820216187500002</v>
      </c>
      <c r="H302" s="55">
        <f>SUM(H297:H301)</f>
        <v>16.757716187500002</v>
      </c>
    </row>
    <row r="303" spans="1:8" hidden="1" x14ac:dyDescent="0.2"/>
    <row r="304" spans="1:8" hidden="1" x14ac:dyDescent="0.2">
      <c r="A304" s="16" t="s">
        <v>962</v>
      </c>
    </row>
    <row r="305" spans="1:8" ht="15" hidden="1" x14ac:dyDescent="0.25">
      <c r="A305" s="5" t="s">
        <v>2280</v>
      </c>
      <c r="B305" s="2" t="s">
        <v>2352</v>
      </c>
      <c r="C305" s="3" t="s">
        <v>873</v>
      </c>
      <c r="D305" s="12">
        <f>(D87*D79^3)/3</f>
        <v>0</v>
      </c>
      <c r="E305" s="12">
        <f>(E87*E79^3)/3</f>
        <v>0.41666666666666669</v>
      </c>
      <c r="F305" s="12">
        <f>(F87*F79^3)/3</f>
        <v>0</v>
      </c>
      <c r="G305" s="12">
        <f>(G87*G79^3)/3</f>
        <v>2.0833333333333332E-2</v>
      </c>
      <c r="H305" s="12">
        <f>(H87*H79^3)/3</f>
        <v>0</v>
      </c>
    </row>
    <row r="306" spans="1:8" ht="15" hidden="1" x14ac:dyDescent="0.25">
      <c r="A306" s="5" t="s">
        <v>2281</v>
      </c>
      <c r="B306" s="2" t="s">
        <v>2353</v>
      </c>
      <c r="C306" s="3" t="s">
        <v>873</v>
      </c>
      <c r="D306" s="12">
        <f>((D88*D80^3)/3)</f>
        <v>0.31220355122999999</v>
      </c>
      <c r="E306" s="12">
        <f t="shared" ref="E306:H306" si="221">((E88*E80^3)/3)</f>
        <v>0.36469763625000001</v>
      </c>
      <c r="F306" s="12">
        <f t="shared" si="221"/>
        <v>0.36469763625000001</v>
      </c>
      <c r="G306" s="12">
        <f t="shared" si="221"/>
        <v>0.36469763625000001</v>
      </c>
      <c r="H306" s="12">
        <f t="shared" si="221"/>
        <v>0.36469763625000001</v>
      </c>
    </row>
    <row r="307" spans="1:8" ht="15" hidden="1" x14ac:dyDescent="0.25">
      <c r="A307" s="5" t="s">
        <v>2479</v>
      </c>
      <c r="B307" s="2" t="s">
        <v>2354</v>
      </c>
      <c r="C307" s="3" t="s">
        <v>873</v>
      </c>
      <c r="D307" s="12">
        <f>(D81*D89^3)/3</f>
        <v>3.9109756356666664E-2</v>
      </c>
      <c r="E307" s="12">
        <f>(E81*E89^3)/3</f>
        <v>9.3019572083333321E-2</v>
      </c>
      <c r="F307" s="12">
        <f>(F81*F89^3)/3</f>
        <v>9.3019572083333321E-2</v>
      </c>
      <c r="G307" s="12">
        <f>(G81*G89^3)/3</f>
        <v>9.3019572083333321E-2</v>
      </c>
      <c r="H307" s="12">
        <f>(H81*H89^3)/3</f>
        <v>9.3019572083333321E-2</v>
      </c>
    </row>
    <row r="308" spans="1:8" ht="15" hidden="1" x14ac:dyDescent="0.25">
      <c r="A308" s="5" t="s">
        <v>2282</v>
      </c>
      <c r="B308" s="2" t="s">
        <v>2355</v>
      </c>
      <c r="C308" s="3" t="s">
        <v>873</v>
      </c>
      <c r="D308" s="12">
        <f>((D90*D82^3)/3)</f>
        <v>7.8774689430000003E-2</v>
      </c>
      <c r="E308" s="12">
        <f t="shared" ref="E308:H308" si="222">((E90*E82^3)/3)</f>
        <v>0.36469763625000001</v>
      </c>
      <c r="F308" s="12">
        <f t="shared" si="222"/>
        <v>0.36469763625000001</v>
      </c>
      <c r="G308" s="12">
        <f t="shared" si="222"/>
        <v>0.36469763625000001</v>
      </c>
      <c r="H308" s="12">
        <f t="shared" si="222"/>
        <v>0.36469763625000001</v>
      </c>
    </row>
    <row r="309" spans="1:8" ht="15" hidden="1" x14ac:dyDescent="0.25">
      <c r="A309" s="5" t="s">
        <v>2283</v>
      </c>
      <c r="B309" s="2" t="s">
        <v>2356</v>
      </c>
      <c r="C309" s="3" t="s">
        <v>873</v>
      </c>
      <c r="D309" s="12">
        <f>(D91*D83^3)/3</f>
        <v>0.41666666666666669</v>
      </c>
      <c r="E309" s="12">
        <f>(E91*E83^3)/3</f>
        <v>0</v>
      </c>
      <c r="F309" s="12">
        <f>(F91*F83^3)/3</f>
        <v>0.41666666666666669</v>
      </c>
      <c r="G309" s="12">
        <f>(G91*G83^3)/3</f>
        <v>2.0833333333333332E-2</v>
      </c>
      <c r="H309" s="12">
        <f>(H91*H83^3)/3</f>
        <v>0</v>
      </c>
    </row>
    <row r="310" spans="1:8" ht="15" hidden="1" x14ac:dyDescent="0.2">
      <c r="A310" s="37" t="s">
        <v>2358</v>
      </c>
      <c r="B310" s="40" t="s">
        <v>2357</v>
      </c>
      <c r="C310" s="41" t="s">
        <v>2343</v>
      </c>
      <c r="D310" s="55">
        <f>SUM(D305:D309)</f>
        <v>0.84675466368333341</v>
      </c>
      <c r="E310" s="55">
        <f>SUM(E305:E309)</f>
        <v>1.23908151125</v>
      </c>
      <c r="F310" s="55">
        <f>SUM(F305:F309)</f>
        <v>1.23908151125</v>
      </c>
      <c r="G310" s="55">
        <f>SUM(G305:G309)</f>
        <v>0.8640815112500001</v>
      </c>
      <c r="H310" s="55">
        <f>SUM(H305:H309)</f>
        <v>0.82241484458333336</v>
      </c>
    </row>
    <row r="311" spans="1:8" hidden="1" x14ac:dyDescent="0.2"/>
    <row r="312" spans="1:8" hidden="1" x14ac:dyDescent="0.2">
      <c r="A312" s="66" t="s">
        <v>422</v>
      </c>
    </row>
    <row r="313" spans="1:8" ht="14.25" hidden="1" x14ac:dyDescent="0.25">
      <c r="B313" s="2" t="s">
        <v>916</v>
      </c>
      <c r="C313" s="2" t="s">
        <v>407</v>
      </c>
      <c r="D313" s="2">
        <f>D84-(D10+D13+D41+D43)/2</f>
        <v>11.518999999999998</v>
      </c>
      <c r="E313" s="2">
        <f>E84-(E10+E13+E41+E43)/2</f>
        <v>11.635</v>
      </c>
      <c r="F313" s="2">
        <f>F84-(F10+F13+F41+F43)/2</f>
        <v>11.635</v>
      </c>
      <c r="G313" s="2">
        <f>G84-(G10+G13+G41+G43)/2</f>
        <v>11.885</v>
      </c>
      <c r="H313" s="2">
        <f>H84-(H10+H13+H41+H43)/2</f>
        <v>11.385</v>
      </c>
    </row>
    <row r="314" spans="1:8" hidden="1" x14ac:dyDescent="0.2">
      <c r="B314" s="2" t="s">
        <v>1918</v>
      </c>
      <c r="D314" s="12">
        <f>1/((D326/D330)+1)</f>
        <v>0.72387070452612778</v>
      </c>
      <c r="E314" s="12">
        <f>1/((E326/E330)+1)</f>
        <v>0.25712594258174409</v>
      </c>
      <c r="F314" s="12">
        <f>1/((F326/F330)+1)</f>
        <v>0.74287405741825596</v>
      </c>
      <c r="G314" s="12">
        <f>1/((G326/G330)+1)</f>
        <v>0.5</v>
      </c>
      <c r="H314" s="12">
        <f>1/((H326/H330)+1)</f>
        <v>0.5</v>
      </c>
    </row>
    <row r="315" spans="1:8" ht="15" hidden="1" x14ac:dyDescent="0.25">
      <c r="A315" s="37" t="s">
        <v>422</v>
      </c>
      <c r="B315" s="40" t="s">
        <v>2367</v>
      </c>
      <c r="C315" s="41" t="s">
        <v>2368</v>
      </c>
      <c r="D315" s="55">
        <f>D326*D314*D313^2</f>
        <v>2011.4799997371624</v>
      </c>
      <c r="E315" s="55">
        <f>E326*E314*E313^2</f>
        <v>2218.0508517971284</v>
      </c>
      <c r="F315" s="55">
        <f>F326*F314*F313^2</f>
        <v>2218.050851797128</v>
      </c>
      <c r="G315" s="55">
        <f>G326*G314*G313^2</f>
        <v>1558.0968560489171</v>
      </c>
      <c r="H315" s="55">
        <f>H326*H314*H313^2</f>
        <v>1429.4191809899787</v>
      </c>
    </row>
    <row r="316" spans="1:8" hidden="1" x14ac:dyDescent="0.2"/>
    <row r="317" spans="1:8" ht="15" hidden="1" x14ac:dyDescent="0.25">
      <c r="A317" s="13" t="s">
        <v>953</v>
      </c>
      <c r="B317" s="2" t="s">
        <v>955</v>
      </c>
      <c r="C317" s="3" t="s">
        <v>2263</v>
      </c>
      <c r="D317" s="6">
        <f>D148/D116</f>
        <v>49.884276962262042</v>
      </c>
      <c r="E317" s="6">
        <f>E148/E116</f>
        <v>94.82804000536315</v>
      </c>
      <c r="F317" s="6">
        <f>F148/F116</f>
        <v>55.275653174667575</v>
      </c>
      <c r="G317" s="6">
        <f>G148/G116</f>
        <v>49.354118014922477</v>
      </c>
      <c r="H317" s="6">
        <f>H148/H116</f>
        <v>50.269520089005589</v>
      </c>
    </row>
    <row r="318" spans="1:8" ht="15" hidden="1" x14ac:dyDescent="0.25">
      <c r="A318" s="13" t="s">
        <v>954</v>
      </c>
      <c r="B318" s="2" t="s">
        <v>956</v>
      </c>
      <c r="C318" s="3" t="s">
        <v>906</v>
      </c>
      <c r="D318" s="6">
        <f>D148/D117</f>
        <v>79.783372410936963</v>
      </c>
      <c r="E318" s="6">
        <f>E148/E117</f>
        <v>55.275653174667568</v>
      </c>
      <c r="F318" s="6">
        <f>F148/F117</f>
        <v>94.828040005363121</v>
      </c>
      <c r="G318" s="6">
        <f>G148/G117</f>
        <v>49.354118014922463</v>
      </c>
      <c r="H318" s="6">
        <f>H148/H117</f>
        <v>50.269520089005574</v>
      </c>
    </row>
    <row r="319" spans="1:8" hidden="1" x14ac:dyDescent="0.2"/>
    <row r="320" spans="1:8" ht="15" hidden="1" x14ac:dyDescent="0.25">
      <c r="A320" s="13" t="s">
        <v>417</v>
      </c>
      <c r="B320" s="2" t="s">
        <v>911</v>
      </c>
      <c r="C320" s="3" t="s">
        <v>2263</v>
      </c>
      <c r="D320" s="6">
        <f>D156/D158</f>
        <v>15.17045675445117</v>
      </c>
      <c r="E320" s="6">
        <f>E156/E158</f>
        <v>17.160318862437499</v>
      </c>
      <c r="F320" s="6">
        <f>F156/F158</f>
        <v>17.160318862437499</v>
      </c>
      <c r="G320" s="6">
        <f>G156/G158</f>
        <v>11.022557880696008</v>
      </c>
      <c r="H320" s="6">
        <f>H156/H158</f>
        <v>11.019956965173742</v>
      </c>
    </row>
    <row r="321" spans="1:8" hidden="1" x14ac:dyDescent="0.2"/>
    <row r="322" spans="1:8" ht="14.25" hidden="1" x14ac:dyDescent="0.25">
      <c r="A322" s="13" t="s">
        <v>415</v>
      </c>
      <c r="B322" s="2" t="s">
        <v>908</v>
      </c>
      <c r="C322" s="3" t="s">
        <v>407</v>
      </c>
      <c r="D322" s="6">
        <f>SQRT(D148/D99)</f>
        <v>5.2033467841562802</v>
      </c>
      <c r="E322" s="6">
        <f>SQRT(E148/E99)</f>
        <v>5.1295091347874848</v>
      </c>
      <c r="F322" s="6">
        <f>SQRT(F148/F99)</f>
        <v>5.1295091347874848</v>
      </c>
      <c r="G322" s="6">
        <f>SQRT(G148/G99)</f>
        <v>5.1597819430737406</v>
      </c>
      <c r="H322" s="6">
        <f>SQRT(H148/H99)</f>
        <v>5.1094757648062004</v>
      </c>
    </row>
    <row r="323" spans="1:8" hidden="1" x14ac:dyDescent="0.2"/>
    <row r="324" spans="1:8" ht="14.25" hidden="1" x14ac:dyDescent="0.25">
      <c r="A324" s="13" t="s">
        <v>418</v>
      </c>
      <c r="B324" s="2" t="s">
        <v>912</v>
      </c>
      <c r="C324" s="3" t="s">
        <v>407</v>
      </c>
      <c r="D324" s="6">
        <f>SQRT(D156/D99)</f>
        <v>2.3449591644536749</v>
      </c>
      <c r="E324" s="6">
        <f>SQRT(E156/E99)</f>
        <v>2.2833527194277177</v>
      </c>
      <c r="F324" s="6">
        <f>SQRT(F156/F99)</f>
        <v>2.2833527194277177</v>
      </c>
      <c r="G324" s="6">
        <f>SQRT(G156/G99)</f>
        <v>1.9214639804497606</v>
      </c>
      <c r="H324" s="6">
        <f>SQRT(H156/H99)</f>
        <v>1.9627125551408422</v>
      </c>
    </row>
    <row r="325" spans="1:8" hidden="1" x14ac:dyDescent="0.2"/>
    <row r="326" spans="1:8" ht="15" hidden="1" x14ac:dyDescent="0.25">
      <c r="A326" s="13" t="s">
        <v>964</v>
      </c>
      <c r="B326" s="2" t="s">
        <v>963</v>
      </c>
      <c r="C326" s="3" t="s">
        <v>873</v>
      </c>
      <c r="D326" s="6">
        <f>D151+D152</f>
        <v>20.942337840750003</v>
      </c>
      <c r="E326" s="6">
        <f>E151+E152</f>
        <v>63.722503042916671</v>
      </c>
      <c r="F326" s="6">
        <f>F151+F152</f>
        <v>22.055836376250003</v>
      </c>
      <c r="G326" s="6">
        <f>G151+G152</f>
        <v>22.061044709583335</v>
      </c>
      <c r="H326" s="6">
        <f>H151+H152</f>
        <v>22.055836376250003</v>
      </c>
    </row>
    <row r="327" spans="1:8" hidden="1" x14ac:dyDescent="0.2"/>
    <row r="328" spans="1:8" ht="15" hidden="1" x14ac:dyDescent="0.25">
      <c r="A328" s="13" t="s">
        <v>2285</v>
      </c>
      <c r="B328" s="2" t="s">
        <v>1825</v>
      </c>
      <c r="C328" s="3" t="s">
        <v>900</v>
      </c>
      <c r="D328" s="6">
        <f>D94+D95</f>
        <v>3.91689</v>
      </c>
      <c r="E328" s="6">
        <f>E94+E95</f>
        <v>9.1251499999999997</v>
      </c>
      <c r="F328" s="6">
        <f>F94+F95</f>
        <v>4.1251499999999997</v>
      </c>
      <c r="G328" s="6">
        <f>G94+G95</f>
        <v>4.3751499999999997</v>
      </c>
      <c r="H328" s="6">
        <f>H94+H95</f>
        <v>4.1251499999999997</v>
      </c>
    </row>
    <row r="329" spans="1:8" hidden="1" x14ac:dyDescent="0.2"/>
    <row r="330" spans="1:8" ht="15" hidden="1" x14ac:dyDescent="0.25">
      <c r="A330" s="13" t="s">
        <v>1912</v>
      </c>
      <c r="B330" s="2" t="s">
        <v>1923</v>
      </c>
      <c r="C330" s="3" t="s">
        <v>873</v>
      </c>
      <c r="D330" s="6">
        <f>D154+D155</f>
        <v>54.900168492416668</v>
      </c>
      <c r="E330" s="6">
        <f>E154+E155</f>
        <v>22.055836376250003</v>
      </c>
      <c r="F330" s="6">
        <f>F154+F155</f>
        <v>63.722503042916671</v>
      </c>
      <c r="G330" s="6">
        <f>G154+G155</f>
        <v>22.061044709583335</v>
      </c>
      <c r="H330" s="6">
        <f>H154+H155</f>
        <v>22.055836376250003</v>
      </c>
    </row>
    <row r="332" spans="1:8" x14ac:dyDescent="0.2">
      <c r="A332" s="214" t="s">
        <v>2583</v>
      </c>
      <c r="D332" s="214" t="s">
        <v>2584</v>
      </c>
    </row>
    <row r="334" spans="1:8" x14ac:dyDescent="0.2">
      <c r="A334" s="4"/>
      <c r="B334" s="4"/>
      <c r="C334" s="4"/>
      <c r="D334" s="4"/>
      <c r="E334" s="4"/>
      <c r="F334" s="4"/>
      <c r="G334" s="4"/>
      <c r="H334" s="4"/>
    </row>
    <row r="335" spans="1:8" x14ac:dyDescent="0.2">
      <c r="A335" s="4"/>
      <c r="B335" s="4"/>
      <c r="C335" s="4"/>
      <c r="D335" s="4"/>
      <c r="E335" s="4"/>
      <c r="F335" s="4"/>
      <c r="G335" s="4"/>
      <c r="H335" s="4"/>
    </row>
    <row r="336" spans="1:8" x14ac:dyDescent="0.2">
      <c r="A336" s="4"/>
      <c r="B336" s="4"/>
      <c r="C336" s="4"/>
      <c r="D336" s="4"/>
      <c r="E336" s="4"/>
      <c r="F336" s="4"/>
      <c r="G336" s="4"/>
      <c r="H336" s="4"/>
    </row>
    <row r="337" spans="1:13" x14ac:dyDescent="0.2">
      <c r="A337" s="4"/>
      <c r="B337" s="4"/>
      <c r="C337" s="4"/>
      <c r="D337" s="4"/>
      <c r="E337" s="4"/>
      <c r="F337" s="4"/>
      <c r="G337" s="4"/>
      <c r="H337" s="4"/>
    </row>
    <row r="338" spans="1:13" x14ac:dyDescent="0.2">
      <c r="A338" s="4"/>
      <c r="B338" s="4"/>
      <c r="C338" s="4"/>
      <c r="D338" s="4"/>
      <c r="E338" s="4"/>
      <c r="F338" s="4"/>
      <c r="G338" s="4"/>
      <c r="H338" s="4"/>
    </row>
    <row r="339" spans="1:13" x14ac:dyDescent="0.2">
      <c r="A339" s="4"/>
      <c r="B339" s="4"/>
      <c r="C339" s="4"/>
      <c r="D339" s="4"/>
      <c r="E339" s="4"/>
      <c r="F339" s="4"/>
      <c r="G339" s="4"/>
      <c r="H339" s="4"/>
      <c r="M339" s="62"/>
    </row>
    <row r="340" spans="1:13" x14ac:dyDescent="0.2">
      <c r="A340" s="4"/>
      <c r="B340" s="4"/>
      <c r="C340" s="4"/>
      <c r="D340" s="4"/>
      <c r="E340" s="4"/>
      <c r="F340" s="4"/>
      <c r="G340" s="4"/>
      <c r="H340" s="4"/>
      <c r="M340" s="62"/>
    </row>
    <row r="341" spans="1:13" x14ac:dyDescent="0.2">
      <c r="A341" s="4"/>
      <c r="B341" s="4"/>
      <c r="C341" s="4"/>
      <c r="D341" s="4"/>
      <c r="E341" s="4"/>
      <c r="F341" s="4"/>
      <c r="G341" s="4"/>
      <c r="H341" s="4"/>
    </row>
    <row r="342" spans="1:13" x14ac:dyDescent="0.2">
      <c r="A342" s="4"/>
      <c r="B342" s="4"/>
      <c r="C342" s="4"/>
      <c r="D342" s="4"/>
      <c r="E342" s="4"/>
      <c r="F342" s="4"/>
      <c r="G342" s="4"/>
      <c r="H342" s="4"/>
    </row>
  </sheetData>
  <sheetProtection sheet="1" objects="1" scenarios="1"/>
  <phoneticPr fontId="4" type="noConversion"/>
  <conditionalFormatting sqref="D244:D253">
    <cfRule type="colorScale" priority="29">
      <colorScale>
        <cfvo type="min"/>
        <cfvo type="max"/>
        <color rgb="FFFCFCFF"/>
        <color rgb="FFF8696B"/>
      </colorScale>
    </cfRule>
  </conditionalFormatting>
  <conditionalFormatting sqref="D268:H277 D280:H289">
    <cfRule type="cellIs" dxfId="5" priority="4" operator="lessThan">
      <formula>0</formula>
    </cfRule>
    <cfRule type="cellIs" dxfId="4" priority="5" operator="greaterThan">
      <formula>0</formula>
    </cfRule>
  </conditionalFormatting>
  <conditionalFormatting sqref="E244:E253">
    <cfRule type="colorScale" priority="15">
      <colorScale>
        <cfvo type="min"/>
        <cfvo type="max"/>
        <color rgb="FFFCFCFF"/>
        <color rgb="FFF8696B"/>
      </colorScale>
    </cfRule>
  </conditionalFormatting>
  <conditionalFormatting sqref="F244:F253">
    <cfRule type="colorScale" priority="12">
      <colorScale>
        <cfvo type="min"/>
        <cfvo type="max"/>
        <color rgb="FFFCFCFF"/>
        <color rgb="FFF8696B"/>
      </colorScale>
    </cfRule>
  </conditionalFormatting>
  <conditionalFormatting sqref="G244:G253">
    <cfRule type="colorScale" priority="9">
      <colorScale>
        <cfvo type="min"/>
        <cfvo type="max"/>
        <color rgb="FFFCFCFF"/>
        <color rgb="FFF8696B"/>
      </colorScale>
    </cfRule>
  </conditionalFormatting>
  <conditionalFormatting sqref="H244:H253">
    <cfRule type="colorScale" priority="6">
      <colorScale>
        <cfvo type="min"/>
        <cfvo type="max"/>
        <color rgb="FFFCFCFF"/>
        <color rgb="FFF8696B"/>
      </colorScale>
    </cfRule>
  </conditionalFormatting>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1:J332"/>
  <sheetViews>
    <sheetView showGridLines="0" zoomScaleNormal="100" workbookViewId="0">
      <selection activeCell="D8" sqref="D8"/>
    </sheetView>
  </sheetViews>
  <sheetFormatPr defaultColWidth="9.140625" defaultRowHeight="12.75" x14ac:dyDescent="0.2"/>
  <cols>
    <col min="1" max="1" width="38.42578125" style="5" bestFit="1" customWidth="1"/>
    <col min="2" max="3" width="8.7109375" style="2" customWidth="1"/>
    <col min="4" max="8" width="12.140625" style="2" bestFit="1" customWidth="1"/>
    <col min="9" max="16384" width="9.140625" style="4"/>
  </cols>
  <sheetData>
    <row r="1" spans="1:8" ht="15.75" x14ac:dyDescent="0.25">
      <c r="A1" s="76" t="s">
        <v>1796</v>
      </c>
    </row>
    <row r="2" spans="1:8" x14ac:dyDescent="0.2">
      <c r="A2" s="4" t="s">
        <v>2569</v>
      </c>
    </row>
    <row r="3" spans="1:8" x14ac:dyDescent="0.2">
      <c r="A3" s="68" t="s">
        <v>2470</v>
      </c>
      <c r="C3" s="4"/>
      <c r="D3" s="4"/>
      <c r="E3" s="4"/>
      <c r="F3" s="4"/>
      <c r="G3" s="4"/>
      <c r="H3" s="4"/>
    </row>
    <row r="4" spans="1:8" x14ac:dyDescent="0.2">
      <c r="A4" s="4"/>
      <c r="C4" s="4"/>
      <c r="D4" s="4"/>
      <c r="E4" s="4"/>
      <c r="F4" s="4"/>
      <c r="G4" s="4"/>
      <c r="H4" s="4"/>
    </row>
    <row r="5" spans="1:8" x14ac:dyDescent="0.2">
      <c r="A5" s="4"/>
    </row>
    <row r="6" spans="1:8" x14ac:dyDescent="0.2">
      <c r="A6" s="4"/>
      <c r="C6" s="77" t="s">
        <v>1681</v>
      </c>
      <c r="D6" s="58">
        <v>1</v>
      </c>
      <c r="E6" s="58">
        <v>2</v>
      </c>
      <c r="F6" s="58">
        <v>3</v>
      </c>
      <c r="G6" s="58">
        <v>4</v>
      </c>
      <c r="H6" s="58">
        <v>5</v>
      </c>
    </row>
    <row r="7" spans="1:8" x14ac:dyDescent="0.2">
      <c r="A7" s="66" t="s">
        <v>2098</v>
      </c>
      <c r="B7" s="81" t="s">
        <v>434</v>
      </c>
      <c r="C7" s="82" t="s">
        <v>435</v>
      </c>
    </row>
    <row r="8" spans="1:8" ht="25.5" x14ac:dyDescent="0.2">
      <c r="A8" s="174" t="s">
        <v>2573</v>
      </c>
      <c r="D8" s="175" t="s">
        <v>1548</v>
      </c>
      <c r="E8" s="175"/>
      <c r="F8" s="175"/>
      <c r="G8" s="175"/>
      <c r="H8" s="175"/>
    </row>
    <row r="9" spans="1:8" hidden="1" x14ac:dyDescent="0.2">
      <c r="A9" s="16" t="s">
        <v>2472</v>
      </c>
    </row>
    <row r="10" spans="1:8" ht="15" x14ac:dyDescent="0.2">
      <c r="A10" s="5" t="s">
        <v>884</v>
      </c>
      <c r="B10" s="2" t="s">
        <v>3</v>
      </c>
      <c r="C10" s="3" t="s">
        <v>900</v>
      </c>
      <c r="D10" s="2">
        <f>VLOOKUP(D$8,'Database v16.0 &amp; v16.0H'!$B$858:$AE$1146,4,FALSE)</f>
        <v>5.84</v>
      </c>
      <c r="E10" s="2" t="e">
        <f>VLOOKUP(E$8,'Database v16.0 &amp; v16.0H'!$B$858:$AE$1146,4,FALSE)</f>
        <v>#N/A</v>
      </c>
      <c r="F10" s="2" t="e">
        <f>VLOOKUP(F$8,'Database v16.0 &amp; v16.0H'!$B$858:$AE$1146,4,FALSE)</f>
        <v>#N/A</v>
      </c>
      <c r="G10" s="2" t="e">
        <f>VLOOKUP(G$8,'Database v16.0 &amp; v16.0H'!$B$858:$AE$1146,4,FALSE)</f>
        <v>#N/A</v>
      </c>
      <c r="H10" s="2" t="e">
        <f>VLOOKUP(H$8,'Database v16.0 &amp; v16.0H'!$B$858:$AE$1146,4,FALSE)</f>
        <v>#N/A</v>
      </c>
    </row>
    <row r="11" spans="1:8" x14ac:dyDescent="0.2">
      <c r="A11" s="5" t="s">
        <v>409</v>
      </c>
      <c r="B11" s="2" t="s">
        <v>4</v>
      </c>
      <c r="C11" s="2" t="s">
        <v>407</v>
      </c>
      <c r="D11" s="2">
        <f>VLOOKUP(D$8,'Database v16.0 &amp; v16.0H'!$B$858:$AE$1146,5,FALSE)</f>
        <v>5.97</v>
      </c>
      <c r="E11" s="2" t="e">
        <f>VLOOKUP(E$8,'Database v16.0 &amp; v16.0H'!$B$858:$AE$1146,5,FALSE)</f>
        <v>#N/A</v>
      </c>
      <c r="F11" s="2" t="e">
        <f>VLOOKUP(F$8,'Database v16.0 &amp; v16.0H'!$B$858:$AE$1146,5,FALSE)</f>
        <v>#N/A</v>
      </c>
      <c r="G11" s="2" t="e">
        <f>VLOOKUP(G$8,'Database v16.0 &amp; v16.0H'!$B$858:$AE$1146,5,FALSE)</f>
        <v>#N/A</v>
      </c>
      <c r="H11" s="2" t="e">
        <f>VLOOKUP(H$8,'Database v16.0 &amp; v16.0H'!$B$858:$AE$1146,5,FALSE)</f>
        <v>#N/A</v>
      </c>
    </row>
    <row r="12" spans="1:8" ht="14.25" x14ac:dyDescent="0.25">
      <c r="A12" s="5" t="s">
        <v>410</v>
      </c>
      <c r="B12" s="2" t="s">
        <v>901</v>
      </c>
      <c r="C12" s="2" t="s">
        <v>407</v>
      </c>
      <c r="D12" s="2">
        <f>VLOOKUP(D$8,'Database v16.0 &amp; v16.0H'!$B$858:$AE$1146,6,FALSE)</f>
        <v>8.01</v>
      </c>
      <c r="E12" s="2" t="e">
        <f>VLOOKUP(E$8,'Database v16.0 &amp; v16.0H'!$B$858:$AE$1146,6,FALSE)</f>
        <v>#N/A</v>
      </c>
      <c r="F12" s="2" t="e">
        <f>VLOOKUP(F$8,'Database v16.0 &amp; v16.0H'!$B$858:$AE$1146,6,FALSE)</f>
        <v>#N/A</v>
      </c>
      <c r="G12" s="2" t="e">
        <f>VLOOKUP(G$8,'Database v16.0 &amp; v16.0H'!$B$858:$AE$1146,6,FALSE)</f>
        <v>#N/A</v>
      </c>
      <c r="H12" s="2" t="e">
        <f>VLOOKUP(H$8,'Database v16.0 &amp; v16.0H'!$B$858:$AE$1146,6,FALSE)</f>
        <v>#N/A</v>
      </c>
    </row>
    <row r="13" spans="1:8" ht="14.25" x14ac:dyDescent="0.25">
      <c r="A13" s="5" t="s">
        <v>411</v>
      </c>
      <c r="B13" s="2" t="s">
        <v>902</v>
      </c>
      <c r="C13" s="2" t="s">
        <v>407</v>
      </c>
      <c r="D13" s="2">
        <f>VLOOKUP(D$8,'Database v16.0 &amp; v16.0H'!$B$858:$AE$1146,7,FALSE)</f>
        <v>0.29499999999999998</v>
      </c>
      <c r="E13" s="2" t="e">
        <f>VLOOKUP(E$8,'Database v16.0 &amp; v16.0H'!$B$858:$AE$1146,7,FALSE)</f>
        <v>#N/A</v>
      </c>
      <c r="F13" s="2" t="e">
        <f>VLOOKUP(F$8,'Database v16.0 &amp; v16.0H'!$B$858:$AE$1146,7,FALSE)</f>
        <v>#N/A</v>
      </c>
      <c r="G13" s="2" t="e">
        <f>VLOOKUP(G$8,'Database v16.0 &amp; v16.0H'!$B$858:$AE$1146,7,FALSE)</f>
        <v>#N/A</v>
      </c>
      <c r="H13" s="2" t="e">
        <f>VLOOKUP(H$8,'Database v16.0 &amp; v16.0H'!$B$858:$AE$1146,7,FALSE)</f>
        <v>#N/A</v>
      </c>
    </row>
    <row r="14" spans="1:8" ht="14.25" x14ac:dyDescent="0.25">
      <c r="A14" s="5" t="s">
        <v>412</v>
      </c>
      <c r="B14" s="2" t="s">
        <v>903</v>
      </c>
      <c r="C14" s="2" t="s">
        <v>407</v>
      </c>
      <c r="D14" s="2">
        <f>VLOOKUP(D$8,'Database v16.0 &amp; v16.0H'!$B$858:$AE$1146,8,FALSE)</f>
        <v>0.51500000000000001</v>
      </c>
      <c r="E14" s="2" t="e">
        <f>VLOOKUP(E$8,'Database v16.0 &amp; v16.0H'!$B$858:$AE$1146,8,FALSE)</f>
        <v>#N/A</v>
      </c>
      <c r="F14" s="2" t="e">
        <f>VLOOKUP(F$8,'Database v16.0 &amp; v16.0H'!$B$858:$AE$1146,8,FALSE)</f>
        <v>#N/A</v>
      </c>
      <c r="G14" s="2" t="e">
        <f>VLOOKUP(G$8,'Database v16.0 &amp; v16.0H'!$B$858:$AE$1146,8,FALSE)</f>
        <v>#N/A</v>
      </c>
      <c r="H14" s="2" t="e">
        <f>VLOOKUP(H$8,'Database v16.0 &amp; v16.0H'!$B$858:$AE$1146,8,FALSE)</f>
        <v>#N/A</v>
      </c>
    </row>
    <row r="15" spans="1:8" ht="15" hidden="1" x14ac:dyDescent="0.25">
      <c r="A15" s="5" t="s">
        <v>866</v>
      </c>
      <c r="B15" s="2" t="s">
        <v>872</v>
      </c>
      <c r="C15" s="3" t="s">
        <v>873</v>
      </c>
      <c r="D15" s="2">
        <f>VLOOKUP(D$8,'Database v16.0 &amp; v16.0H'!$B$858:$AE$1146,12,FALSE)</f>
        <v>14.4</v>
      </c>
      <c r="E15" s="2" t="e">
        <f>VLOOKUP(E$8,'Database v16.0 &amp; v16.0H'!$B$858:$AE$1146,12,FALSE)</f>
        <v>#N/A</v>
      </c>
      <c r="F15" s="2" t="e">
        <f>VLOOKUP(F$8,'Database v16.0 &amp; v16.0H'!$B$858:$AE$1146,12,FALSE)</f>
        <v>#N/A</v>
      </c>
      <c r="G15" s="2" t="e">
        <f>VLOOKUP(G$8,'Database v16.0 &amp; v16.0H'!$B$858:$AE$1146,12,FALSE)</f>
        <v>#N/A</v>
      </c>
      <c r="H15" s="2" t="e">
        <f>VLOOKUP(H$8,'Database v16.0 &amp; v16.0H'!$B$858:$AE$1146,12,FALSE)</f>
        <v>#N/A</v>
      </c>
    </row>
    <row r="16" spans="1:8" ht="15" hidden="1" x14ac:dyDescent="0.25">
      <c r="A16" s="5" t="s">
        <v>413</v>
      </c>
      <c r="B16" s="2" t="s">
        <v>905</v>
      </c>
      <c r="C16" s="3" t="s">
        <v>906</v>
      </c>
      <c r="D16" s="2">
        <f>VLOOKUP(D$8,'Database v16.0 &amp; v16.0H'!$B$858:$AE$1146,13,FALSE)</f>
        <v>5.28</v>
      </c>
      <c r="E16" s="2" t="e">
        <f>VLOOKUP(E$8,'Database v16.0 &amp; v16.0H'!$B$858:$AE$1146,13,FALSE)</f>
        <v>#N/A</v>
      </c>
      <c r="F16" s="2" t="e">
        <f>VLOOKUP(F$8,'Database v16.0 &amp; v16.0H'!$B$858:$AE$1146,13,FALSE)</f>
        <v>#N/A</v>
      </c>
      <c r="G16" s="2" t="e">
        <f>VLOOKUP(G$8,'Database v16.0 &amp; v16.0H'!$B$858:$AE$1146,13,FALSE)</f>
        <v>#N/A</v>
      </c>
      <c r="H16" s="2" t="e">
        <f>VLOOKUP(H$8,'Database v16.0 &amp; v16.0H'!$B$858:$AE$1146,13,FALSE)</f>
        <v>#N/A</v>
      </c>
    </row>
    <row r="17" spans="1:8" ht="15" hidden="1" x14ac:dyDescent="0.25">
      <c r="A17" s="5" t="s">
        <v>414</v>
      </c>
      <c r="B17" s="2" t="s">
        <v>907</v>
      </c>
      <c r="C17" s="3" t="s">
        <v>906</v>
      </c>
      <c r="D17" s="2">
        <f>VLOOKUP(D$8,'Database v16.0 &amp; v16.0H'!$B$858:$AE$1146,14,FALSE)</f>
        <v>2.95</v>
      </c>
      <c r="E17" s="2" t="e">
        <f>VLOOKUP(E$8,'Database v16.0 &amp; v16.0H'!$B$858:$AE$1146,14,FALSE)</f>
        <v>#N/A</v>
      </c>
      <c r="F17" s="2" t="e">
        <f>VLOOKUP(F$8,'Database v16.0 &amp; v16.0H'!$B$858:$AE$1146,14,FALSE)</f>
        <v>#N/A</v>
      </c>
      <c r="G17" s="2" t="e">
        <f>VLOOKUP(G$8,'Database v16.0 &amp; v16.0H'!$B$858:$AE$1146,14,FALSE)</f>
        <v>#N/A</v>
      </c>
      <c r="H17" s="2" t="e">
        <f>VLOOKUP(H$8,'Database v16.0 &amp; v16.0H'!$B$858:$AE$1146,14,FALSE)</f>
        <v>#N/A</v>
      </c>
    </row>
    <row r="18" spans="1:8" ht="14.25" hidden="1" x14ac:dyDescent="0.25">
      <c r="A18" s="5" t="s">
        <v>415</v>
      </c>
      <c r="B18" s="2" t="s">
        <v>908</v>
      </c>
      <c r="C18" s="2" t="s">
        <v>407</v>
      </c>
      <c r="D18" s="2">
        <f>VLOOKUP(D$8,'Database v16.0 &amp; v16.0H'!$B$858:$AE$1146,15,FALSE)</f>
        <v>1.57</v>
      </c>
      <c r="E18" s="2" t="e">
        <f>VLOOKUP(E$8,'Database v16.0 &amp; v16.0H'!$B$858:$AE$1146,15,FALSE)</f>
        <v>#N/A</v>
      </c>
      <c r="F18" s="2" t="e">
        <f>VLOOKUP(F$8,'Database v16.0 &amp; v16.0H'!$B$858:$AE$1146,15,FALSE)</f>
        <v>#N/A</v>
      </c>
      <c r="G18" s="2" t="e">
        <f>VLOOKUP(G$8,'Database v16.0 &amp; v16.0H'!$B$858:$AE$1146,15,FALSE)</f>
        <v>#N/A</v>
      </c>
      <c r="H18" s="2" t="e">
        <f>VLOOKUP(H$8,'Database v16.0 &amp; v16.0H'!$B$858:$AE$1146,15,FALSE)</f>
        <v>#N/A</v>
      </c>
    </row>
    <row r="19" spans="1:8" ht="15" hidden="1" x14ac:dyDescent="0.25">
      <c r="A19" s="5" t="s">
        <v>867</v>
      </c>
      <c r="B19" s="2" t="s">
        <v>909</v>
      </c>
      <c r="C19" s="3" t="s">
        <v>873</v>
      </c>
      <c r="D19" s="2">
        <f>VLOOKUP(D$8,'Database v16.0 &amp; v16.0H'!$B$858:$AE$1146,16,FALSE)</f>
        <v>22</v>
      </c>
      <c r="E19" s="2" t="e">
        <f>VLOOKUP(E$8,'Database v16.0 &amp; v16.0H'!$B$858:$AE$1146,16,FALSE)</f>
        <v>#N/A</v>
      </c>
      <c r="F19" s="2" t="e">
        <f>VLOOKUP(F$8,'Database v16.0 &amp; v16.0H'!$B$858:$AE$1146,16,FALSE)</f>
        <v>#N/A</v>
      </c>
      <c r="G19" s="2" t="e">
        <f>VLOOKUP(G$8,'Database v16.0 &amp; v16.0H'!$B$858:$AE$1146,16,FALSE)</f>
        <v>#N/A</v>
      </c>
      <c r="H19" s="2" t="e">
        <f>VLOOKUP(H$8,'Database v16.0 &amp; v16.0H'!$B$858:$AE$1146,16,FALSE)</f>
        <v>#N/A</v>
      </c>
    </row>
    <row r="20" spans="1:8" ht="15" hidden="1" x14ac:dyDescent="0.25">
      <c r="A20" s="5" t="s">
        <v>416</v>
      </c>
      <c r="B20" s="2" t="s">
        <v>910</v>
      </c>
      <c r="C20" s="3" t="s">
        <v>906</v>
      </c>
      <c r="D20" s="2">
        <f>VLOOKUP(D$8,'Database v16.0 &amp; v16.0H'!$B$858:$AE$1146,17,FALSE)</f>
        <v>8.3800000000000008</v>
      </c>
      <c r="E20" s="2" t="e">
        <f>VLOOKUP(E$8,'Database v16.0 &amp; v16.0H'!$B$858:$AE$1146,17,FALSE)</f>
        <v>#N/A</v>
      </c>
      <c r="F20" s="2" t="e">
        <f>VLOOKUP(F$8,'Database v16.0 &amp; v16.0H'!$B$858:$AE$1146,17,FALSE)</f>
        <v>#N/A</v>
      </c>
      <c r="G20" s="2" t="e">
        <f>VLOOKUP(G$8,'Database v16.0 &amp; v16.0H'!$B$858:$AE$1146,17,FALSE)</f>
        <v>#N/A</v>
      </c>
      <c r="H20" s="2" t="e">
        <f>VLOOKUP(H$8,'Database v16.0 &amp; v16.0H'!$B$858:$AE$1146,17,FALSE)</f>
        <v>#N/A</v>
      </c>
    </row>
    <row r="21" spans="1:8" ht="15" hidden="1" x14ac:dyDescent="0.25">
      <c r="A21" s="5" t="s">
        <v>417</v>
      </c>
      <c r="B21" s="2" t="s">
        <v>911</v>
      </c>
      <c r="C21" s="3" t="s">
        <v>906</v>
      </c>
      <c r="D21" s="2">
        <f>VLOOKUP(D$8,'Database v16.0 &amp; v16.0H'!$B$858:$AE$1146,18,FALSE)</f>
        <v>5.5</v>
      </c>
      <c r="E21" s="2" t="e">
        <f>VLOOKUP(E$8,'Database v16.0 &amp; v16.0H'!$B$858:$AE$1146,18,FALSE)</f>
        <v>#N/A</v>
      </c>
      <c r="F21" s="2" t="e">
        <f>VLOOKUP(F$8,'Database v16.0 &amp; v16.0H'!$B$858:$AE$1146,18,FALSE)</f>
        <v>#N/A</v>
      </c>
      <c r="G21" s="2" t="e">
        <f>VLOOKUP(G$8,'Database v16.0 &amp; v16.0H'!$B$858:$AE$1146,18,FALSE)</f>
        <v>#N/A</v>
      </c>
      <c r="H21" s="2" t="e">
        <f>VLOOKUP(H$8,'Database v16.0 &amp; v16.0H'!$B$858:$AE$1146,18,FALSE)</f>
        <v>#N/A</v>
      </c>
    </row>
    <row r="22" spans="1:8" ht="14.25" hidden="1" x14ac:dyDescent="0.25">
      <c r="A22" s="5" t="s">
        <v>418</v>
      </c>
      <c r="B22" s="2" t="s">
        <v>912</v>
      </c>
      <c r="C22" s="2" t="s">
        <v>407</v>
      </c>
      <c r="D22" s="2">
        <f>VLOOKUP(D$8,'Database v16.0 &amp; v16.0H'!$B$858:$AE$1146,19,FALSE)</f>
        <v>1.94</v>
      </c>
      <c r="E22" s="2" t="e">
        <f>VLOOKUP(E$8,'Database v16.0 &amp; v16.0H'!$B$858:$AE$1146,19,FALSE)</f>
        <v>#N/A</v>
      </c>
      <c r="F22" s="2" t="e">
        <f>VLOOKUP(F$8,'Database v16.0 &amp; v16.0H'!$B$858:$AE$1146,19,FALSE)</f>
        <v>#N/A</v>
      </c>
      <c r="G22" s="2" t="e">
        <f>VLOOKUP(G$8,'Database v16.0 &amp; v16.0H'!$B$858:$AE$1146,19,FALSE)</f>
        <v>#N/A</v>
      </c>
      <c r="H22" s="2" t="e">
        <f>VLOOKUP(H$8,'Database v16.0 &amp; v16.0H'!$B$858:$AE$1146,19,FALSE)</f>
        <v>#N/A</v>
      </c>
    </row>
    <row r="23" spans="1:8" ht="15" hidden="1" x14ac:dyDescent="0.2">
      <c r="A23" s="5" t="s">
        <v>962</v>
      </c>
      <c r="B23" s="2" t="s">
        <v>6</v>
      </c>
      <c r="C23" s="3" t="s">
        <v>873</v>
      </c>
      <c r="D23" s="2">
        <f>VLOOKUP(D$8,'Database v16.0 &amp; v16.0H'!$B$858:$AE$1146,20,FALSE)</f>
        <v>0.45200000000000001</v>
      </c>
      <c r="E23" s="2" t="e">
        <f>VLOOKUP(E$8,'Database v16.0 &amp; v16.0H'!$B$858:$AE$1146,20,FALSE)</f>
        <v>#N/A</v>
      </c>
      <c r="F23" s="2" t="e">
        <f>VLOOKUP(F$8,'Database v16.0 &amp; v16.0H'!$B$858:$AE$1146,20,FALSE)</f>
        <v>#N/A</v>
      </c>
      <c r="G23" s="2" t="e">
        <f>VLOOKUP(G$8,'Database v16.0 &amp; v16.0H'!$B$858:$AE$1146,20,FALSE)</f>
        <v>#N/A</v>
      </c>
      <c r="H23" s="2" t="e">
        <f>VLOOKUP(H$8,'Database v16.0 &amp; v16.0H'!$B$858:$AE$1146,20,FALSE)</f>
        <v>#N/A</v>
      </c>
    </row>
    <row r="24" spans="1:8" ht="15" hidden="1" x14ac:dyDescent="0.25">
      <c r="A24" s="5" t="s">
        <v>422</v>
      </c>
      <c r="B24" s="2" t="s">
        <v>913</v>
      </c>
      <c r="C24" s="3" t="s">
        <v>914</v>
      </c>
      <c r="D24" s="2">
        <f>VLOOKUP(D$8,'Database v16.0 &amp; v16.0H'!$B$858:$AE$1146,21,FALSE)</f>
        <v>0.62</v>
      </c>
      <c r="E24" s="2" t="e">
        <f>VLOOKUP(E$8,'Database v16.0 &amp; v16.0H'!$B$858:$AE$1146,21,FALSE)</f>
        <v>#N/A</v>
      </c>
      <c r="F24" s="2" t="e">
        <f>VLOOKUP(F$8,'Database v16.0 &amp; v16.0H'!$B$858:$AE$1146,21,FALSE)</f>
        <v>#N/A</v>
      </c>
      <c r="G24" s="2" t="e">
        <f>VLOOKUP(G$8,'Database v16.0 &amp; v16.0H'!$B$858:$AE$1146,21,FALSE)</f>
        <v>#N/A</v>
      </c>
      <c r="H24" s="2" t="e">
        <f>VLOOKUP(H$8,'Database v16.0 &amp; v16.0H'!$B$858:$AE$1146,21,FALSE)</f>
        <v>#N/A</v>
      </c>
    </row>
    <row r="25" spans="1:8" ht="14.25" hidden="1" x14ac:dyDescent="0.25">
      <c r="A25" s="5" t="s">
        <v>2478</v>
      </c>
      <c r="B25" s="2" t="s">
        <v>943</v>
      </c>
      <c r="C25" s="2" t="s">
        <v>407</v>
      </c>
      <c r="D25" s="2">
        <f t="shared" ref="D25" si="0">D11-D14</f>
        <v>5.4550000000000001</v>
      </c>
      <c r="E25" s="2" t="e">
        <f t="shared" ref="E25:H25" si="1">E11-E14</f>
        <v>#N/A</v>
      </c>
      <c r="F25" s="2" t="e">
        <f t="shared" si="1"/>
        <v>#N/A</v>
      </c>
      <c r="G25" s="2" t="e">
        <f t="shared" si="1"/>
        <v>#N/A</v>
      </c>
      <c r="H25" s="2" t="e">
        <f t="shared" si="1"/>
        <v>#N/A</v>
      </c>
    </row>
    <row r="26" spans="1:8" x14ac:dyDescent="0.2">
      <c r="A26" s="5" t="s">
        <v>2735</v>
      </c>
      <c r="B26" s="2" t="s">
        <v>2279</v>
      </c>
      <c r="C26" s="2" t="s">
        <v>407</v>
      </c>
      <c r="D26" s="2">
        <f>VLOOKUP(D$8,'Database v16.0 &amp; v16.0H'!$B$858:$AE$1146,27,FALSE)</f>
        <v>1.0900000000000001</v>
      </c>
      <c r="E26" s="2" t="e">
        <f>VLOOKUP(E$8,'Database v16.0 &amp; v16.0H'!$B$858:$AE$1146,27,FALSE)</f>
        <v>#N/A</v>
      </c>
      <c r="F26" s="2" t="e">
        <f>VLOOKUP(F$8,'Database v16.0 &amp; v16.0H'!$B$858:$AE$1146,27,FALSE)</f>
        <v>#N/A</v>
      </c>
      <c r="G26" s="2" t="e">
        <f>VLOOKUP(G$8,'Database v16.0 &amp; v16.0H'!$B$858:$AE$1146,27,FALSE)</f>
        <v>#N/A</v>
      </c>
      <c r="H26" s="2" t="e">
        <f>VLOOKUP(H$8,'Database v16.0 &amp; v16.0H'!$B$858:$AE$1146,27,FALSE)</f>
        <v>#N/A</v>
      </c>
    </row>
    <row r="28" spans="1:8" x14ac:dyDescent="0.2">
      <c r="A28" s="176" t="s">
        <v>2291</v>
      </c>
      <c r="D28" s="215" t="s">
        <v>242</v>
      </c>
      <c r="E28" s="215"/>
      <c r="F28" s="215"/>
      <c r="G28" s="215"/>
      <c r="H28" s="215"/>
    </row>
    <row r="29" spans="1:8" x14ac:dyDescent="0.2">
      <c r="A29" s="5" t="s">
        <v>409</v>
      </c>
      <c r="B29" s="2" t="s">
        <v>4</v>
      </c>
      <c r="C29" s="3" t="s">
        <v>407</v>
      </c>
      <c r="D29" s="64">
        <v>11.9</v>
      </c>
      <c r="E29" s="64"/>
      <c r="F29" s="64"/>
      <c r="G29" s="64"/>
      <c r="H29" s="64"/>
    </row>
    <row r="30" spans="1:8" ht="14.25" x14ac:dyDescent="0.25">
      <c r="A30" s="5" t="s">
        <v>411</v>
      </c>
      <c r="B30" s="2" t="s">
        <v>902</v>
      </c>
      <c r="C30" s="3" t="s">
        <v>407</v>
      </c>
      <c r="D30" s="64">
        <v>0.29499999999999998</v>
      </c>
      <c r="E30" s="64"/>
      <c r="F30" s="64"/>
      <c r="G30" s="64"/>
      <c r="H30" s="64"/>
    </row>
    <row r="31" spans="1:8" ht="14.25" x14ac:dyDescent="0.25">
      <c r="A31" s="5" t="s">
        <v>1808</v>
      </c>
      <c r="B31" s="2" t="s">
        <v>1929</v>
      </c>
      <c r="C31" s="3" t="s">
        <v>407</v>
      </c>
      <c r="D31" s="64">
        <v>0.51500000000000001</v>
      </c>
      <c r="E31" s="64"/>
      <c r="F31" s="64"/>
      <c r="G31" s="64"/>
      <c r="H31" s="64"/>
    </row>
    <row r="32" spans="1:8" ht="14.25" x14ac:dyDescent="0.25">
      <c r="A32" s="5" t="s">
        <v>1061</v>
      </c>
      <c r="B32" s="2" t="s">
        <v>1925</v>
      </c>
      <c r="C32" s="3" t="s">
        <v>407</v>
      </c>
      <c r="D32" s="64">
        <v>8.01</v>
      </c>
      <c r="E32" s="64"/>
      <c r="F32" s="64"/>
      <c r="G32" s="64"/>
      <c r="H32" s="64"/>
    </row>
    <row r="33" spans="1:8" ht="14.25" x14ac:dyDescent="0.25">
      <c r="A33" s="5" t="s">
        <v>1809</v>
      </c>
      <c r="B33" s="2" t="s">
        <v>1926</v>
      </c>
      <c r="C33" s="3" t="s">
        <v>407</v>
      </c>
      <c r="D33" s="64">
        <v>0.51500000000000001</v>
      </c>
      <c r="E33" s="64"/>
      <c r="F33" s="64"/>
      <c r="G33" s="64"/>
      <c r="H33" s="64"/>
    </row>
    <row r="34" spans="1:8" ht="14.25" x14ac:dyDescent="0.25">
      <c r="A34" s="5" t="s">
        <v>1810</v>
      </c>
      <c r="B34" s="2" t="s">
        <v>1927</v>
      </c>
      <c r="C34" s="3" t="s">
        <v>407</v>
      </c>
      <c r="D34" s="64">
        <v>8.01</v>
      </c>
      <c r="E34" s="64"/>
      <c r="F34" s="64"/>
      <c r="G34" s="64"/>
      <c r="H34" s="64"/>
    </row>
    <row r="35" spans="1:8" ht="14.25" hidden="1" x14ac:dyDescent="0.25">
      <c r="A35" s="5" t="s">
        <v>885</v>
      </c>
      <c r="B35" s="2" t="s">
        <v>943</v>
      </c>
      <c r="C35" s="3" t="s">
        <v>407</v>
      </c>
      <c r="D35" s="23">
        <f t="shared" ref="D35:E35" si="2">D29-D31-D33</f>
        <v>10.87</v>
      </c>
      <c r="E35" s="23">
        <f t="shared" si="2"/>
        <v>0</v>
      </c>
      <c r="F35" s="23">
        <f t="shared" ref="F35:G35" si="3">F29-F31-F33</f>
        <v>0</v>
      </c>
      <c r="G35" s="23">
        <f t="shared" si="3"/>
        <v>0</v>
      </c>
      <c r="H35" s="23">
        <f t="shared" ref="H35" si="4">H29-H31-H33</f>
        <v>0</v>
      </c>
    </row>
    <row r="36" spans="1:8" ht="15" hidden="1" x14ac:dyDescent="0.25">
      <c r="A36" s="5" t="s">
        <v>881</v>
      </c>
      <c r="B36" s="2" t="s">
        <v>944</v>
      </c>
      <c r="C36" s="3" t="s">
        <v>900</v>
      </c>
      <c r="D36" s="12">
        <f t="shared" ref="D36:E36" si="5">D31*D32</f>
        <v>4.1251499999999997</v>
      </c>
      <c r="E36" s="12">
        <f t="shared" si="5"/>
        <v>0</v>
      </c>
      <c r="F36" s="12">
        <f t="shared" ref="F36:G36" si="6">F31*F32</f>
        <v>0</v>
      </c>
      <c r="G36" s="12">
        <f t="shared" si="6"/>
        <v>0</v>
      </c>
      <c r="H36" s="12">
        <f t="shared" ref="H36" si="7">H31*H32</f>
        <v>0</v>
      </c>
    </row>
    <row r="37" spans="1:8" ht="15" hidden="1" x14ac:dyDescent="0.25">
      <c r="A37" s="5" t="s">
        <v>882</v>
      </c>
      <c r="B37" s="2" t="s">
        <v>945</v>
      </c>
      <c r="C37" s="3" t="s">
        <v>900</v>
      </c>
      <c r="D37" s="12">
        <f t="shared" ref="D37:E37" si="8">D30*D35</f>
        <v>3.2066499999999998</v>
      </c>
      <c r="E37" s="12">
        <f t="shared" si="8"/>
        <v>0</v>
      </c>
      <c r="F37" s="12">
        <f t="shared" ref="F37:G37" si="9">F30*F35</f>
        <v>0</v>
      </c>
      <c r="G37" s="12">
        <f t="shared" si="9"/>
        <v>0</v>
      </c>
      <c r="H37" s="12">
        <f t="shared" ref="H37" si="10">H30*H35</f>
        <v>0</v>
      </c>
    </row>
    <row r="38" spans="1:8" ht="15" hidden="1" x14ac:dyDescent="0.25">
      <c r="A38" s="5" t="s">
        <v>883</v>
      </c>
      <c r="B38" s="2" t="s">
        <v>946</v>
      </c>
      <c r="C38" s="3" t="s">
        <v>900</v>
      </c>
      <c r="D38" s="12">
        <f t="shared" ref="D38:E38" si="11">D33*D34</f>
        <v>4.1251499999999997</v>
      </c>
      <c r="E38" s="12">
        <f t="shared" si="11"/>
        <v>0</v>
      </c>
      <c r="F38" s="12">
        <f t="shared" ref="F38:G38" si="12">F33*F34</f>
        <v>0</v>
      </c>
      <c r="G38" s="12">
        <f t="shared" si="12"/>
        <v>0</v>
      </c>
      <c r="H38" s="12">
        <f t="shared" ref="H38" si="13">H33*H34</f>
        <v>0</v>
      </c>
    </row>
    <row r="39" spans="1:8" ht="15" hidden="1" x14ac:dyDescent="0.25">
      <c r="A39" s="5" t="s">
        <v>884</v>
      </c>
      <c r="B39" s="2" t="s">
        <v>899</v>
      </c>
      <c r="C39" s="3" t="s">
        <v>900</v>
      </c>
      <c r="D39" s="12">
        <f t="shared" ref="D39:E39" si="14">D36+D37+D38</f>
        <v>11.456949999999999</v>
      </c>
      <c r="E39" s="12">
        <f t="shared" si="14"/>
        <v>0</v>
      </c>
      <c r="F39" s="12">
        <f t="shared" ref="F39:G39" si="15">F36+F37+F38</f>
        <v>0</v>
      </c>
      <c r="G39" s="12">
        <f t="shared" si="15"/>
        <v>0</v>
      </c>
      <c r="H39" s="12">
        <f t="shared" ref="H39" si="16">H36+H37+H38</f>
        <v>0</v>
      </c>
    </row>
    <row r="40" spans="1:8" hidden="1" x14ac:dyDescent="0.2">
      <c r="C40" s="3"/>
      <c r="D40" s="12"/>
      <c r="E40" s="12"/>
      <c r="F40" s="12"/>
      <c r="G40" s="12"/>
      <c r="H40" s="12"/>
    </row>
    <row r="41" spans="1:8" x14ac:dyDescent="0.2">
      <c r="A41" s="16" t="s">
        <v>2288</v>
      </c>
      <c r="B41" s="4"/>
      <c r="C41" s="4"/>
      <c r="D41" s="4"/>
      <c r="E41" s="4"/>
      <c r="F41" s="4"/>
      <c r="G41" s="4"/>
      <c r="H41" s="4"/>
    </row>
    <row r="42" spans="1:8" ht="14.25" x14ac:dyDescent="0.25">
      <c r="A42" s="5" t="s">
        <v>1071</v>
      </c>
      <c r="B42" s="2" t="s">
        <v>2582</v>
      </c>
      <c r="C42" s="3" t="s">
        <v>407</v>
      </c>
      <c r="D42" s="275">
        <f t="shared" ref="D42:E42" si="17">D74</f>
        <v>17.87</v>
      </c>
      <c r="E42" s="275" t="e">
        <f t="shared" si="17"/>
        <v>#N/A</v>
      </c>
      <c r="F42" s="275" t="e">
        <f t="shared" ref="F42:G42" si="18">F74</f>
        <v>#N/A</v>
      </c>
      <c r="G42" s="275" t="e">
        <f t="shared" si="18"/>
        <v>#N/A</v>
      </c>
      <c r="H42" s="275" t="e">
        <f t="shared" ref="H42" si="19">H74</f>
        <v>#N/A</v>
      </c>
    </row>
    <row r="43" spans="1:8" ht="14.25" x14ac:dyDescent="0.25">
      <c r="A43" s="5" t="s">
        <v>411</v>
      </c>
      <c r="B43" s="2" t="s">
        <v>902</v>
      </c>
      <c r="C43" s="3" t="s">
        <v>407</v>
      </c>
      <c r="D43" s="276">
        <f t="shared" ref="D43:E45" si="20">D30</f>
        <v>0.29499999999999998</v>
      </c>
      <c r="E43" s="276">
        <f t="shared" si="20"/>
        <v>0</v>
      </c>
      <c r="F43" s="276">
        <f t="shared" ref="F43:G43" si="21">F30</f>
        <v>0</v>
      </c>
      <c r="G43" s="276">
        <f t="shared" si="21"/>
        <v>0</v>
      </c>
      <c r="H43" s="276">
        <f t="shared" ref="H43" si="22">H30</f>
        <v>0</v>
      </c>
    </row>
    <row r="44" spans="1:8" ht="14.25" x14ac:dyDescent="0.25">
      <c r="A44" s="5" t="s">
        <v>1808</v>
      </c>
      <c r="B44" s="2" t="s">
        <v>1929</v>
      </c>
      <c r="C44" s="3" t="s">
        <v>407</v>
      </c>
      <c r="D44" s="276">
        <f t="shared" si="20"/>
        <v>0.51500000000000001</v>
      </c>
      <c r="E44" s="276">
        <f t="shared" si="20"/>
        <v>0</v>
      </c>
      <c r="F44" s="276">
        <f t="shared" ref="F44:G44" si="23">F31</f>
        <v>0</v>
      </c>
      <c r="G44" s="276">
        <f t="shared" si="23"/>
        <v>0</v>
      </c>
      <c r="H44" s="276">
        <f t="shared" ref="H44" si="24">H31</f>
        <v>0</v>
      </c>
    </row>
    <row r="45" spans="1:8" ht="14.25" x14ac:dyDescent="0.25">
      <c r="A45" s="5" t="s">
        <v>1061</v>
      </c>
      <c r="B45" s="2" t="s">
        <v>1925</v>
      </c>
      <c r="C45" s="3" t="s">
        <v>407</v>
      </c>
      <c r="D45" s="275">
        <f t="shared" si="20"/>
        <v>8.01</v>
      </c>
      <c r="E45" s="275">
        <f t="shared" si="20"/>
        <v>0</v>
      </c>
      <c r="F45" s="275">
        <f t="shared" ref="F45:G45" si="25">F32</f>
        <v>0</v>
      </c>
      <c r="G45" s="275">
        <f t="shared" si="25"/>
        <v>0</v>
      </c>
      <c r="H45" s="275">
        <f t="shared" ref="H45" si="26">H32</f>
        <v>0</v>
      </c>
    </row>
    <row r="46" spans="1:8" ht="14.25" x14ac:dyDescent="0.25">
      <c r="A46" s="5" t="s">
        <v>1809</v>
      </c>
      <c r="B46" s="2" t="s">
        <v>1926</v>
      </c>
      <c r="C46" s="3" t="s">
        <v>407</v>
      </c>
      <c r="D46" s="276">
        <f t="shared" ref="D46:E46" si="27">D14</f>
        <v>0.51500000000000001</v>
      </c>
      <c r="E46" s="276" t="e">
        <f t="shared" si="27"/>
        <v>#N/A</v>
      </c>
      <c r="F46" s="276" t="e">
        <f t="shared" ref="F46:G46" si="28">F14</f>
        <v>#N/A</v>
      </c>
      <c r="G46" s="276" t="e">
        <f t="shared" si="28"/>
        <v>#N/A</v>
      </c>
      <c r="H46" s="276" t="e">
        <f t="shared" ref="H46" si="29">H14</f>
        <v>#N/A</v>
      </c>
    </row>
    <row r="47" spans="1:8" ht="14.25" x14ac:dyDescent="0.25">
      <c r="A47" s="5" t="s">
        <v>1810</v>
      </c>
      <c r="B47" s="2" t="s">
        <v>1927</v>
      </c>
      <c r="C47" s="3" t="s">
        <v>407</v>
      </c>
      <c r="D47" s="275">
        <f t="shared" ref="D47:E47" si="30">D12</f>
        <v>8.01</v>
      </c>
      <c r="E47" s="275" t="e">
        <f t="shared" si="30"/>
        <v>#N/A</v>
      </c>
      <c r="F47" s="275" t="e">
        <f t="shared" ref="F47:G47" si="31">F12</f>
        <v>#N/A</v>
      </c>
      <c r="G47" s="275" t="e">
        <f t="shared" si="31"/>
        <v>#N/A</v>
      </c>
      <c r="H47" s="275" t="e">
        <f t="shared" ref="H47" si="32">H12</f>
        <v>#N/A</v>
      </c>
    </row>
    <row r="48" spans="1:8" ht="14.25" x14ac:dyDescent="0.25">
      <c r="A48" s="5" t="s">
        <v>1842</v>
      </c>
      <c r="B48" s="2" t="s">
        <v>1818</v>
      </c>
      <c r="C48" s="3" t="s">
        <v>407</v>
      </c>
      <c r="D48" s="275">
        <f t="shared" ref="D48:E48" si="33">D106</f>
        <v>9.5607520399096639</v>
      </c>
      <c r="E48" s="275" t="e">
        <f t="shared" si="33"/>
        <v>#N/A</v>
      </c>
      <c r="F48" s="275" t="e">
        <f t="shared" ref="F48:G48" si="34">F106</f>
        <v>#N/A</v>
      </c>
      <c r="G48" s="275" t="e">
        <f t="shared" si="34"/>
        <v>#N/A</v>
      </c>
      <c r="H48" s="275" t="e">
        <f t="shared" ref="H48" si="35">H106</f>
        <v>#N/A</v>
      </c>
    </row>
    <row r="49" spans="1:8" ht="14.25" x14ac:dyDescent="0.25">
      <c r="A49" s="5" t="s">
        <v>1822</v>
      </c>
      <c r="B49" s="2" t="s">
        <v>1821</v>
      </c>
      <c r="C49" s="3" t="s">
        <v>407</v>
      </c>
      <c r="D49" s="275">
        <f t="shared" ref="D49:E49" si="36">D181</f>
        <v>11.542785580524344</v>
      </c>
      <c r="E49" s="275" t="e">
        <f t="shared" si="36"/>
        <v>#N/A</v>
      </c>
      <c r="F49" s="275" t="e">
        <f t="shared" ref="F49:G49" si="37">F181</f>
        <v>#N/A</v>
      </c>
      <c r="G49" s="275" t="e">
        <f t="shared" si="37"/>
        <v>#N/A</v>
      </c>
      <c r="H49" s="275" t="e">
        <f t="shared" ref="H49" si="38">H181</f>
        <v>#N/A</v>
      </c>
    </row>
    <row r="50" spans="1:8" ht="15" x14ac:dyDescent="0.25">
      <c r="A50" s="5" t="s">
        <v>2071</v>
      </c>
      <c r="B50" s="2" t="s">
        <v>899</v>
      </c>
      <c r="C50" s="3" t="s">
        <v>900</v>
      </c>
      <c r="D50" s="275">
        <f t="shared" ref="D50:E50" si="39">D89</f>
        <v>17.191324999999999</v>
      </c>
      <c r="E50" s="275" t="e">
        <f t="shared" si="39"/>
        <v>#N/A</v>
      </c>
      <c r="F50" s="275" t="e">
        <f t="shared" ref="F50:G50" si="40">F89</f>
        <v>#N/A</v>
      </c>
      <c r="G50" s="275" t="e">
        <f t="shared" si="40"/>
        <v>#N/A</v>
      </c>
      <c r="H50" s="275" t="e">
        <f t="shared" ref="H50" si="41">H89</f>
        <v>#N/A</v>
      </c>
    </row>
    <row r="51" spans="1:8" ht="15" x14ac:dyDescent="0.25">
      <c r="A51" s="5" t="s">
        <v>866</v>
      </c>
      <c r="B51" s="2" t="s">
        <v>872</v>
      </c>
      <c r="C51" s="3" t="s">
        <v>873</v>
      </c>
      <c r="D51" s="275">
        <f t="shared" ref="D51:E51" si="42">D138</f>
        <v>761.30368620824675</v>
      </c>
      <c r="E51" s="275" t="e">
        <f t="shared" si="42"/>
        <v>#N/A</v>
      </c>
      <c r="F51" s="275" t="e">
        <f t="shared" ref="F51:G51" si="43">F138</f>
        <v>#N/A</v>
      </c>
      <c r="G51" s="275" t="e">
        <f t="shared" si="43"/>
        <v>#N/A</v>
      </c>
      <c r="H51" s="275" t="e">
        <f t="shared" ref="H51" si="44">H138</f>
        <v>#N/A</v>
      </c>
    </row>
    <row r="52" spans="1:8" ht="15" x14ac:dyDescent="0.25">
      <c r="A52" s="5" t="s">
        <v>867</v>
      </c>
      <c r="B52" s="2" t="s">
        <v>909</v>
      </c>
      <c r="C52" s="3" t="s">
        <v>873</v>
      </c>
      <c r="D52" s="275">
        <f t="shared" ref="D52:E52" si="45">D146</f>
        <v>66.202434255572925</v>
      </c>
      <c r="E52" s="275" t="e">
        <f t="shared" si="45"/>
        <v>#N/A</v>
      </c>
      <c r="F52" s="275" t="e">
        <f t="shared" ref="F52:G52" si="46">F146</f>
        <v>#N/A</v>
      </c>
      <c r="G52" s="275" t="e">
        <f t="shared" si="46"/>
        <v>#N/A</v>
      </c>
      <c r="H52" s="275" t="e">
        <f t="shared" ref="H52" si="47">H146</f>
        <v>#N/A</v>
      </c>
    </row>
    <row r="53" spans="1:8" ht="15" x14ac:dyDescent="0.25">
      <c r="A53" s="5" t="s">
        <v>413</v>
      </c>
      <c r="B53" s="2" t="s">
        <v>905</v>
      </c>
      <c r="C53" s="3" t="s">
        <v>906</v>
      </c>
      <c r="D53" s="275">
        <f t="shared" ref="D53:E53" si="48">D284</f>
        <v>95.100839909234537</v>
      </c>
      <c r="E53" s="275">
        <f t="shared" si="48"/>
        <v>0</v>
      </c>
      <c r="F53" s="275">
        <f t="shared" ref="F53:G53" si="49">F284</f>
        <v>0</v>
      </c>
      <c r="G53" s="275">
        <f t="shared" si="49"/>
        <v>0</v>
      </c>
      <c r="H53" s="275">
        <f t="shared" ref="H53" si="50">H284</f>
        <v>0</v>
      </c>
    </row>
    <row r="54" spans="1:8" ht="15" x14ac:dyDescent="0.25">
      <c r="A54" s="5" t="s">
        <v>416</v>
      </c>
      <c r="B54" s="2" t="s">
        <v>910</v>
      </c>
      <c r="C54" s="3" t="s">
        <v>906</v>
      </c>
      <c r="D54" s="275">
        <f t="shared" ref="D54:E54" si="51">D292</f>
        <v>25.137009406250002</v>
      </c>
      <c r="E54" s="275" t="e">
        <f t="shared" si="51"/>
        <v>#N/A</v>
      </c>
      <c r="F54" s="275" t="e">
        <f t="shared" ref="F54:G54" si="52">F292</f>
        <v>#N/A</v>
      </c>
      <c r="G54" s="275" t="e">
        <f t="shared" si="52"/>
        <v>#N/A</v>
      </c>
      <c r="H54" s="275" t="e">
        <f t="shared" ref="H54" si="53">H292</f>
        <v>#N/A</v>
      </c>
    </row>
    <row r="55" spans="1:8" ht="15" x14ac:dyDescent="0.2">
      <c r="A55" s="5" t="s">
        <v>962</v>
      </c>
      <c r="B55" s="2" t="s">
        <v>6</v>
      </c>
      <c r="C55" s="3" t="s">
        <v>873</v>
      </c>
      <c r="D55" s="275">
        <f t="shared" ref="D55:E55" si="54">D300</f>
        <v>1.2337934160416668</v>
      </c>
      <c r="E55" s="275" t="e">
        <f t="shared" si="54"/>
        <v>#N/A</v>
      </c>
      <c r="F55" s="275" t="e">
        <f t="shared" ref="F55:G55" si="55">F300</f>
        <v>#N/A</v>
      </c>
      <c r="G55" s="275" t="e">
        <f t="shared" si="55"/>
        <v>#N/A</v>
      </c>
      <c r="H55" s="275" t="e">
        <f t="shared" ref="H55" si="56">H300</f>
        <v>#N/A</v>
      </c>
    </row>
    <row r="56" spans="1:8" ht="15" x14ac:dyDescent="0.25">
      <c r="A56" s="5" t="s">
        <v>422</v>
      </c>
      <c r="B56" s="2" t="s">
        <v>913</v>
      </c>
      <c r="C56" s="3" t="s">
        <v>914</v>
      </c>
      <c r="D56" s="277">
        <f t="shared" ref="D56:E56" si="57">D305</f>
        <v>3321.565122288453</v>
      </c>
      <c r="E56" s="277" t="e">
        <f t="shared" si="57"/>
        <v>#N/A</v>
      </c>
      <c r="F56" s="277" t="e">
        <f t="shared" ref="F56:G56" si="58">F305</f>
        <v>#N/A</v>
      </c>
      <c r="G56" s="277" t="e">
        <f t="shared" si="58"/>
        <v>#N/A</v>
      </c>
      <c r="H56" s="277" t="e">
        <f t="shared" ref="H56" si="59">H305</f>
        <v>#N/A</v>
      </c>
    </row>
    <row r="57" spans="1:8" ht="15" x14ac:dyDescent="0.25">
      <c r="A57" s="5" t="s">
        <v>964</v>
      </c>
      <c r="B57" s="2" t="s">
        <v>963</v>
      </c>
      <c r="C57" s="3" t="s">
        <v>873</v>
      </c>
      <c r="D57" s="277">
        <f t="shared" ref="D57:E57" si="60">D316</f>
        <v>22.055836376250003</v>
      </c>
      <c r="E57" s="277">
        <f t="shared" si="60"/>
        <v>0</v>
      </c>
      <c r="F57" s="277">
        <f t="shared" ref="F57:G57" si="61">F316</f>
        <v>0</v>
      </c>
      <c r="G57" s="277">
        <f t="shared" si="61"/>
        <v>0</v>
      </c>
      <c r="H57" s="277">
        <f t="shared" ref="H57" si="62">H316</f>
        <v>0</v>
      </c>
    </row>
    <row r="58" spans="1:8" ht="15" x14ac:dyDescent="0.25">
      <c r="A58" s="5" t="s">
        <v>1824</v>
      </c>
      <c r="B58" s="2" t="s">
        <v>1825</v>
      </c>
      <c r="C58" s="3" t="s">
        <v>900</v>
      </c>
      <c r="D58" s="277">
        <f t="shared" ref="D58:E58" si="63">D318</f>
        <v>4.1251499999999997</v>
      </c>
      <c r="E58" s="277">
        <f t="shared" si="63"/>
        <v>0</v>
      </c>
      <c r="F58" s="277">
        <f t="shared" ref="F58:G58" si="64">F318</f>
        <v>0</v>
      </c>
      <c r="G58" s="277">
        <f t="shared" si="64"/>
        <v>0</v>
      </c>
      <c r="H58" s="277">
        <f t="shared" ref="H58" si="65">H318</f>
        <v>0</v>
      </c>
    </row>
    <row r="59" spans="1:8" ht="15" x14ac:dyDescent="0.25">
      <c r="A59" s="5" t="s">
        <v>1912</v>
      </c>
      <c r="B59" s="2" t="s">
        <v>1923</v>
      </c>
      <c r="C59" s="3" t="s">
        <v>873</v>
      </c>
      <c r="D59" s="277">
        <f t="shared" ref="D59:E59" si="66">D320</f>
        <v>22.055836376250003</v>
      </c>
      <c r="E59" s="277" t="e">
        <f t="shared" si="66"/>
        <v>#N/A</v>
      </c>
      <c r="F59" s="277" t="e">
        <f t="shared" ref="F59:G59" si="67">F320</f>
        <v>#N/A</v>
      </c>
      <c r="G59" s="277" t="e">
        <f t="shared" si="67"/>
        <v>#N/A</v>
      </c>
      <c r="H59" s="277" t="e">
        <f t="shared" ref="H59" si="68">H320</f>
        <v>#N/A</v>
      </c>
    </row>
    <row r="60" spans="1:8" ht="14.25" x14ac:dyDescent="0.25">
      <c r="A60" s="5" t="s">
        <v>885</v>
      </c>
      <c r="B60" s="2" t="s">
        <v>943</v>
      </c>
      <c r="C60" s="3" t="s">
        <v>407</v>
      </c>
      <c r="D60" s="278">
        <f t="shared" ref="D60:E60" si="69">D35</f>
        <v>10.87</v>
      </c>
      <c r="E60" s="278">
        <f t="shared" si="69"/>
        <v>0</v>
      </c>
      <c r="F60" s="278">
        <f t="shared" ref="F60:G60" si="70">F35</f>
        <v>0</v>
      </c>
      <c r="G60" s="278">
        <f t="shared" si="70"/>
        <v>0</v>
      </c>
      <c r="H60" s="278">
        <f t="shared" ref="H60" si="71">H35</f>
        <v>0</v>
      </c>
    </row>
    <row r="61" spans="1:8" ht="15" x14ac:dyDescent="0.25">
      <c r="A61" s="13" t="s">
        <v>953</v>
      </c>
      <c r="B61" s="2" t="s">
        <v>955</v>
      </c>
      <c r="C61" s="3" t="s">
        <v>906</v>
      </c>
      <c r="D61" s="278">
        <f t="shared" ref="D61:E62" si="72">D307</f>
        <v>79.628012841491909</v>
      </c>
      <c r="E61" s="278" t="e">
        <f t="shared" si="72"/>
        <v>#N/A</v>
      </c>
      <c r="F61" s="278" t="e">
        <f t="shared" ref="F61:G61" si="73">F307</f>
        <v>#N/A</v>
      </c>
      <c r="G61" s="278" t="e">
        <f t="shared" si="73"/>
        <v>#N/A</v>
      </c>
      <c r="H61" s="278" t="e">
        <f t="shared" ref="H61" si="74">H307</f>
        <v>#N/A</v>
      </c>
    </row>
    <row r="62" spans="1:8" ht="15" x14ac:dyDescent="0.25">
      <c r="A62" s="13" t="s">
        <v>954</v>
      </c>
      <c r="B62" s="2" t="s">
        <v>956</v>
      </c>
      <c r="C62" s="3" t="s">
        <v>906</v>
      </c>
      <c r="D62" s="278">
        <f t="shared" si="72"/>
        <v>91.621250185915741</v>
      </c>
      <c r="E62" s="278" t="e">
        <f t="shared" si="72"/>
        <v>#N/A</v>
      </c>
      <c r="F62" s="278" t="e">
        <f t="shared" ref="F62:G62" si="75">F308</f>
        <v>#N/A</v>
      </c>
      <c r="G62" s="278" t="e">
        <f t="shared" si="75"/>
        <v>#N/A</v>
      </c>
      <c r="H62" s="278" t="e">
        <f t="shared" ref="H62" si="76">H308</f>
        <v>#N/A</v>
      </c>
    </row>
    <row r="63" spans="1:8" ht="15" x14ac:dyDescent="0.25">
      <c r="A63" s="13" t="s">
        <v>417</v>
      </c>
      <c r="B63" s="2" t="s">
        <v>911</v>
      </c>
      <c r="C63" s="3" t="s">
        <v>906</v>
      </c>
      <c r="D63" s="278">
        <f t="shared" ref="D63:E63" si="77">D310</f>
        <v>16.529946131229195</v>
      </c>
      <c r="E63" s="278" t="e">
        <f t="shared" si="77"/>
        <v>#N/A</v>
      </c>
      <c r="F63" s="278" t="e">
        <f t="shared" ref="F63:G63" si="78">F310</f>
        <v>#N/A</v>
      </c>
      <c r="G63" s="278" t="e">
        <f t="shared" si="78"/>
        <v>#N/A</v>
      </c>
      <c r="H63" s="278" t="e">
        <f t="shared" ref="H63" si="79">H310</f>
        <v>#N/A</v>
      </c>
    </row>
    <row r="64" spans="1:8" ht="14.25" x14ac:dyDescent="0.25">
      <c r="A64" s="13" t="s">
        <v>415</v>
      </c>
      <c r="B64" s="2" t="s">
        <v>908</v>
      </c>
      <c r="C64" s="3" t="s">
        <v>407</v>
      </c>
      <c r="D64" s="278">
        <f t="shared" ref="D64:E64" si="80">D312</f>
        <v>6.6546357834013241</v>
      </c>
      <c r="E64" s="278" t="e">
        <f t="shared" si="80"/>
        <v>#N/A</v>
      </c>
      <c r="F64" s="278" t="e">
        <f t="shared" ref="F64:G64" si="81">F312</f>
        <v>#N/A</v>
      </c>
      <c r="G64" s="278" t="e">
        <f t="shared" si="81"/>
        <v>#N/A</v>
      </c>
      <c r="H64" s="278" t="e">
        <f t="shared" ref="H64" si="82">H312</f>
        <v>#N/A</v>
      </c>
    </row>
    <row r="65" spans="1:8" ht="14.25" x14ac:dyDescent="0.25">
      <c r="A65" s="13" t="s">
        <v>418</v>
      </c>
      <c r="B65" s="2" t="s">
        <v>912</v>
      </c>
      <c r="C65" s="3" t="s">
        <v>407</v>
      </c>
      <c r="D65" s="278">
        <f t="shared" ref="D65:E65" si="83">D314</f>
        <v>1.9623763624977251</v>
      </c>
      <c r="E65" s="278" t="e">
        <f t="shared" si="83"/>
        <v>#N/A</v>
      </c>
      <c r="F65" s="278" t="e">
        <f t="shared" ref="F65:G65" si="84">F314</f>
        <v>#N/A</v>
      </c>
      <c r="G65" s="278" t="e">
        <f t="shared" si="84"/>
        <v>#N/A</v>
      </c>
      <c r="H65" s="278" t="e">
        <f t="shared" ref="H65" si="85">H314</f>
        <v>#N/A</v>
      </c>
    </row>
    <row r="66" spans="1:8" x14ac:dyDescent="0.2">
      <c r="C66" s="3"/>
      <c r="D66" s="12"/>
      <c r="E66" s="12"/>
      <c r="F66" s="12"/>
      <c r="G66" s="12"/>
      <c r="H66" s="12"/>
    </row>
    <row r="67" spans="1:8" x14ac:dyDescent="0.2">
      <c r="A67" s="66" t="s">
        <v>2531</v>
      </c>
    </row>
    <row r="68" spans="1:8" hidden="1" x14ac:dyDescent="0.2">
      <c r="A68" s="16" t="s">
        <v>409</v>
      </c>
      <c r="C68" s="3"/>
    </row>
    <row r="69" spans="1:8" ht="14.25" hidden="1" x14ac:dyDescent="0.25">
      <c r="A69" s="5" t="s">
        <v>2475</v>
      </c>
      <c r="B69" s="2" t="s">
        <v>2313</v>
      </c>
      <c r="C69" s="3" t="s">
        <v>407</v>
      </c>
      <c r="D69" s="12">
        <f t="shared" ref="D69:E69" si="86">D31</f>
        <v>0.51500000000000001</v>
      </c>
      <c r="E69" s="12">
        <f t="shared" si="86"/>
        <v>0</v>
      </c>
      <c r="F69" s="12">
        <f t="shared" ref="F69:G69" si="87">F31</f>
        <v>0</v>
      </c>
      <c r="G69" s="12">
        <f t="shared" si="87"/>
        <v>0</v>
      </c>
      <c r="H69" s="12">
        <f t="shared" ref="H69" si="88">H31</f>
        <v>0</v>
      </c>
    </row>
    <row r="70" spans="1:8" ht="15" hidden="1" x14ac:dyDescent="0.25">
      <c r="A70" s="5" t="s">
        <v>2477</v>
      </c>
      <c r="B70" s="2" t="s">
        <v>2314</v>
      </c>
      <c r="C70" s="3" t="s">
        <v>407</v>
      </c>
      <c r="D70" s="12">
        <f t="shared" ref="D70:E70" si="89">D35</f>
        <v>10.87</v>
      </c>
      <c r="E70" s="12">
        <f t="shared" si="89"/>
        <v>0</v>
      </c>
      <c r="F70" s="12">
        <f t="shared" ref="F70:G70" si="90">F35</f>
        <v>0</v>
      </c>
      <c r="G70" s="12">
        <f t="shared" si="90"/>
        <v>0</v>
      </c>
      <c r="H70" s="12">
        <f t="shared" ref="H70" si="91">H35</f>
        <v>0</v>
      </c>
    </row>
    <row r="71" spans="1:8" ht="15" hidden="1" x14ac:dyDescent="0.25">
      <c r="A71" s="5" t="s">
        <v>2476</v>
      </c>
      <c r="B71" s="2" t="s">
        <v>2315</v>
      </c>
      <c r="C71" s="3" t="s">
        <v>407</v>
      </c>
      <c r="D71" s="12">
        <f t="shared" ref="D71:E71" si="92">D33</f>
        <v>0.51500000000000001</v>
      </c>
      <c r="E71" s="12">
        <f t="shared" si="92"/>
        <v>0</v>
      </c>
      <c r="F71" s="12">
        <f t="shared" ref="F71:G71" si="93">F33</f>
        <v>0</v>
      </c>
      <c r="G71" s="12">
        <f t="shared" si="93"/>
        <v>0</v>
      </c>
      <c r="H71" s="12">
        <f t="shared" ref="H71" si="94">H33</f>
        <v>0</v>
      </c>
    </row>
    <row r="72" spans="1:8" ht="15" hidden="1" x14ac:dyDescent="0.25">
      <c r="A72" s="5" t="s">
        <v>2473</v>
      </c>
      <c r="B72" s="2" t="s">
        <v>2316</v>
      </c>
      <c r="C72" s="3" t="s">
        <v>407</v>
      </c>
      <c r="D72" s="2">
        <f t="shared" ref="D72:E72" si="95">D25</f>
        <v>5.4550000000000001</v>
      </c>
      <c r="E72" s="2" t="e">
        <f t="shared" si="95"/>
        <v>#N/A</v>
      </c>
      <c r="F72" s="2" t="e">
        <f t="shared" ref="F72:G72" si="96">F25</f>
        <v>#N/A</v>
      </c>
      <c r="G72" s="2" t="e">
        <f t="shared" si="96"/>
        <v>#N/A</v>
      </c>
      <c r="H72" s="2" t="e">
        <f t="shared" ref="H72" si="97">H25</f>
        <v>#N/A</v>
      </c>
    </row>
    <row r="73" spans="1:8" ht="15" hidden="1" x14ac:dyDescent="0.25">
      <c r="A73" s="5" t="s">
        <v>2474</v>
      </c>
      <c r="B73" s="2" t="s">
        <v>2317</v>
      </c>
      <c r="C73" s="3" t="s">
        <v>407</v>
      </c>
      <c r="D73" s="2">
        <f t="shared" ref="D73:E73" si="98">D14</f>
        <v>0.51500000000000001</v>
      </c>
      <c r="E73" s="2" t="e">
        <f t="shared" si="98"/>
        <v>#N/A</v>
      </c>
      <c r="F73" s="2" t="e">
        <f t="shared" ref="F73:G73" si="99">F14</f>
        <v>#N/A</v>
      </c>
      <c r="G73" s="2" t="e">
        <f t="shared" si="99"/>
        <v>#N/A</v>
      </c>
      <c r="H73" s="2" t="e">
        <f t="shared" ref="H73" si="100">H14</f>
        <v>#N/A</v>
      </c>
    </row>
    <row r="74" spans="1:8" ht="14.25" hidden="1" x14ac:dyDescent="0.25">
      <c r="A74" s="37" t="s">
        <v>2347</v>
      </c>
      <c r="B74" s="40" t="s">
        <v>2346</v>
      </c>
      <c r="C74" s="41" t="s">
        <v>407</v>
      </c>
      <c r="D74" s="56">
        <f t="shared" ref="D74:E74" si="101">SUM(D69:D73)</f>
        <v>17.87</v>
      </c>
      <c r="E74" s="56" t="e">
        <f t="shared" si="101"/>
        <v>#N/A</v>
      </c>
      <c r="F74" s="56" t="e">
        <f t="shared" ref="F74:G74" si="102">SUM(F69:F73)</f>
        <v>#N/A</v>
      </c>
      <c r="G74" s="56" t="e">
        <f t="shared" si="102"/>
        <v>#N/A</v>
      </c>
      <c r="H74" s="56" t="e">
        <f t="shared" ref="H74" si="103">SUM(H69:H73)</f>
        <v>#N/A</v>
      </c>
    </row>
    <row r="75" spans="1:8" hidden="1" x14ac:dyDescent="0.2">
      <c r="C75" s="3"/>
      <c r="D75" s="12"/>
      <c r="E75" s="12"/>
      <c r="F75" s="12"/>
      <c r="G75" s="12"/>
      <c r="H75" s="12"/>
    </row>
    <row r="76" spans="1:8" hidden="1" x14ac:dyDescent="0.2">
      <c r="A76" s="16" t="s">
        <v>2267</v>
      </c>
      <c r="C76" s="3"/>
      <c r="D76" s="12"/>
      <c r="E76" s="12"/>
      <c r="F76" s="12"/>
      <c r="G76" s="12"/>
      <c r="H76" s="12"/>
    </row>
    <row r="77" spans="1:8" ht="15" hidden="1" x14ac:dyDescent="0.25">
      <c r="A77" s="5" t="s">
        <v>2481</v>
      </c>
      <c r="B77" s="2" t="s">
        <v>2486</v>
      </c>
      <c r="C77" s="3" t="s">
        <v>407</v>
      </c>
      <c r="D77" s="12">
        <f t="shared" ref="D77:E77" si="104">D32</f>
        <v>8.01</v>
      </c>
      <c r="E77" s="12">
        <f t="shared" si="104"/>
        <v>0</v>
      </c>
      <c r="F77" s="12">
        <f t="shared" ref="F77:G77" si="105">F32</f>
        <v>0</v>
      </c>
      <c r="G77" s="12">
        <f t="shared" si="105"/>
        <v>0</v>
      </c>
      <c r="H77" s="12">
        <f t="shared" ref="H77" si="106">H32</f>
        <v>0</v>
      </c>
    </row>
    <row r="78" spans="1:8" ht="15" hidden="1" x14ac:dyDescent="0.25">
      <c r="A78" s="5" t="s">
        <v>2482</v>
      </c>
      <c r="B78" s="2" t="s">
        <v>2309</v>
      </c>
      <c r="C78" s="3" t="s">
        <v>407</v>
      </c>
      <c r="D78" s="12">
        <f t="shared" ref="D78:E78" si="107">D30</f>
        <v>0.29499999999999998</v>
      </c>
      <c r="E78" s="12">
        <f t="shared" si="107"/>
        <v>0</v>
      </c>
      <c r="F78" s="12">
        <f t="shared" ref="F78:G78" si="108">F30</f>
        <v>0</v>
      </c>
      <c r="G78" s="12">
        <f t="shared" si="108"/>
        <v>0</v>
      </c>
      <c r="H78" s="12">
        <f t="shared" ref="H78" si="109">H30</f>
        <v>0</v>
      </c>
    </row>
    <row r="79" spans="1:8" ht="15" hidden="1" x14ac:dyDescent="0.25">
      <c r="A79" s="5" t="s">
        <v>2483</v>
      </c>
      <c r="B79" s="2" t="s">
        <v>2310</v>
      </c>
      <c r="C79" s="3" t="s">
        <v>407</v>
      </c>
      <c r="D79" s="12">
        <f t="shared" ref="D79:E79" si="110">D34</f>
        <v>8.01</v>
      </c>
      <c r="E79" s="12">
        <f t="shared" si="110"/>
        <v>0</v>
      </c>
      <c r="F79" s="12">
        <f t="shared" ref="F79:G79" si="111">F34</f>
        <v>0</v>
      </c>
      <c r="G79" s="12">
        <f t="shared" si="111"/>
        <v>0</v>
      </c>
      <c r="H79" s="12">
        <f t="shared" ref="H79" si="112">H34</f>
        <v>0</v>
      </c>
    </row>
    <row r="80" spans="1:8" ht="15" hidden="1" x14ac:dyDescent="0.25">
      <c r="A80" s="5" t="s">
        <v>2484</v>
      </c>
      <c r="B80" s="2" t="s">
        <v>2311</v>
      </c>
      <c r="C80" s="3" t="s">
        <v>407</v>
      </c>
      <c r="D80" s="2">
        <f t="shared" ref="D80:E80" si="113">D13</f>
        <v>0.29499999999999998</v>
      </c>
      <c r="E80" s="2" t="e">
        <f t="shared" si="113"/>
        <v>#N/A</v>
      </c>
      <c r="F80" s="2" t="e">
        <f t="shared" ref="F80:G80" si="114">F13</f>
        <v>#N/A</v>
      </c>
      <c r="G80" s="2" t="e">
        <f t="shared" si="114"/>
        <v>#N/A</v>
      </c>
      <c r="H80" s="2" t="e">
        <f t="shared" ref="H80" si="115">H13</f>
        <v>#N/A</v>
      </c>
    </row>
    <row r="81" spans="1:8" ht="15" hidden="1" x14ac:dyDescent="0.25">
      <c r="A81" s="5" t="s">
        <v>2485</v>
      </c>
      <c r="B81" s="2" t="s">
        <v>2312</v>
      </c>
      <c r="C81" s="3" t="s">
        <v>407</v>
      </c>
      <c r="D81" s="2">
        <f t="shared" ref="D81:E81" si="116">D12</f>
        <v>8.01</v>
      </c>
      <c r="E81" s="2" t="e">
        <f t="shared" si="116"/>
        <v>#N/A</v>
      </c>
      <c r="F81" s="2" t="e">
        <f t="shared" ref="F81:G81" si="117">F12</f>
        <v>#N/A</v>
      </c>
      <c r="G81" s="2" t="e">
        <f t="shared" si="117"/>
        <v>#N/A</v>
      </c>
      <c r="H81" s="2" t="e">
        <f t="shared" ref="H81" si="118">H12</f>
        <v>#N/A</v>
      </c>
    </row>
    <row r="82" spans="1:8" hidden="1" x14ac:dyDescent="0.2">
      <c r="C82" s="3"/>
      <c r="D82" s="12"/>
      <c r="E82" s="12"/>
      <c r="F82" s="12"/>
      <c r="G82" s="12"/>
      <c r="H82" s="12"/>
    </row>
    <row r="83" spans="1:8" hidden="1" x14ac:dyDescent="0.2">
      <c r="A83" s="16" t="s">
        <v>2265</v>
      </c>
      <c r="C83" s="3"/>
      <c r="D83" s="12"/>
      <c r="E83" s="12"/>
      <c r="F83" s="12"/>
      <c r="G83" s="12"/>
      <c r="H83" s="12"/>
    </row>
    <row r="84" spans="1:8" ht="15" hidden="1" x14ac:dyDescent="0.25">
      <c r="A84" s="5" t="s">
        <v>2487</v>
      </c>
      <c r="B84" s="2" t="s">
        <v>2303</v>
      </c>
      <c r="C84" s="3" t="s">
        <v>900</v>
      </c>
      <c r="D84" s="12">
        <f t="shared" ref="D84:E84" si="119">D69*D77</f>
        <v>4.1251499999999997</v>
      </c>
      <c r="E84" s="12">
        <f t="shared" si="119"/>
        <v>0</v>
      </c>
      <c r="F84" s="12">
        <f t="shared" ref="F84:G84" si="120">F69*F77</f>
        <v>0</v>
      </c>
      <c r="G84" s="12">
        <f t="shared" si="120"/>
        <v>0</v>
      </c>
      <c r="H84" s="12">
        <f t="shared" ref="H84" si="121">H69*H77</f>
        <v>0</v>
      </c>
    </row>
    <row r="85" spans="1:8" ht="15" hidden="1" x14ac:dyDescent="0.25">
      <c r="A85" s="5" t="s">
        <v>2488</v>
      </c>
      <c r="B85" s="2" t="s">
        <v>2304</v>
      </c>
      <c r="C85" s="3" t="s">
        <v>900</v>
      </c>
      <c r="D85" s="12">
        <f t="shared" ref="D85:E88" si="122">D70*D78</f>
        <v>3.2066499999999998</v>
      </c>
      <c r="E85" s="12">
        <f t="shared" si="122"/>
        <v>0</v>
      </c>
      <c r="F85" s="12">
        <f t="shared" ref="F85:G85" si="123">F70*F78</f>
        <v>0</v>
      </c>
      <c r="G85" s="12">
        <f t="shared" si="123"/>
        <v>0</v>
      </c>
      <c r="H85" s="12">
        <f t="shared" ref="H85" si="124">H70*H78</f>
        <v>0</v>
      </c>
    </row>
    <row r="86" spans="1:8" ht="15" hidden="1" x14ac:dyDescent="0.25">
      <c r="A86" s="5" t="s">
        <v>2489</v>
      </c>
      <c r="B86" s="2" t="s">
        <v>2305</v>
      </c>
      <c r="C86" s="3" t="s">
        <v>900</v>
      </c>
      <c r="D86" s="12">
        <f t="shared" si="122"/>
        <v>4.1251499999999997</v>
      </c>
      <c r="E86" s="12">
        <f t="shared" si="122"/>
        <v>0</v>
      </c>
      <c r="F86" s="12">
        <f t="shared" ref="F86:G86" si="125">F71*F79</f>
        <v>0</v>
      </c>
      <c r="G86" s="12">
        <f t="shared" si="125"/>
        <v>0</v>
      </c>
      <c r="H86" s="12">
        <f t="shared" ref="H86" si="126">H71*H79</f>
        <v>0</v>
      </c>
    </row>
    <row r="87" spans="1:8" ht="15" hidden="1" x14ac:dyDescent="0.25">
      <c r="A87" s="5" t="s">
        <v>2490</v>
      </c>
      <c r="B87" s="2" t="s">
        <v>2306</v>
      </c>
      <c r="C87" s="3" t="s">
        <v>900</v>
      </c>
      <c r="D87" s="12">
        <f t="shared" si="122"/>
        <v>1.6092249999999999</v>
      </c>
      <c r="E87" s="12" t="e">
        <f t="shared" si="122"/>
        <v>#N/A</v>
      </c>
      <c r="F87" s="12" t="e">
        <f t="shared" ref="F87:G87" si="127">F72*F80</f>
        <v>#N/A</v>
      </c>
      <c r="G87" s="12" t="e">
        <f t="shared" si="127"/>
        <v>#N/A</v>
      </c>
      <c r="H87" s="12" t="e">
        <f t="shared" ref="H87" si="128">H72*H80</f>
        <v>#N/A</v>
      </c>
    </row>
    <row r="88" spans="1:8" ht="15" hidden="1" x14ac:dyDescent="0.25">
      <c r="A88" s="5" t="s">
        <v>2491</v>
      </c>
      <c r="B88" s="2" t="s">
        <v>2307</v>
      </c>
      <c r="C88" s="3" t="s">
        <v>900</v>
      </c>
      <c r="D88" s="12">
        <f t="shared" si="122"/>
        <v>4.1251499999999997</v>
      </c>
      <c r="E88" s="12" t="e">
        <f t="shared" si="122"/>
        <v>#N/A</v>
      </c>
      <c r="F88" s="12" t="e">
        <f t="shared" ref="F88:G88" si="129">F73*F81</f>
        <v>#N/A</v>
      </c>
      <c r="G88" s="12" t="e">
        <f t="shared" si="129"/>
        <v>#N/A</v>
      </c>
      <c r="H88" s="12" t="e">
        <f t="shared" ref="H88" si="130">H73*H81</f>
        <v>#N/A</v>
      </c>
    </row>
    <row r="89" spans="1:8" ht="15" hidden="1" x14ac:dyDescent="0.25">
      <c r="A89" s="37" t="s">
        <v>2345</v>
      </c>
      <c r="B89" s="40" t="s">
        <v>2344</v>
      </c>
      <c r="C89" s="41" t="s">
        <v>2068</v>
      </c>
      <c r="D89" s="56">
        <f t="shared" ref="D89:E89" si="131">SUM(D84:D88)</f>
        <v>17.191324999999999</v>
      </c>
      <c r="E89" s="56" t="e">
        <f t="shared" si="131"/>
        <v>#N/A</v>
      </c>
      <c r="F89" s="56" t="e">
        <f t="shared" ref="F89:G89" si="132">SUM(F84:F88)</f>
        <v>#N/A</v>
      </c>
      <c r="G89" s="56" t="e">
        <f t="shared" si="132"/>
        <v>#N/A</v>
      </c>
      <c r="H89" s="56" t="e">
        <f t="shared" ref="H89" si="133">SUM(H84:H88)</f>
        <v>#N/A</v>
      </c>
    </row>
    <row r="90" spans="1:8" hidden="1" x14ac:dyDescent="0.2">
      <c r="C90" s="3"/>
      <c r="D90" s="12"/>
      <c r="E90" s="12"/>
      <c r="F90" s="12"/>
      <c r="G90" s="12"/>
      <c r="H90" s="12"/>
    </row>
    <row r="91" spans="1:8" hidden="1" x14ac:dyDescent="0.2">
      <c r="A91" s="16" t="s">
        <v>2292</v>
      </c>
      <c r="C91" s="3"/>
      <c r="D91" s="12"/>
      <c r="E91" s="12"/>
      <c r="F91" s="12"/>
      <c r="G91" s="12"/>
      <c r="H91" s="12"/>
    </row>
    <row r="92" spans="1:8" ht="14.25" hidden="1" x14ac:dyDescent="0.25">
      <c r="A92" s="5" t="s">
        <v>2487</v>
      </c>
      <c r="B92" s="2" t="s">
        <v>1686</v>
      </c>
      <c r="C92" s="3" t="s">
        <v>407</v>
      </c>
      <c r="D92" s="2">
        <f t="shared" ref="D92:E92" si="134">D69/2</f>
        <v>0.25750000000000001</v>
      </c>
      <c r="E92" s="2">
        <f t="shared" si="134"/>
        <v>0</v>
      </c>
      <c r="F92" s="2">
        <f t="shared" ref="F92:G92" si="135">F69/2</f>
        <v>0</v>
      </c>
      <c r="G92" s="2">
        <f t="shared" si="135"/>
        <v>0</v>
      </c>
      <c r="H92" s="2">
        <f t="shared" ref="H92" si="136">H69/2</f>
        <v>0</v>
      </c>
    </row>
    <row r="93" spans="1:8" ht="15" hidden="1" x14ac:dyDescent="0.25">
      <c r="A93" s="5" t="s">
        <v>2488</v>
      </c>
      <c r="B93" s="2" t="s">
        <v>1687</v>
      </c>
      <c r="C93" s="3" t="s">
        <v>407</v>
      </c>
      <c r="D93" s="2">
        <f t="shared" ref="D93:E93" si="137">D69+D70/2</f>
        <v>5.9499999999999993</v>
      </c>
      <c r="E93" s="2">
        <f t="shared" si="137"/>
        <v>0</v>
      </c>
      <c r="F93" s="2">
        <f t="shared" ref="F93:G93" si="138">F69+F70/2</f>
        <v>0</v>
      </c>
      <c r="G93" s="2">
        <f t="shared" si="138"/>
        <v>0</v>
      </c>
      <c r="H93" s="2">
        <f t="shared" ref="H93" si="139">H69+H70/2</f>
        <v>0</v>
      </c>
    </row>
    <row r="94" spans="1:8" ht="15" hidden="1" x14ac:dyDescent="0.25">
      <c r="A94" s="5" t="s">
        <v>2489</v>
      </c>
      <c r="B94" s="2" t="s">
        <v>1688</v>
      </c>
      <c r="C94" s="3" t="s">
        <v>407</v>
      </c>
      <c r="D94" s="2">
        <f t="shared" ref="D94:E94" si="140">D69+D70+D71/2</f>
        <v>11.6425</v>
      </c>
      <c r="E94" s="2">
        <f t="shared" si="140"/>
        <v>0</v>
      </c>
      <c r="F94" s="2">
        <f t="shared" ref="F94:G94" si="141">F69+F70+F71/2</f>
        <v>0</v>
      </c>
      <c r="G94" s="2">
        <f t="shared" si="141"/>
        <v>0</v>
      </c>
      <c r="H94" s="2">
        <f t="shared" ref="H94" si="142">H69+H70+H71/2</f>
        <v>0</v>
      </c>
    </row>
    <row r="95" spans="1:8" ht="15" hidden="1" x14ac:dyDescent="0.25">
      <c r="A95" s="5" t="s">
        <v>2490</v>
      </c>
      <c r="B95" s="2" t="s">
        <v>1689</v>
      </c>
      <c r="C95" s="3" t="s">
        <v>407</v>
      </c>
      <c r="D95" s="2">
        <f t="shared" ref="D95:E95" si="143">D69+D70+D71+D72/2</f>
        <v>14.627500000000001</v>
      </c>
      <c r="E95" s="2" t="e">
        <f t="shared" si="143"/>
        <v>#N/A</v>
      </c>
      <c r="F95" s="2" t="e">
        <f t="shared" ref="F95:G95" si="144">F69+F70+F71+F72/2</f>
        <v>#N/A</v>
      </c>
      <c r="G95" s="2" t="e">
        <f t="shared" si="144"/>
        <v>#N/A</v>
      </c>
      <c r="H95" s="2" t="e">
        <f t="shared" ref="H95" si="145">H69+H70+H71+H72/2</f>
        <v>#N/A</v>
      </c>
    </row>
    <row r="96" spans="1:8" ht="15" hidden="1" x14ac:dyDescent="0.25">
      <c r="A96" s="5" t="s">
        <v>2491</v>
      </c>
      <c r="B96" s="2" t="s">
        <v>1690</v>
      </c>
      <c r="C96" s="3" t="s">
        <v>407</v>
      </c>
      <c r="D96" s="2">
        <f t="shared" ref="D96:E96" si="146">D69+D70+D71+D72+D73/2</f>
        <v>17.612500000000001</v>
      </c>
      <c r="E96" s="2" t="e">
        <f t="shared" si="146"/>
        <v>#N/A</v>
      </c>
      <c r="F96" s="2" t="e">
        <f t="shared" ref="F96:G96" si="147">F69+F70+F71+F72+F73/2</f>
        <v>#N/A</v>
      </c>
      <c r="G96" s="2" t="e">
        <f t="shared" si="147"/>
        <v>#N/A</v>
      </c>
      <c r="H96" s="2" t="e">
        <f t="shared" ref="H96" si="148">H69+H70+H71+H72+H73/2</f>
        <v>#N/A</v>
      </c>
    </row>
    <row r="97" spans="1:8" hidden="1" x14ac:dyDescent="0.2">
      <c r="C97" s="3"/>
      <c r="D97" s="12"/>
      <c r="E97" s="12"/>
      <c r="F97" s="12"/>
      <c r="G97" s="12"/>
      <c r="H97" s="12"/>
    </row>
    <row r="98" spans="1:8" hidden="1" x14ac:dyDescent="0.2">
      <c r="A98" s="16" t="s">
        <v>2293</v>
      </c>
      <c r="C98" s="3"/>
      <c r="D98" s="12"/>
      <c r="E98" s="12"/>
      <c r="F98" s="12"/>
      <c r="G98" s="12"/>
      <c r="H98" s="12"/>
    </row>
    <row r="99" spans="1:8" ht="15" hidden="1" x14ac:dyDescent="0.25">
      <c r="A99" s="5" t="s">
        <v>2487</v>
      </c>
      <c r="B99" s="2" t="s">
        <v>2318</v>
      </c>
      <c r="C99" s="3" t="s">
        <v>906</v>
      </c>
      <c r="D99" s="10">
        <f t="shared" ref="D99:E103" si="149">D84*D92</f>
        <v>1.062226125</v>
      </c>
      <c r="E99" s="10">
        <f t="shared" si="149"/>
        <v>0</v>
      </c>
      <c r="F99" s="10">
        <f t="shared" ref="F99:G99" si="150">F84*F92</f>
        <v>0</v>
      </c>
      <c r="G99" s="10">
        <f t="shared" si="150"/>
        <v>0</v>
      </c>
      <c r="H99" s="10">
        <f t="shared" ref="H99" si="151">H84*H92</f>
        <v>0</v>
      </c>
    </row>
    <row r="100" spans="1:8" ht="15" hidden="1" x14ac:dyDescent="0.25">
      <c r="A100" s="5" t="s">
        <v>2488</v>
      </c>
      <c r="B100" s="2" t="s">
        <v>2319</v>
      </c>
      <c r="C100" s="3" t="s">
        <v>906</v>
      </c>
      <c r="D100" s="10">
        <f t="shared" si="149"/>
        <v>19.079567499999996</v>
      </c>
      <c r="E100" s="10">
        <f t="shared" si="149"/>
        <v>0</v>
      </c>
      <c r="F100" s="10">
        <f t="shared" ref="F100:G100" si="152">F85*F93</f>
        <v>0</v>
      </c>
      <c r="G100" s="10">
        <f t="shared" si="152"/>
        <v>0</v>
      </c>
      <c r="H100" s="10">
        <f t="shared" ref="H100" si="153">H85*H93</f>
        <v>0</v>
      </c>
    </row>
    <row r="101" spans="1:8" ht="15" hidden="1" x14ac:dyDescent="0.25">
      <c r="A101" s="5" t="s">
        <v>2489</v>
      </c>
      <c r="B101" s="2" t="s">
        <v>2320</v>
      </c>
      <c r="C101" s="3" t="s">
        <v>2263</v>
      </c>
      <c r="D101" s="10">
        <f t="shared" si="149"/>
        <v>48.027058874999994</v>
      </c>
      <c r="E101" s="10">
        <f t="shared" si="149"/>
        <v>0</v>
      </c>
      <c r="F101" s="10">
        <f t="shared" ref="F101:G101" si="154">F86*F94</f>
        <v>0</v>
      </c>
      <c r="G101" s="10">
        <f t="shared" si="154"/>
        <v>0</v>
      </c>
      <c r="H101" s="10">
        <f t="shared" ref="H101" si="155">H86*H94</f>
        <v>0</v>
      </c>
    </row>
    <row r="102" spans="1:8" ht="15" hidden="1" x14ac:dyDescent="0.25">
      <c r="A102" s="5" t="s">
        <v>2490</v>
      </c>
      <c r="B102" s="2" t="s">
        <v>2321</v>
      </c>
      <c r="C102" s="3" t="s">
        <v>2263</v>
      </c>
      <c r="D102" s="10">
        <f t="shared" si="149"/>
        <v>23.5389386875</v>
      </c>
      <c r="E102" s="10" t="e">
        <f t="shared" si="149"/>
        <v>#N/A</v>
      </c>
      <c r="F102" s="10" t="e">
        <f t="shared" ref="F102:G102" si="156">F87*F95</f>
        <v>#N/A</v>
      </c>
      <c r="G102" s="10" t="e">
        <f t="shared" si="156"/>
        <v>#N/A</v>
      </c>
      <c r="H102" s="10" t="e">
        <f t="shared" ref="H102" si="157">H87*H95</f>
        <v>#N/A</v>
      </c>
    </row>
    <row r="103" spans="1:8" ht="15" hidden="1" x14ac:dyDescent="0.25">
      <c r="A103" s="5" t="s">
        <v>2491</v>
      </c>
      <c r="B103" s="2" t="s">
        <v>2322</v>
      </c>
      <c r="C103" s="3" t="s">
        <v>2263</v>
      </c>
      <c r="D103" s="10">
        <f t="shared" si="149"/>
        <v>72.654204374999992</v>
      </c>
      <c r="E103" s="10" t="e">
        <f t="shared" si="149"/>
        <v>#N/A</v>
      </c>
      <c r="F103" s="10" t="e">
        <f t="shared" ref="F103:G103" si="158">F88*F96</f>
        <v>#N/A</v>
      </c>
      <c r="G103" s="10" t="e">
        <f t="shared" si="158"/>
        <v>#N/A</v>
      </c>
      <c r="H103" s="10" t="e">
        <f t="shared" ref="H103" si="159">H88*H96</f>
        <v>#N/A</v>
      </c>
    </row>
    <row r="104" spans="1:8" ht="15" hidden="1" x14ac:dyDescent="0.2">
      <c r="A104" s="5" t="s">
        <v>2266</v>
      </c>
      <c r="B104" s="2" t="s">
        <v>2290</v>
      </c>
      <c r="C104" s="3" t="s">
        <v>2263</v>
      </c>
      <c r="D104" s="63">
        <f t="shared" ref="D104:E104" si="160">SUM(D99:D103)</f>
        <v>164.3619955625</v>
      </c>
      <c r="E104" s="63" t="e">
        <f t="shared" si="160"/>
        <v>#N/A</v>
      </c>
      <c r="F104" s="63" t="e">
        <f t="shared" ref="F104:G104" si="161">SUM(F99:F103)</f>
        <v>#N/A</v>
      </c>
      <c r="G104" s="63" t="e">
        <f t="shared" si="161"/>
        <v>#N/A</v>
      </c>
      <c r="H104" s="63" t="e">
        <f t="shared" ref="H104" si="162">SUM(H99:H103)</f>
        <v>#N/A</v>
      </c>
    </row>
    <row r="105" spans="1:8" hidden="1" x14ac:dyDescent="0.2"/>
    <row r="106" spans="1:8" ht="14.25" hidden="1" x14ac:dyDescent="0.25">
      <c r="A106" s="37" t="s">
        <v>2387</v>
      </c>
      <c r="B106" s="40" t="s">
        <v>1777</v>
      </c>
      <c r="C106" s="41" t="s">
        <v>407</v>
      </c>
      <c r="D106" s="56">
        <f t="shared" ref="D106:E106" si="163">D104/D89</f>
        <v>9.5607520399096639</v>
      </c>
      <c r="E106" s="56" t="e">
        <f t="shared" si="163"/>
        <v>#N/A</v>
      </c>
      <c r="F106" s="56" t="e">
        <f t="shared" ref="F106:G106" si="164">F104/F89</f>
        <v>#N/A</v>
      </c>
      <c r="G106" s="56" t="e">
        <f t="shared" si="164"/>
        <v>#N/A</v>
      </c>
      <c r="H106" s="56" t="e">
        <f t="shared" ref="H106" si="165">H104/H89</f>
        <v>#N/A</v>
      </c>
    </row>
    <row r="107" spans="1:8" ht="14.25" hidden="1" x14ac:dyDescent="0.25">
      <c r="A107" s="13" t="s">
        <v>2388</v>
      </c>
      <c r="B107" s="14" t="s">
        <v>2264</v>
      </c>
      <c r="C107" s="3" t="s">
        <v>407</v>
      </c>
      <c r="D107" s="12">
        <f t="shared" ref="D107:E107" si="166">D74-D106</f>
        <v>8.3092479600903371</v>
      </c>
      <c r="E107" s="12" t="e">
        <f t="shared" si="166"/>
        <v>#N/A</v>
      </c>
      <c r="F107" s="12" t="e">
        <f t="shared" ref="F107:G107" si="167">F74-F106</f>
        <v>#N/A</v>
      </c>
      <c r="G107" s="12" t="e">
        <f t="shared" si="167"/>
        <v>#N/A</v>
      </c>
      <c r="H107" s="12" t="e">
        <f t="shared" ref="H107" si="168">H74-H106</f>
        <v>#N/A</v>
      </c>
    </row>
    <row r="108" spans="1:8" hidden="1" x14ac:dyDescent="0.2"/>
    <row r="109" spans="1:8" hidden="1" x14ac:dyDescent="0.2">
      <c r="A109" s="16" t="s">
        <v>2328</v>
      </c>
    </row>
    <row r="110" spans="1:8" ht="15" hidden="1" x14ac:dyDescent="0.25">
      <c r="A110" s="5" t="s">
        <v>2487</v>
      </c>
      <c r="B110" s="2" t="s">
        <v>947</v>
      </c>
      <c r="C110" s="3" t="s">
        <v>873</v>
      </c>
      <c r="D110" s="10">
        <f t="shared" ref="D110:E114" si="169">(D77*D69^3)/12</f>
        <v>9.1174409062500003E-2</v>
      </c>
      <c r="E110" s="10">
        <f t="shared" si="169"/>
        <v>0</v>
      </c>
      <c r="F110" s="10">
        <f t="shared" ref="F110:G110" si="170">(F77*F69^3)/12</f>
        <v>0</v>
      </c>
      <c r="G110" s="10">
        <f t="shared" si="170"/>
        <v>0</v>
      </c>
      <c r="H110" s="10">
        <f t="shared" ref="H110" si="171">(H77*H69^3)/12</f>
        <v>0</v>
      </c>
    </row>
    <row r="111" spans="1:8" ht="15" hidden="1" x14ac:dyDescent="0.25">
      <c r="A111" s="5" t="s">
        <v>2488</v>
      </c>
      <c r="B111" s="2" t="s">
        <v>1720</v>
      </c>
      <c r="C111" s="3" t="s">
        <v>873</v>
      </c>
      <c r="D111" s="10">
        <f t="shared" si="169"/>
        <v>31.573985282083328</v>
      </c>
      <c r="E111" s="10">
        <f t="shared" si="169"/>
        <v>0</v>
      </c>
      <c r="F111" s="10">
        <f t="shared" ref="F111:G111" si="172">(F78*F70^3)/12</f>
        <v>0</v>
      </c>
      <c r="G111" s="10">
        <f t="shared" si="172"/>
        <v>0</v>
      </c>
      <c r="H111" s="10">
        <f t="shared" ref="H111" si="173">(H78*H70^3)/12</f>
        <v>0</v>
      </c>
    </row>
    <row r="112" spans="1:8" ht="15" hidden="1" x14ac:dyDescent="0.25">
      <c r="A112" s="5" t="s">
        <v>2489</v>
      </c>
      <c r="B112" s="2" t="s">
        <v>1721</v>
      </c>
      <c r="C112" s="3" t="s">
        <v>873</v>
      </c>
      <c r="D112" s="10">
        <f t="shared" si="169"/>
        <v>9.1174409062500003E-2</v>
      </c>
      <c r="E112" s="10">
        <f t="shared" si="169"/>
        <v>0</v>
      </c>
      <c r="F112" s="10">
        <f t="shared" ref="F112:G112" si="174">(F79*F71^3)/12</f>
        <v>0</v>
      </c>
      <c r="G112" s="10">
        <f t="shared" si="174"/>
        <v>0</v>
      </c>
      <c r="H112" s="10">
        <f t="shared" ref="H112" si="175">(H79*H71^3)/12</f>
        <v>0</v>
      </c>
    </row>
    <row r="113" spans="1:8" ht="15" hidden="1" x14ac:dyDescent="0.25">
      <c r="A113" s="5" t="s">
        <v>2490</v>
      </c>
      <c r="B113" s="2" t="s">
        <v>1722</v>
      </c>
      <c r="C113" s="3" t="s">
        <v>873</v>
      </c>
      <c r="D113" s="10">
        <f t="shared" si="169"/>
        <v>3.9904790463020832</v>
      </c>
      <c r="E113" s="10" t="e">
        <f t="shared" si="169"/>
        <v>#N/A</v>
      </c>
      <c r="F113" s="10" t="e">
        <f t="shared" ref="F113:G113" si="176">(F80*F72^3)/12</f>
        <v>#N/A</v>
      </c>
      <c r="G113" s="10" t="e">
        <f t="shared" si="176"/>
        <v>#N/A</v>
      </c>
      <c r="H113" s="10" t="e">
        <f t="shared" ref="H113" si="177">(H80*H72^3)/12</f>
        <v>#N/A</v>
      </c>
    </row>
    <row r="114" spans="1:8" ht="15" hidden="1" x14ac:dyDescent="0.25">
      <c r="A114" s="5" t="s">
        <v>2491</v>
      </c>
      <c r="B114" s="2" t="s">
        <v>1723</v>
      </c>
      <c r="C114" s="3" t="s">
        <v>873</v>
      </c>
      <c r="D114" s="10">
        <f t="shared" si="169"/>
        <v>9.1174409062500003E-2</v>
      </c>
      <c r="E114" s="10" t="e">
        <f t="shared" si="169"/>
        <v>#N/A</v>
      </c>
      <c r="F114" s="10" t="e">
        <f t="shared" ref="F114:G114" si="178">(F81*F73^3)/12</f>
        <v>#N/A</v>
      </c>
      <c r="G114" s="10" t="e">
        <f t="shared" si="178"/>
        <v>#N/A</v>
      </c>
      <c r="H114" s="10" t="e">
        <f t="shared" ref="H114" si="179">(H81*H73^3)/12</f>
        <v>#N/A</v>
      </c>
    </row>
    <row r="115" spans="1:8" ht="15" hidden="1" x14ac:dyDescent="0.25">
      <c r="A115" s="5" t="s">
        <v>2266</v>
      </c>
      <c r="B115" s="34" t="s">
        <v>2298</v>
      </c>
      <c r="C115" s="3" t="s">
        <v>873</v>
      </c>
      <c r="D115" s="63">
        <f t="shared" ref="D115:E115" si="180">SUM(D110:D114)</f>
        <v>35.837987555572916</v>
      </c>
      <c r="E115" s="63" t="e">
        <f t="shared" si="180"/>
        <v>#N/A</v>
      </c>
      <c r="F115" s="63" t="e">
        <f t="shared" ref="F115:G115" si="181">SUM(F110:F114)</f>
        <v>#N/A</v>
      </c>
      <c r="G115" s="63" t="e">
        <f t="shared" si="181"/>
        <v>#N/A</v>
      </c>
      <c r="H115" s="63" t="e">
        <f t="shared" ref="H115" si="182">SUM(H110:H114)</f>
        <v>#N/A</v>
      </c>
    </row>
    <row r="116" spans="1:8" hidden="1" x14ac:dyDescent="0.2"/>
    <row r="117" spans="1:8" ht="14.25" hidden="1" x14ac:dyDescent="0.25">
      <c r="A117" s="16" t="s">
        <v>2323</v>
      </c>
    </row>
    <row r="118" spans="1:8" ht="14.25" hidden="1" x14ac:dyDescent="0.25">
      <c r="A118" s="5" t="s">
        <v>2487</v>
      </c>
      <c r="B118" s="2" t="s">
        <v>1704</v>
      </c>
      <c r="C118" s="3" t="s">
        <v>407</v>
      </c>
      <c r="D118" s="10">
        <f t="shared" ref="D118:E122" si="183">D$106-D92</f>
        <v>9.3032520399096637</v>
      </c>
      <c r="E118" s="10" t="e">
        <f t="shared" si="183"/>
        <v>#N/A</v>
      </c>
      <c r="F118" s="10" t="e">
        <f t="shared" ref="F118:G118" si="184">F$106-F92</f>
        <v>#N/A</v>
      </c>
      <c r="G118" s="10" t="e">
        <f t="shared" si="184"/>
        <v>#N/A</v>
      </c>
      <c r="H118" s="10" t="e">
        <f t="shared" ref="H118" si="185">H$106-H92</f>
        <v>#N/A</v>
      </c>
    </row>
    <row r="119" spans="1:8" ht="15" hidden="1" x14ac:dyDescent="0.25">
      <c r="A119" s="5" t="s">
        <v>2488</v>
      </c>
      <c r="B119" s="2" t="s">
        <v>1705</v>
      </c>
      <c r="C119" s="3" t="s">
        <v>407</v>
      </c>
      <c r="D119" s="10">
        <f t="shared" si="183"/>
        <v>3.6107520399096646</v>
      </c>
      <c r="E119" s="10" t="e">
        <f t="shared" si="183"/>
        <v>#N/A</v>
      </c>
      <c r="F119" s="10" t="e">
        <f t="shared" ref="F119:G119" si="186">F$106-F93</f>
        <v>#N/A</v>
      </c>
      <c r="G119" s="10" t="e">
        <f t="shared" si="186"/>
        <v>#N/A</v>
      </c>
      <c r="H119" s="10" t="e">
        <f t="shared" ref="H119" si="187">H$106-H93</f>
        <v>#N/A</v>
      </c>
    </row>
    <row r="120" spans="1:8" ht="15" hidden="1" x14ac:dyDescent="0.25">
      <c r="A120" s="5" t="s">
        <v>2489</v>
      </c>
      <c r="B120" s="2" t="s">
        <v>1706</v>
      </c>
      <c r="C120" s="3" t="s">
        <v>407</v>
      </c>
      <c r="D120" s="10">
        <f t="shared" si="183"/>
        <v>-2.0817479600903361</v>
      </c>
      <c r="E120" s="10" t="e">
        <f t="shared" si="183"/>
        <v>#N/A</v>
      </c>
      <c r="F120" s="10" t="e">
        <f t="shared" ref="F120:G120" si="188">F$106-F94</f>
        <v>#N/A</v>
      </c>
      <c r="G120" s="10" t="e">
        <f t="shared" si="188"/>
        <v>#N/A</v>
      </c>
      <c r="H120" s="10" t="e">
        <f t="shared" ref="H120" si="189">H$106-H94</f>
        <v>#N/A</v>
      </c>
    </row>
    <row r="121" spans="1:8" ht="15" hidden="1" x14ac:dyDescent="0.25">
      <c r="A121" s="5" t="s">
        <v>2490</v>
      </c>
      <c r="B121" s="2" t="s">
        <v>1707</v>
      </c>
      <c r="C121" s="3" t="s">
        <v>407</v>
      </c>
      <c r="D121" s="10">
        <f t="shared" si="183"/>
        <v>-5.0667479600903373</v>
      </c>
      <c r="E121" s="10" t="e">
        <f t="shared" si="183"/>
        <v>#N/A</v>
      </c>
      <c r="F121" s="10" t="e">
        <f t="shared" ref="F121:G121" si="190">F$106-F95</f>
        <v>#N/A</v>
      </c>
      <c r="G121" s="10" t="e">
        <f t="shared" si="190"/>
        <v>#N/A</v>
      </c>
      <c r="H121" s="10" t="e">
        <f t="shared" ref="H121" si="191">H$106-H95</f>
        <v>#N/A</v>
      </c>
    </row>
    <row r="122" spans="1:8" ht="15" hidden="1" x14ac:dyDescent="0.25">
      <c r="A122" s="5" t="s">
        <v>2491</v>
      </c>
      <c r="B122" s="2" t="s">
        <v>1708</v>
      </c>
      <c r="C122" s="3" t="s">
        <v>407</v>
      </c>
      <c r="D122" s="10">
        <f t="shared" si="183"/>
        <v>-8.0517479600903368</v>
      </c>
      <c r="E122" s="10" t="e">
        <f t="shared" si="183"/>
        <v>#N/A</v>
      </c>
      <c r="F122" s="10" t="e">
        <f t="shared" ref="F122:G122" si="192">F$106-F96</f>
        <v>#N/A</v>
      </c>
      <c r="G122" s="10" t="e">
        <f t="shared" si="192"/>
        <v>#N/A</v>
      </c>
      <c r="H122" s="10" t="e">
        <f t="shared" ref="H122" si="193">H$106-H96</f>
        <v>#N/A</v>
      </c>
    </row>
    <row r="123" spans="1:8" hidden="1" x14ac:dyDescent="0.2"/>
    <row r="124" spans="1:8" hidden="1" x14ac:dyDescent="0.2">
      <c r="A124" s="16" t="s">
        <v>2330</v>
      </c>
      <c r="D124" s="4"/>
      <c r="E124" s="4"/>
      <c r="F124" s="4"/>
      <c r="G124" s="4"/>
      <c r="H124" s="4"/>
    </row>
    <row r="125" spans="1:8" ht="15.75" hidden="1" x14ac:dyDescent="0.25">
      <c r="A125" s="5" t="s">
        <v>2487</v>
      </c>
      <c r="B125" s="2" t="s">
        <v>2336</v>
      </c>
      <c r="C125" s="3" t="s">
        <v>873</v>
      </c>
      <c r="D125" s="10">
        <f t="shared" ref="D125:E129" si="194">D84*D118^2</f>
        <v>357.03378896187138</v>
      </c>
      <c r="E125" s="10" t="e">
        <f t="shared" si="194"/>
        <v>#N/A</v>
      </c>
      <c r="F125" s="10" t="e">
        <f t="shared" ref="F125:G125" si="195">F84*F118^2</f>
        <v>#N/A</v>
      </c>
      <c r="G125" s="10" t="e">
        <f t="shared" si="195"/>
        <v>#N/A</v>
      </c>
      <c r="H125" s="10" t="e">
        <f t="shared" ref="H125" si="196">H84*H118^2</f>
        <v>#N/A</v>
      </c>
    </row>
    <row r="126" spans="1:8" ht="15.75" hidden="1" x14ac:dyDescent="0.25">
      <c r="A126" s="5" t="s">
        <v>2488</v>
      </c>
      <c r="B126" s="2" t="s">
        <v>2335</v>
      </c>
      <c r="C126" s="3" t="s">
        <v>873</v>
      </c>
      <c r="D126" s="10">
        <f t="shared" si="194"/>
        <v>41.806796516330955</v>
      </c>
      <c r="E126" s="10" t="e">
        <f t="shared" si="194"/>
        <v>#N/A</v>
      </c>
      <c r="F126" s="10" t="e">
        <f t="shared" ref="F126:G126" si="197">F85*F119^2</f>
        <v>#N/A</v>
      </c>
      <c r="G126" s="10" t="e">
        <f t="shared" si="197"/>
        <v>#N/A</v>
      </c>
      <c r="H126" s="10" t="e">
        <f t="shared" ref="H126" si="198">H85*H119^2</f>
        <v>#N/A</v>
      </c>
    </row>
    <row r="127" spans="1:8" ht="15.75" hidden="1" x14ac:dyDescent="0.25">
      <c r="A127" s="5" t="s">
        <v>2489</v>
      </c>
      <c r="B127" s="2" t="s">
        <v>2334</v>
      </c>
      <c r="C127" s="3" t="s">
        <v>873</v>
      </c>
      <c r="D127" s="10">
        <f t="shared" si="194"/>
        <v>17.877057649714036</v>
      </c>
      <c r="E127" s="10" t="e">
        <f t="shared" si="194"/>
        <v>#N/A</v>
      </c>
      <c r="F127" s="10" t="e">
        <f t="shared" ref="F127:G127" si="199">F86*F120^2</f>
        <v>#N/A</v>
      </c>
      <c r="G127" s="10" t="e">
        <f t="shared" si="199"/>
        <v>#N/A</v>
      </c>
      <c r="H127" s="10" t="e">
        <f t="shared" ref="H127" si="200">H86*H120^2</f>
        <v>#N/A</v>
      </c>
    </row>
    <row r="128" spans="1:8" ht="15.75" hidden="1" x14ac:dyDescent="0.25">
      <c r="A128" s="5" t="s">
        <v>2490</v>
      </c>
      <c r="B128" s="2" t="s">
        <v>2333</v>
      </c>
      <c r="C128" s="3" t="s">
        <v>873</v>
      </c>
      <c r="D128" s="10">
        <f t="shared" si="194"/>
        <v>41.311919425097557</v>
      </c>
      <c r="E128" s="10" t="e">
        <f t="shared" si="194"/>
        <v>#N/A</v>
      </c>
      <c r="F128" s="10" t="e">
        <f t="shared" ref="F128:G128" si="201">F87*F121^2</f>
        <v>#N/A</v>
      </c>
      <c r="G128" s="10" t="e">
        <f t="shared" si="201"/>
        <v>#N/A</v>
      </c>
      <c r="H128" s="10" t="e">
        <f t="shared" ref="H128" si="202">H87*H121^2</f>
        <v>#N/A</v>
      </c>
    </row>
    <row r="129" spans="1:8" ht="15.75" hidden="1" x14ac:dyDescent="0.25">
      <c r="A129" s="5" t="s">
        <v>2491</v>
      </c>
      <c r="B129" s="2" t="s">
        <v>2332</v>
      </c>
      <c r="C129" s="3" t="s">
        <v>873</v>
      </c>
      <c r="D129" s="10">
        <f t="shared" si="194"/>
        <v>267.43613609965985</v>
      </c>
      <c r="E129" s="10" t="e">
        <f t="shared" si="194"/>
        <v>#N/A</v>
      </c>
      <c r="F129" s="10" t="e">
        <f t="shared" ref="F129:G129" si="203">F88*F122^2</f>
        <v>#N/A</v>
      </c>
      <c r="G129" s="10" t="e">
        <f t="shared" si="203"/>
        <v>#N/A</v>
      </c>
      <c r="H129" s="10" t="e">
        <f t="shared" ref="H129" si="204">H88*H122^2</f>
        <v>#N/A</v>
      </c>
    </row>
    <row r="130" spans="1:8" ht="15" hidden="1" x14ac:dyDescent="0.2">
      <c r="A130" s="5" t="s">
        <v>2266</v>
      </c>
      <c r="B130" s="2" t="s">
        <v>2329</v>
      </c>
      <c r="C130" s="3" t="s">
        <v>873</v>
      </c>
      <c r="D130" s="63">
        <f t="shared" ref="D130:E130" si="205">SUM(D125:D129)</f>
        <v>725.46569865267384</v>
      </c>
      <c r="E130" s="63" t="e">
        <f t="shared" si="205"/>
        <v>#N/A</v>
      </c>
      <c r="F130" s="63" t="e">
        <f t="shared" ref="F130:G130" si="206">SUM(F125:F129)</f>
        <v>#N/A</v>
      </c>
      <c r="G130" s="63" t="e">
        <f t="shared" si="206"/>
        <v>#N/A</v>
      </c>
      <c r="H130" s="63" t="e">
        <f t="shared" ref="H130" si="207">SUM(H125:H129)</f>
        <v>#N/A</v>
      </c>
    </row>
    <row r="131" spans="1:8" hidden="1" x14ac:dyDescent="0.2"/>
    <row r="132" spans="1:8" hidden="1" x14ac:dyDescent="0.2">
      <c r="A132" s="16" t="s">
        <v>2348</v>
      </c>
    </row>
    <row r="133" spans="1:8" ht="15.75" hidden="1" x14ac:dyDescent="0.25">
      <c r="A133" s="5" t="s">
        <v>2487</v>
      </c>
      <c r="B133" s="2" t="s">
        <v>2331</v>
      </c>
      <c r="C133" s="3" t="s">
        <v>873</v>
      </c>
      <c r="D133" s="10">
        <f t="shared" ref="D133:E137" si="208">D110+D125</f>
        <v>357.12496337093387</v>
      </c>
      <c r="E133" s="10" t="e">
        <f t="shared" si="208"/>
        <v>#N/A</v>
      </c>
      <c r="F133" s="10" t="e">
        <f t="shared" ref="F133:G133" si="209">F110+F125</f>
        <v>#N/A</v>
      </c>
      <c r="G133" s="10" t="e">
        <f t="shared" si="209"/>
        <v>#N/A</v>
      </c>
      <c r="H133" s="10" t="e">
        <f t="shared" ref="H133" si="210">H110+H125</f>
        <v>#N/A</v>
      </c>
    </row>
    <row r="134" spans="1:8" ht="15.75" hidden="1" x14ac:dyDescent="0.25">
      <c r="A134" s="5" t="s">
        <v>2488</v>
      </c>
      <c r="B134" s="2" t="s">
        <v>2340</v>
      </c>
      <c r="C134" s="3" t="s">
        <v>873</v>
      </c>
      <c r="D134" s="10">
        <f t="shared" si="208"/>
        <v>73.38078179841429</v>
      </c>
      <c r="E134" s="10" t="e">
        <f t="shared" si="208"/>
        <v>#N/A</v>
      </c>
      <c r="F134" s="10" t="e">
        <f t="shared" ref="F134:G134" si="211">F111+F126</f>
        <v>#N/A</v>
      </c>
      <c r="G134" s="10" t="e">
        <f t="shared" si="211"/>
        <v>#N/A</v>
      </c>
      <c r="H134" s="10" t="e">
        <f t="shared" ref="H134" si="212">H111+H126</f>
        <v>#N/A</v>
      </c>
    </row>
    <row r="135" spans="1:8" ht="15.75" hidden="1" x14ac:dyDescent="0.25">
      <c r="A135" s="5" t="s">
        <v>2489</v>
      </c>
      <c r="B135" s="2" t="s">
        <v>2339</v>
      </c>
      <c r="C135" s="3" t="s">
        <v>873</v>
      </c>
      <c r="D135" s="10">
        <f t="shared" si="208"/>
        <v>17.968232058776536</v>
      </c>
      <c r="E135" s="10" t="e">
        <f t="shared" si="208"/>
        <v>#N/A</v>
      </c>
      <c r="F135" s="10" t="e">
        <f t="shared" ref="F135:G135" si="213">F112+F127</f>
        <v>#N/A</v>
      </c>
      <c r="G135" s="10" t="e">
        <f t="shared" si="213"/>
        <v>#N/A</v>
      </c>
      <c r="H135" s="10" t="e">
        <f t="shared" ref="H135" si="214">H112+H127</f>
        <v>#N/A</v>
      </c>
    </row>
    <row r="136" spans="1:8" ht="15.75" hidden="1" x14ac:dyDescent="0.25">
      <c r="A136" s="5" t="s">
        <v>2490</v>
      </c>
      <c r="B136" s="2" t="s">
        <v>2338</v>
      </c>
      <c r="C136" s="3" t="s">
        <v>873</v>
      </c>
      <c r="D136" s="10">
        <f t="shared" si="208"/>
        <v>45.302398471399641</v>
      </c>
      <c r="E136" s="10" t="e">
        <f t="shared" si="208"/>
        <v>#N/A</v>
      </c>
      <c r="F136" s="10" t="e">
        <f t="shared" ref="F136:G136" si="215">F113+F128</f>
        <v>#N/A</v>
      </c>
      <c r="G136" s="10" t="e">
        <f t="shared" si="215"/>
        <v>#N/A</v>
      </c>
      <c r="H136" s="10" t="e">
        <f t="shared" ref="H136" si="216">H113+H128</f>
        <v>#N/A</v>
      </c>
    </row>
    <row r="137" spans="1:8" ht="15.75" hidden="1" x14ac:dyDescent="0.25">
      <c r="A137" s="5" t="s">
        <v>2491</v>
      </c>
      <c r="B137" s="2" t="s">
        <v>2337</v>
      </c>
      <c r="C137" s="3" t="s">
        <v>873</v>
      </c>
      <c r="D137" s="10">
        <f t="shared" si="208"/>
        <v>267.52731050872234</v>
      </c>
      <c r="E137" s="10" t="e">
        <f t="shared" si="208"/>
        <v>#N/A</v>
      </c>
      <c r="F137" s="10" t="e">
        <f t="shared" ref="F137:G137" si="217">F114+F129</f>
        <v>#N/A</v>
      </c>
      <c r="G137" s="10" t="e">
        <f t="shared" si="217"/>
        <v>#N/A</v>
      </c>
      <c r="H137" s="10" t="e">
        <f t="shared" ref="H137" si="218">H114+H129</f>
        <v>#N/A</v>
      </c>
    </row>
    <row r="138" spans="1:8" ht="15.75" hidden="1" x14ac:dyDescent="0.25">
      <c r="A138" s="37" t="s">
        <v>2341</v>
      </c>
      <c r="B138" s="40" t="s">
        <v>2342</v>
      </c>
      <c r="C138" s="41" t="s">
        <v>2343</v>
      </c>
      <c r="D138" s="65">
        <f t="shared" ref="D138:E138" si="219">SUM(D133:D137)</f>
        <v>761.30368620824675</v>
      </c>
      <c r="E138" s="65" t="e">
        <f t="shared" si="219"/>
        <v>#N/A</v>
      </c>
      <c r="F138" s="65" t="e">
        <f t="shared" ref="F138:G138" si="220">SUM(F133:F137)</f>
        <v>#N/A</v>
      </c>
      <c r="G138" s="65" t="e">
        <f t="shared" si="220"/>
        <v>#N/A</v>
      </c>
      <c r="H138" s="65" t="e">
        <f t="shared" ref="H138" si="221">SUM(H133:H137)</f>
        <v>#N/A</v>
      </c>
    </row>
    <row r="139" spans="1:8" hidden="1" x14ac:dyDescent="0.2"/>
    <row r="140" spans="1:8" hidden="1" x14ac:dyDescent="0.2">
      <c r="A140" s="16" t="s">
        <v>2349</v>
      </c>
    </row>
    <row r="141" spans="1:8" ht="15" hidden="1" x14ac:dyDescent="0.25">
      <c r="A141" s="5" t="s">
        <v>2487</v>
      </c>
      <c r="B141" s="2" t="s">
        <v>950</v>
      </c>
      <c r="C141" s="3" t="s">
        <v>873</v>
      </c>
      <c r="D141" s="10">
        <f t="shared" ref="D141:E145" si="222">(D69*D77^3)/12</f>
        <v>22.055836376250003</v>
      </c>
      <c r="E141" s="10">
        <f t="shared" si="222"/>
        <v>0</v>
      </c>
      <c r="F141" s="10">
        <f t="shared" ref="F141:G141" si="223">(F69*F77^3)/12</f>
        <v>0</v>
      </c>
      <c r="G141" s="10">
        <f t="shared" si="223"/>
        <v>0</v>
      </c>
      <c r="H141" s="10">
        <f t="shared" ref="H141" si="224">(H69*H77^3)/12</f>
        <v>0</v>
      </c>
    </row>
    <row r="142" spans="1:8" ht="15" hidden="1" x14ac:dyDescent="0.25">
      <c r="A142" s="5" t="s">
        <v>2488</v>
      </c>
      <c r="B142" s="2" t="s">
        <v>2494</v>
      </c>
      <c r="C142" s="3" t="s">
        <v>873</v>
      </c>
      <c r="D142" s="10">
        <f t="shared" si="222"/>
        <v>2.325489302083333E-2</v>
      </c>
      <c r="E142" s="10">
        <f t="shared" si="222"/>
        <v>0</v>
      </c>
      <c r="F142" s="10">
        <f t="shared" ref="F142:G142" si="225">(F70*F78^3)/12</f>
        <v>0</v>
      </c>
      <c r="G142" s="10">
        <f t="shared" si="225"/>
        <v>0</v>
      </c>
      <c r="H142" s="10">
        <f t="shared" ref="H142" si="226">(H70*H78^3)/12</f>
        <v>0</v>
      </c>
    </row>
    <row r="143" spans="1:8" ht="15" hidden="1" x14ac:dyDescent="0.25">
      <c r="A143" s="5" t="s">
        <v>2489</v>
      </c>
      <c r="B143" s="2" t="s">
        <v>2495</v>
      </c>
      <c r="C143" s="3" t="s">
        <v>873</v>
      </c>
      <c r="D143" s="10">
        <f t="shared" si="222"/>
        <v>22.055836376250003</v>
      </c>
      <c r="E143" s="10">
        <f t="shared" si="222"/>
        <v>0</v>
      </c>
      <c r="F143" s="10">
        <f t="shared" ref="F143:G143" si="227">(F71*F79^3)/12</f>
        <v>0</v>
      </c>
      <c r="G143" s="10">
        <f t="shared" si="227"/>
        <v>0</v>
      </c>
      <c r="H143" s="10">
        <f t="shared" ref="H143" si="228">(H71*H79^3)/12</f>
        <v>0</v>
      </c>
    </row>
    <row r="144" spans="1:8" ht="15" hidden="1" x14ac:dyDescent="0.25">
      <c r="A144" s="5" t="s">
        <v>2490</v>
      </c>
      <c r="B144" s="2" t="s">
        <v>2496</v>
      </c>
      <c r="C144" s="3" t="s">
        <v>873</v>
      </c>
      <c r="D144" s="10">
        <f t="shared" si="222"/>
        <v>1.1670233802083332E-2</v>
      </c>
      <c r="E144" s="10" t="e">
        <f t="shared" si="222"/>
        <v>#N/A</v>
      </c>
      <c r="F144" s="10" t="e">
        <f t="shared" ref="F144:G144" si="229">(F72*F80^3)/12</f>
        <v>#N/A</v>
      </c>
      <c r="G144" s="10" t="e">
        <f t="shared" si="229"/>
        <v>#N/A</v>
      </c>
      <c r="H144" s="10" t="e">
        <f t="shared" ref="H144" si="230">(H72*H80^3)/12</f>
        <v>#N/A</v>
      </c>
    </row>
    <row r="145" spans="1:8" ht="15" hidden="1" x14ac:dyDescent="0.25">
      <c r="A145" s="5" t="s">
        <v>2491</v>
      </c>
      <c r="B145" s="2" t="s">
        <v>2497</v>
      </c>
      <c r="C145" s="3" t="s">
        <v>873</v>
      </c>
      <c r="D145" s="10">
        <f t="shared" si="222"/>
        <v>22.055836376250003</v>
      </c>
      <c r="E145" s="10" t="e">
        <f t="shared" si="222"/>
        <v>#N/A</v>
      </c>
      <c r="F145" s="10" t="e">
        <f t="shared" ref="F145:G145" si="231">(F73*F81^3)/12</f>
        <v>#N/A</v>
      </c>
      <c r="G145" s="10" t="e">
        <f t="shared" si="231"/>
        <v>#N/A</v>
      </c>
      <c r="H145" s="10" t="e">
        <f t="shared" ref="H145" si="232">(H73*H81^3)/12</f>
        <v>#N/A</v>
      </c>
    </row>
    <row r="146" spans="1:8" ht="15" hidden="1" x14ac:dyDescent="0.25">
      <c r="A146" s="37" t="s">
        <v>2350</v>
      </c>
      <c r="B146" s="40" t="s">
        <v>2498</v>
      </c>
      <c r="C146" s="41" t="s">
        <v>2343</v>
      </c>
      <c r="D146" s="55">
        <f t="shared" ref="D146:E146" si="233">SUM(D141:D145)</f>
        <v>66.202434255572925</v>
      </c>
      <c r="E146" s="55" t="e">
        <f t="shared" si="233"/>
        <v>#N/A</v>
      </c>
      <c r="F146" s="55" t="e">
        <f t="shared" ref="F146:G146" si="234">SUM(F141:F145)</f>
        <v>#N/A</v>
      </c>
      <c r="G146" s="55" t="e">
        <f t="shared" si="234"/>
        <v>#N/A</v>
      </c>
      <c r="H146" s="55" t="e">
        <f t="shared" ref="H146" si="235">SUM(H141:H145)</f>
        <v>#N/A</v>
      </c>
    </row>
    <row r="147" spans="1:8" hidden="1" x14ac:dyDescent="0.2"/>
    <row r="148" spans="1:8" ht="14.25" hidden="1" x14ac:dyDescent="0.25">
      <c r="A148" s="13" t="s">
        <v>2351</v>
      </c>
      <c r="B148" s="14" t="s">
        <v>2284</v>
      </c>
      <c r="C148" s="3" t="s">
        <v>407</v>
      </c>
      <c r="D148" s="28">
        <f t="shared" ref="D148:E148" si="236">MAX(0.5*D77,0.5*D78,0.5*D79,0.5*D80,0.5*D81)</f>
        <v>4.0049999999999999</v>
      </c>
      <c r="E148" s="28" t="e">
        <f t="shared" si="236"/>
        <v>#N/A</v>
      </c>
      <c r="F148" s="28" t="e">
        <f t="shared" ref="F148:G148" si="237">MAX(0.5*F77,0.5*F78,0.5*F79,0.5*F80,0.5*F81)</f>
        <v>#N/A</v>
      </c>
      <c r="G148" s="28" t="e">
        <f t="shared" si="237"/>
        <v>#N/A</v>
      </c>
      <c r="H148" s="28" t="e">
        <f t="shared" ref="H148" si="238">MAX(0.5*H77,0.5*H78,0.5*H79,0.5*H80,0.5*H81)</f>
        <v>#N/A</v>
      </c>
    </row>
    <row r="149" spans="1:8" hidden="1" x14ac:dyDescent="0.2"/>
    <row r="150" spans="1:8" hidden="1" x14ac:dyDescent="0.2">
      <c r="A150" s="16" t="s">
        <v>2369</v>
      </c>
    </row>
    <row r="151" spans="1:8" hidden="1" x14ac:dyDescent="0.2">
      <c r="A151" s="45" t="s">
        <v>2371</v>
      </c>
      <c r="D151" s="4"/>
      <c r="E151" s="4"/>
      <c r="F151" s="4"/>
      <c r="G151" s="4"/>
      <c r="H151" s="4"/>
    </row>
    <row r="152" spans="1:8" hidden="1" x14ac:dyDescent="0.2">
      <c r="A152" s="5" t="s">
        <v>2370</v>
      </c>
      <c r="D152" s="2">
        <v>0</v>
      </c>
      <c r="E152" s="2">
        <v>0</v>
      </c>
      <c r="F152" s="2">
        <v>0</v>
      </c>
      <c r="G152" s="2">
        <v>0</v>
      </c>
      <c r="H152" s="2">
        <v>0</v>
      </c>
    </row>
    <row r="153" spans="1:8" ht="15" hidden="1" x14ac:dyDescent="0.2">
      <c r="A153" s="5" t="s">
        <v>2487</v>
      </c>
      <c r="C153" s="3" t="s">
        <v>900</v>
      </c>
      <c r="D153" s="12">
        <f t="shared" ref="D153:E153" si="239">-D84</f>
        <v>-4.1251499999999997</v>
      </c>
      <c r="E153" s="12">
        <f t="shared" si="239"/>
        <v>0</v>
      </c>
      <c r="F153" s="12">
        <f t="shared" ref="F153:G153" si="240">-F84</f>
        <v>0</v>
      </c>
      <c r="G153" s="12">
        <f t="shared" si="240"/>
        <v>0</v>
      </c>
      <c r="H153" s="12">
        <f t="shared" ref="H153" si="241">-H84</f>
        <v>0</v>
      </c>
    </row>
    <row r="154" spans="1:8" ht="15" hidden="1" x14ac:dyDescent="0.2">
      <c r="A154" s="5" t="s">
        <v>2488</v>
      </c>
      <c r="C154" s="3" t="s">
        <v>900</v>
      </c>
      <c r="D154" s="12">
        <f t="shared" ref="D154:E157" si="242">-D85</f>
        <v>-3.2066499999999998</v>
      </c>
      <c r="E154" s="12">
        <f t="shared" si="242"/>
        <v>0</v>
      </c>
      <c r="F154" s="12">
        <f t="shared" ref="F154:G154" si="243">-F85</f>
        <v>0</v>
      </c>
      <c r="G154" s="12">
        <f t="shared" si="243"/>
        <v>0</v>
      </c>
      <c r="H154" s="12">
        <f t="shared" ref="H154" si="244">-H85</f>
        <v>0</v>
      </c>
    </row>
    <row r="155" spans="1:8" ht="15" hidden="1" x14ac:dyDescent="0.2">
      <c r="A155" s="5" t="s">
        <v>2489</v>
      </c>
      <c r="C155" s="3" t="s">
        <v>900</v>
      </c>
      <c r="D155" s="12">
        <f t="shared" si="242"/>
        <v>-4.1251499999999997</v>
      </c>
      <c r="E155" s="12">
        <f t="shared" si="242"/>
        <v>0</v>
      </c>
      <c r="F155" s="12">
        <f t="shared" ref="F155:G155" si="245">-F86</f>
        <v>0</v>
      </c>
      <c r="G155" s="12">
        <f t="shared" si="245"/>
        <v>0</v>
      </c>
      <c r="H155" s="12">
        <f t="shared" ref="H155" si="246">-H86</f>
        <v>0</v>
      </c>
    </row>
    <row r="156" spans="1:8" ht="15" hidden="1" x14ac:dyDescent="0.2">
      <c r="A156" s="5" t="s">
        <v>2490</v>
      </c>
      <c r="C156" s="3" t="s">
        <v>900</v>
      </c>
      <c r="D156" s="12">
        <f t="shared" si="242"/>
        <v>-1.6092249999999999</v>
      </c>
      <c r="E156" s="12" t="e">
        <f t="shared" si="242"/>
        <v>#N/A</v>
      </c>
      <c r="F156" s="12" t="e">
        <f t="shared" ref="F156:G156" si="247">-F87</f>
        <v>#N/A</v>
      </c>
      <c r="G156" s="12" t="e">
        <f t="shared" si="247"/>
        <v>#N/A</v>
      </c>
      <c r="H156" s="12" t="e">
        <f t="shared" ref="H156" si="248">-H87</f>
        <v>#N/A</v>
      </c>
    </row>
    <row r="157" spans="1:8" ht="15" hidden="1" x14ac:dyDescent="0.2">
      <c r="A157" s="5" t="s">
        <v>2491</v>
      </c>
      <c r="C157" s="3" t="s">
        <v>900</v>
      </c>
      <c r="D157" s="12">
        <f t="shared" si="242"/>
        <v>-4.1251499999999997</v>
      </c>
      <c r="E157" s="12" t="e">
        <f t="shared" si="242"/>
        <v>#N/A</v>
      </c>
      <c r="F157" s="12" t="e">
        <f t="shared" ref="F157:G157" si="249">-F88</f>
        <v>#N/A</v>
      </c>
      <c r="G157" s="12" t="e">
        <f t="shared" si="249"/>
        <v>#N/A</v>
      </c>
      <c r="H157" s="12" t="e">
        <f t="shared" ref="H157" si="250">-H88</f>
        <v>#N/A</v>
      </c>
    </row>
    <row r="158" spans="1:8" hidden="1" x14ac:dyDescent="0.2"/>
    <row r="159" spans="1:8" hidden="1" x14ac:dyDescent="0.2">
      <c r="A159" s="45" t="s">
        <v>2374</v>
      </c>
    </row>
    <row r="160" spans="1:8" ht="15" hidden="1" x14ac:dyDescent="0.25">
      <c r="A160" s="5" t="s">
        <v>2373</v>
      </c>
      <c r="B160" s="2" t="s">
        <v>2372</v>
      </c>
      <c r="C160" s="3" t="s">
        <v>900</v>
      </c>
      <c r="D160" s="12">
        <f t="shared" ref="D160:E160" si="251">D89/2</f>
        <v>8.5956624999999995</v>
      </c>
      <c r="E160" s="12" t="e">
        <f t="shared" si="251"/>
        <v>#N/A</v>
      </c>
      <c r="F160" s="12" t="e">
        <f t="shared" ref="F160:G160" si="252">F89/2</f>
        <v>#N/A</v>
      </c>
      <c r="G160" s="12" t="e">
        <f t="shared" si="252"/>
        <v>#N/A</v>
      </c>
      <c r="H160" s="12" t="e">
        <f t="shared" ref="H160" si="253">H89/2</f>
        <v>#N/A</v>
      </c>
    </row>
    <row r="161" spans="1:8" ht="15" hidden="1" x14ac:dyDescent="0.2">
      <c r="A161" s="5" t="s">
        <v>2487</v>
      </c>
      <c r="B161" s="2" t="s">
        <v>2375</v>
      </c>
      <c r="C161" s="3" t="s">
        <v>900</v>
      </c>
      <c r="D161" s="12">
        <f t="shared" ref="D161:E165" si="254">D160+D153</f>
        <v>4.4705124999999999</v>
      </c>
      <c r="E161" s="12" t="e">
        <f t="shared" si="254"/>
        <v>#N/A</v>
      </c>
      <c r="F161" s="12" t="e">
        <f t="shared" ref="F161:G161" si="255">F160+F153</f>
        <v>#N/A</v>
      </c>
      <c r="G161" s="12" t="e">
        <f t="shared" si="255"/>
        <v>#N/A</v>
      </c>
      <c r="H161" s="12" t="e">
        <f t="shared" ref="H161" si="256">H160+H153</f>
        <v>#N/A</v>
      </c>
    </row>
    <row r="162" spans="1:8" ht="15" hidden="1" x14ac:dyDescent="0.2">
      <c r="A162" s="5" t="s">
        <v>2488</v>
      </c>
      <c r="B162" s="2" t="s">
        <v>2376</v>
      </c>
      <c r="C162" s="3" t="s">
        <v>900</v>
      </c>
      <c r="D162" s="12">
        <f t="shared" si="254"/>
        <v>1.2638625000000001</v>
      </c>
      <c r="E162" s="12" t="e">
        <f t="shared" si="254"/>
        <v>#N/A</v>
      </c>
      <c r="F162" s="12" t="e">
        <f t="shared" ref="F162:G162" si="257">F161+F154</f>
        <v>#N/A</v>
      </c>
      <c r="G162" s="12" t="e">
        <f t="shared" si="257"/>
        <v>#N/A</v>
      </c>
      <c r="H162" s="12" t="e">
        <f t="shared" ref="H162" si="258">H161+H154</f>
        <v>#N/A</v>
      </c>
    </row>
    <row r="163" spans="1:8" ht="15" hidden="1" x14ac:dyDescent="0.2">
      <c r="A163" s="5" t="s">
        <v>2489</v>
      </c>
      <c r="B163" s="2" t="s">
        <v>2377</v>
      </c>
      <c r="C163" s="3" t="s">
        <v>900</v>
      </c>
      <c r="D163" s="12">
        <f t="shared" si="254"/>
        <v>-2.8612874999999995</v>
      </c>
      <c r="E163" s="12" t="e">
        <f t="shared" si="254"/>
        <v>#N/A</v>
      </c>
      <c r="F163" s="12" t="e">
        <f t="shared" ref="F163:G163" si="259">F162+F155</f>
        <v>#N/A</v>
      </c>
      <c r="G163" s="12" t="e">
        <f t="shared" si="259"/>
        <v>#N/A</v>
      </c>
      <c r="H163" s="12" t="e">
        <f t="shared" ref="H163" si="260">H162+H155</f>
        <v>#N/A</v>
      </c>
    </row>
    <row r="164" spans="1:8" ht="15" hidden="1" x14ac:dyDescent="0.2">
      <c r="A164" s="5" t="s">
        <v>2490</v>
      </c>
      <c r="B164" s="2" t="s">
        <v>2378</v>
      </c>
      <c r="C164" s="3" t="s">
        <v>900</v>
      </c>
      <c r="D164" s="12">
        <f t="shared" ref="D164:E164" si="261">D163+D156</f>
        <v>-4.4705124999999999</v>
      </c>
      <c r="E164" s="12" t="e">
        <f t="shared" si="261"/>
        <v>#N/A</v>
      </c>
      <c r="F164" s="12" t="e">
        <f t="shared" ref="F164:G164" si="262">F163+F156</f>
        <v>#N/A</v>
      </c>
      <c r="G164" s="12" t="e">
        <f t="shared" si="262"/>
        <v>#N/A</v>
      </c>
      <c r="H164" s="12" t="e">
        <f t="shared" ref="H164" si="263">H163+H156</f>
        <v>#N/A</v>
      </c>
    </row>
    <row r="165" spans="1:8" ht="15" hidden="1" x14ac:dyDescent="0.2">
      <c r="A165" s="5" t="s">
        <v>2491</v>
      </c>
      <c r="B165" s="2" t="s">
        <v>2379</v>
      </c>
      <c r="C165" s="3" t="s">
        <v>900</v>
      </c>
      <c r="D165" s="12">
        <f t="shared" si="254"/>
        <v>-8.5956624999999995</v>
      </c>
      <c r="E165" s="12" t="e">
        <f t="shared" si="254"/>
        <v>#N/A</v>
      </c>
      <c r="F165" s="12" t="e">
        <f t="shared" ref="F165:G165" si="264">F164+F157</f>
        <v>#N/A</v>
      </c>
      <c r="G165" s="12" t="e">
        <f t="shared" si="264"/>
        <v>#N/A</v>
      </c>
      <c r="H165" s="12" t="e">
        <f t="shared" ref="H165" si="265">H164+H157</f>
        <v>#N/A</v>
      </c>
    </row>
    <row r="166" spans="1:8" hidden="1" x14ac:dyDescent="0.2"/>
    <row r="167" spans="1:8" hidden="1" x14ac:dyDescent="0.2">
      <c r="A167" s="45" t="s">
        <v>2385</v>
      </c>
    </row>
    <row r="168" spans="1:8" hidden="1" x14ac:dyDescent="0.2">
      <c r="A168" s="5" t="s">
        <v>2487</v>
      </c>
      <c r="B168" s="2" t="s">
        <v>2380</v>
      </c>
      <c r="C168" s="3" t="s">
        <v>407</v>
      </c>
      <c r="D168" s="12">
        <f t="shared" ref="D168:E169" si="266">IF(D77=0,0,D160/D77)</f>
        <v>1.0731164169787766</v>
      </c>
      <c r="E168" s="12">
        <f t="shared" si="266"/>
        <v>0</v>
      </c>
      <c r="F168" s="12">
        <f t="shared" ref="F168:G168" si="267">IF(F77=0,0,F160/F77)</f>
        <v>0</v>
      </c>
      <c r="G168" s="12">
        <f t="shared" si="267"/>
        <v>0</v>
      </c>
      <c r="H168" s="12">
        <f t="shared" ref="H168" si="268">IF(H77=0,0,H160/H77)</f>
        <v>0</v>
      </c>
    </row>
    <row r="169" spans="1:8" hidden="1" x14ac:dyDescent="0.2">
      <c r="A169" s="5" t="s">
        <v>2488</v>
      </c>
      <c r="B169" s="2" t="s">
        <v>2381</v>
      </c>
      <c r="C169" s="3" t="s">
        <v>407</v>
      </c>
      <c r="D169" s="12">
        <f t="shared" si="266"/>
        <v>15.15427966101695</v>
      </c>
      <c r="E169" s="12">
        <f t="shared" si="266"/>
        <v>0</v>
      </c>
      <c r="F169" s="12">
        <f t="shared" ref="F169:G169" si="269">IF(F78=0,0,F161/F78)</f>
        <v>0</v>
      </c>
      <c r="G169" s="12">
        <f t="shared" si="269"/>
        <v>0</v>
      </c>
      <c r="H169" s="12">
        <f t="shared" ref="H169" si="270">IF(H78=0,0,H161/H78)</f>
        <v>0</v>
      </c>
    </row>
    <row r="170" spans="1:8" hidden="1" x14ac:dyDescent="0.2">
      <c r="A170" s="5" t="s">
        <v>2489</v>
      </c>
      <c r="B170" s="2" t="s">
        <v>2382</v>
      </c>
      <c r="C170" s="3" t="s">
        <v>407</v>
      </c>
      <c r="D170" s="12">
        <f t="shared" ref="D170:E172" si="271">IF(D79=0,0,D162/D79)</f>
        <v>0.15778558052434458</v>
      </c>
      <c r="E170" s="12">
        <f t="shared" si="271"/>
        <v>0</v>
      </c>
      <c r="F170" s="12">
        <f t="shared" ref="F170:G170" si="272">IF(F79=0,0,F162/F79)</f>
        <v>0</v>
      </c>
      <c r="G170" s="12">
        <f t="shared" si="272"/>
        <v>0</v>
      </c>
      <c r="H170" s="12">
        <f t="shared" ref="H170" si="273">IF(H79=0,0,H162/H79)</f>
        <v>0</v>
      </c>
    </row>
    <row r="171" spans="1:8" hidden="1" x14ac:dyDescent="0.2">
      <c r="A171" s="5" t="s">
        <v>2490</v>
      </c>
      <c r="B171" s="2" t="s">
        <v>2383</v>
      </c>
      <c r="C171" s="3" t="s">
        <v>407</v>
      </c>
      <c r="D171" s="12">
        <f t="shared" si="271"/>
        <v>-9.6992796610169485</v>
      </c>
      <c r="E171" s="12" t="e">
        <f t="shared" si="271"/>
        <v>#N/A</v>
      </c>
      <c r="F171" s="12" t="e">
        <f t="shared" ref="F171:G171" si="274">IF(F80=0,0,F163/F80)</f>
        <v>#N/A</v>
      </c>
      <c r="G171" s="12" t="e">
        <f t="shared" si="274"/>
        <v>#N/A</v>
      </c>
      <c r="H171" s="12" t="e">
        <f t="shared" ref="H171" si="275">IF(H80=0,0,H163/H80)</f>
        <v>#N/A</v>
      </c>
    </row>
    <row r="172" spans="1:8" hidden="1" x14ac:dyDescent="0.2">
      <c r="A172" s="5" t="s">
        <v>2491</v>
      </c>
      <c r="B172" s="2" t="s">
        <v>2384</v>
      </c>
      <c r="C172" s="3" t="s">
        <v>407</v>
      </c>
      <c r="D172" s="12">
        <f t="shared" si="271"/>
        <v>-0.55811641697877656</v>
      </c>
      <c r="E172" s="12" t="e">
        <f t="shared" si="271"/>
        <v>#N/A</v>
      </c>
      <c r="F172" s="12" t="e">
        <f t="shared" ref="F172:G172" si="276">IF(F81=0,0,F164/F81)</f>
        <v>#N/A</v>
      </c>
      <c r="G172" s="12" t="e">
        <f t="shared" si="276"/>
        <v>#N/A</v>
      </c>
      <c r="H172" s="12" t="e">
        <f t="shared" ref="H172" si="277">IF(H81=0,0,H164/H81)</f>
        <v>#N/A</v>
      </c>
    </row>
    <row r="173" spans="1:8" hidden="1" x14ac:dyDescent="0.2"/>
    <row r="174" spans="1:8" hidden="1" x14ac:dyDescent="0.2">
      <c r="A174" s="45" t="s">
        <v>2397</v>
      </c>
      <c r="D174" s="4" t="s">
        <v>2268</v>
      </c>
      <c r="E174" s="4" t="s">
        <v>2268</v>
      </c>
      <c r="F174" s="4" t="s">
        <v>2268</v>
      </c>
      <c r="G174" s="4" t="s">
        <v>2268</v>
      </c>
      <c r="H174" s="4" t="s">
        <v>2268</v>
      </c>
    </row>
    <row r="175" spans="1:8" hidden="1" x14ac:dyDescent="0.2">
      <c r="B175" s="2" t="s">
        <v>2390</v>
      </c>
      <c r="C175" s="3" t="s">
        <v>407</v>
      </c>
      <c r="D175" s="12">
        <f t="shared" ref="D175:E175" si="278">D168</f>
        <v>1.0731164169787766</v>
      </c>
      <c r="E175" s="12">
        <f t="shared" si="278"/>
        <v>0</v>
      </c>
      <c r="F175" s="12">
        <f t="shared" ref="F175:G175" si="279">F168</f>
        <v>0</v>
      </c>
      <c r="G175" s="12">
        <f t="shared" si="279"/>
        <v>0</v>
      </c>
      <c r="H175" s="12">
        <f t="shared" ref="H175" si="280">H168</f>
        <v>0</v>
      </c>
    </row>
    <row r="176" spans="1:8" hidden="1" x14ac:dyDescent="0.2">
      <c r="B176" s="2" t="s">
        <v>2391</v>
      </c>
      <c r="C176" s="3" t="s">
        <v>407</v>
      </c>
      <c r="D176" s="12">
        <f t="shared" ref="D176:E176" si="281">D69+D169</f>
        <v>15.669279661016951</v>
      </c>
      <c r="E176" s="12">
        <f t="shared" si="281"/>
        <v>0</v>
      </c>
      <c r="F176" s="12">
        <f t="shared" ref="F176:G176" si="282">F69+F169</f>
        <v>0</v>
      </c>
      <c r="G176" s="12">
        <f t="shared" si="282"/>
        <v>0</v>
      </c>
      <c r="H176" s="12">
        <f t="shared" ref="H176" si="283">H69+H169</f>
        <v>0</v>
      </c>
    </row>
    <row r="177" spans="1:8" hidden="1" x14ac:dyDescent="0.2">
      <c r="B177" s="2" t="s">
        <v>2392</v>
      </c>
      <c r="C177" s="3" t="s">
        <v>407</v>
      </c>
      <c r="D177" s="12">
        <f t="shared" ref="D177:E177" si="284">D69+D70+D170</f>
        <v>11.542785580524344</v>
      </c>
      <c r="E177" s="12">
        <f t="shared" si="284"/>
        <v>0</v>
      </c>
      <c r="F177" s="12">
        <f t="shared" ref="F177:G177" si="285">F69+F70+F170</f>
        <v>0</v>
      </c>
      <c r="G177" s="12">
        <f t="shared" si="285"/>
        <v>0</v>
      </c>
      <c r="H177" s="12">
        <f t="shared" ref="H177" si="286">H69+H70+H170</f>
        <v>0</v>
      </c>
    </row>
    <row r="178" spans="1:8" hidden="1" x14ac:dyDescent="0.2">
      <c r="B178" s="2" t="s">
        <v>2393</v>
      </c>
      <c r="C178" s="3" t="s">
        <v>407</v>
      </c>
      <c r="D178" s="12">
        <f t="shared" ref="D178:E178" si="287">D69+D70+D71+D171</f>
        <v>2.2007203389830519</v>
      </c>
      <c r="E178" s="12" t="e">
        <f t="shared" si="287"/>
        <v>#N/A</v>
      </c>
      <c r="F178" s="12" t="e">
        <f t="shared" ref="F178:G178" si="288">F69+F70+F71+F171</f>
        <v>#N/A</v>
      </c>
      <c r="G178" s="12" t="e">
        <f t="shared" si="288"/>
        <v>#N/A</v>
      </c>
      <c r="H178" s="12" t="e">
        <f t="shared" ref="H178" si="289">H69+H70+H71+H171</f>
        <v>#N/A</v>
      </c>
    </row>
    <row r="179" spans="1:8" hidden="1" x14ac:dyDescent="0.2">
      <c r="B179" s="2" t="s">
        <v>2394</v>
      </c>
      <c r="C179" s="3" t="s">
        <v>407</v>
      </c>
      <c r="D179" s="12">
        <f t="shared" ref="D179:E179" si="290">D69+D70+D71+D72+D172</f>
        <v>16.796883583021224</v>
      </c>
      <c r="E179" s="12" t="e">
        <f t="shared" si="290"/>
        <v>#N/A</v>
      </c>
      <c r="F179" s="12" t="e">
        <f t="shared" ref="F179:G179" si="291">F69+F70+F71+F72+F172</f>
        <v>#N/A</v>
      </c>
      <c r="G179" s="12" t="e">
        <f t="shared" si="291"/>
        <v>#N/A</v>
      </c>
      <c r="H179" s="12" t="e">
        <f t="shared" ref="H179" si="292">H69+H70+H71+H72+H172</f>
        <v>#N/A</v>
      </c>
    </row>
    <row r="180" spans="1:8" hidden="1" x14ac:dyDescent="0.2"/>
    <row r="181" spans="1:8" ht="14.25" hidden="1" x14ac:dyDescent="0.25">
      <c r="A181" s="37" t="s">
        <v>2386</v>
      </c>
      <c r="B181" s="40" t="s">
        <v>1774</v>
      </c>
      <c r="C181" s="3" t="s">
        <v>407</v>
      </c>
      <c r="D181" s="56">
        <f t="shared" ref="D181:E181" si="293">IF(D161&lt;0,D175,IF(D162&lt;0,D176,IF(D163&lt;0,D177,IF(D164&lt;0,D178,IF(D165&lt;0,D179)))))</f>
        <v>11.542785580524344</v>
      </c>
      <c r="E181" s="56" t="e">
        <f t="shared" si="293"/>
        <v>#N/A</v>
      </c>
      <c r="F181" s="56" t="e">
        <f t="shared" ref="F181:G181" si="294">IF(F161&lt;0,F175,IF(F162&lt;0,F176,IF(F163&lt;0,F177,IF(F164&lt;0,F178,IF(F165&lt;0,F179)))))</f>
        <v>#N/A</v>
      </c>
      <c r="G181" s="56" t="e">
        <f t="shared" si="294"/>
        <v>#N/A</v>
      </c>
      <c r="H181" s="56" t="e">
        <f t="shared" ref="H181" si="295">IF(H161&lt;0,H175,IF(H162&lt;0,H176,IF(H163&lt;0,H177,IF(H164&lt;0,H178,IF(H165&lt;0,H179)))))</f>
        <v>#N/A</v>
      </c>
    </row>
    <row r="182" spans="1:8" ht="14.25" hidden="1" x14ac:dyDescent="0.25">
      <c r="A182" s="13" t="s">
        <v>2395</v>
      </c>
      <c r="B182" s="14" t="s">
        <v>2396</v>
      </c>
      <c r="C182" s="3" t="s">
        <v>407</v>
      </c>
      <c r="D182" s="12">
        <f t="shared" ref="D182:E182" si="296">D74-D181</f>
        <v>6.3272144194756574</v>
      </c>
      <c r="E182" s="12" t="e">
        <f t="shared" si="296"/>
        <v>#N/A</v>
      </c>
      <c r="F182" s="12" t="e">
        <f t="shared" ref="F182:G182" si="297">F74-F181</f>
        <v>#N/A</v>
      </c>
      <c r="G182" s="12" t="e">
        <f t="shared" si="297"/>
        <v>#N/A</v>
      </c>
      <c r="H182" s="12" t="e">
        <f t="shared" ref="H182" si="298">H74-H181</f>
        <v>#N/A</v>
      </c>
    </row>
    <row r="183" spans="1:8" hidden="1" x14ac:dyDescent="0.2"/>
    <row r="184" spans="1:8" hidden="1" x14ac:dyDescent="0.2">
      <c r="A184" s="16" t="s">
        <v>413</v>
      </c>
    </row>
    <row r="185" spans="1:8" hidden="1" x14ac:dyDescent="0.2">
      <c r="A185" s="45" t="s">
        <v>2389</v>
      </c>
    </row>
    <row r="186" spans="1:8" hidden="1" x14ac:dyDescent="0.2">
      <c r="A186" s="5" t="s">
        <v>2499</v>
      </c>
      <c r="B186" s="2" t="s">
        <v>2269</v>
      </c>
      <c r="C186" s="2" t="s">
        <v>407</v>
      </c>
      <c r="D186" s="2">
        <f t="shared" ref="D186:E186" si="299">D92</f>
        <v>0.25750000000000001</v>
      </c>
      <c r="E186" s="2">
        <f t="shared" si="299"/>
        <v>0</v>
      </c>
      <c r="F186" s="2">
        <f t="shared" ref="F186:G186" si="300">F92</f>
        <v>0</v>
      </c>
      <c r="G186" s="2">
        <f t="shared" si="300"/>
        <v>0</v>
      </c>
      <c r="H186" s="2">
        <f t="shared" ref="H186" si="301">H92</f>
        <v>0</v>
      </c>
    </row>
    <row r="187" spans="1:8" hidden="1" x14ac:dyDescent="0.2">
      <c r="A187" s="5" t="s">
        <v>2270</v>
      </c>
      <c r="B187" s="2" t="s">
        <v>2270</v>
      </c>
      <c r="C187" s="2" t="s">
        <v>407</v>
      </c>
      <c r="D187" s="12">
        <f t="shared" ref="D187:E187" si="302">D69</f>
        <v>0.51500000000000001</v>
      </c>
      <c r="E187" s="12">
        <f t="shared" si="302"/>
        <v>0</v>
      </c>
      <c r="F187" s="12">
        <f t="shared" ref="F187:G187" si="303">F69</f>
        <v>0</v>
      </c>
      <c r="G187" s="12">
        <f t="shared" si="303"/>
        <v>0</v>
      </c>
      <c r="H187" s="12">
        <f t="shared" ref="H187" si="304">H69</f>
        <v>0</v>
      </c>
    </row>
    <row r="188" spans="1:8" hidden="1" x14ac:dyDescent="0.2">
      <c r="A188" s="5" t="s">
        <v>2500</v>
      </c>
      <c r="B188" s="2" t="s">
        <v>2271</v>
      </c>
      <c r="C188" s="2" t="s">
        <v>407</v>
      </c>
      <c r="D188" s="2">
        <f t="shared" ref="D188:E188" si="305">D93</f>
        <v>5.9499999999999993</v>
      </c>
      <c r="E188" s="2">
        <f t="shared" si="305"/>
        <v>0</v>
      </c>
      <c r="F188" s="2">
        <f t="shared" ref="F188:G188" si="306">F93</f>
        <v>0</v>
      </c>
      <c r="G188" s="2">
        <f t="shared" si="306"/>
        <v>0</v>
      </c>
      <c r="H188" s="2">
        <f t="shared" ref="H188" si="307">H93</f>
        <v>0</v>
      </c>
    </row>
    <row r="189" spans="1:8" hidden="1" x14ac:dyDescent="0.2">
      <c r="A189" s="5" t="s">
        <v>2272</v>
      </c>
      <c r="B189" s="2" t="s">
        <v>2272</v>
      </c>
      <c r="C189" s="2" t="s">
        <v>407</v>
      </c>
      <c r="D189" s="12">
        <f t="shared" ref="D189:E189" si="308">D187+D70</f>
        <v>11.385</v>
      </c>
      <c r="E189" s="12">
        <f t="shared" si="308"/>
        <v>0</v>
      </c>
      <c r="F189" s="12">
        <f t="shared" ref="F189:G189" si="309">F187+F70</f>
        <v>0</v>
      </c>
      <c r="G189" s="12">
        <f t="shared" si="309"/>
        <v>0</v>
      </c>
      <c r="H189" s="12">
        <f t="shared" ref="H189" si="310">H187+H70</f>
        <v>0</v>
      </c>
    </row>
    <row r="190" spans="1:8" hidden="1" x14ac:dyDescent="0.2">
      <c r="A190" s="5" t="s">
        <v>2501</v>
      </c>
      <c r="B190" s="2" t="s">
        <v>2273</v>
      </c>
      <c r="C190" s="2" t="s">
        <v>407</v>
      </c>
      <c r="D190" s="2">
        <f t="shared" ref="D190:E190" si="311">D94</f>
        <v>11.6425</v>
      </c>
      <c r="E190" s="2">
        <f t="shared" si="311"/>
        <v>0</v>
      </c>
      <c r="F190" s="2">
        <f t="shared" ref="F190:G190" si="312">F94</f>
        <v>0</v>
      </c>
      <c r="G190" s="2">
        <f t="shared" si="312"/>
        <v>0</v>
      </c>
      <c r="H190" s="2">
        <f t="shared" ref="H190" si="313">H94</f>
        <v>0</v>
      </c>
    </row>
    <row r="191" spans="1:8" hidden="1" x14ac:dyDescent="0.2">
      <c r="A191" s="5" t="s">
        <v>2274</v>
      </c>
      <c r="B191" s="2" t="s">
        <v>2274</v>
      </c>
      <c r="C191" s="2" t="s">
        <v>407</v>
      </c>
      <c r="D191" s="12">
        <f t="shared" ref="D191:E191" si="314">D189+D71</f>
        <v>11.9</v>
      </c>
      <c r="E191" s="12">
        <f t="shared" si="314"/>
        <v>0</v>
      </c>
      <c r="F191" s="12">
        <f t="shared" ref="F191:G191" si="315">F189+F71</f>
        <v>0</v>
      </c>
      <c r="G191" s="12">
        <f t="shared" si="315"/>
        <v>0</v>
      </c>
      <c r="H191" s="12">
        <f t="shared" ref="H191" si="316">H189+H71</f>
        <v>0</v>
      </c>
    </row>
    <row r="192" spans="1:8" hidden="1" x14ac:dyDescent="0.2">
      <c r="A192" s="5" t="s">
        <v>2502</v>
      </c>
      <c r="B192" s="2" t="s">
        <v>2275</v>
      </c>
      <c r="C192" s="2" t="s">
        <v>407</v>
      </c>
      <c r="D192" s="2">
        <f t="shared" ref="D192:E192" si="317">D95</f>
        <v>14.627500000000001</v>
      </c>
      <c r="E192" s="2" t="e">
        <f t="shared" si="317"/>
        <v>#N/A</v>
      </c>
      <c r="F192" s="2" t="e">
        <f t="shared" ref="F192:G192" si="318">F95</f>
        <v>#N/A</v>
      </c>
      <c r="G192" s="2" t="e">
        <f t="shared" si="318"/>
        <v>#N/A</v>
      </c>
      <c r="H192" s="2" t="e">
        <f t="shared" ref="H192" si="319">H95</f>
        <v>#N/A</v>
      </c>
    </row>
    <row r="193" spans="1:8" hidden="1" x14ac:dyDescent="0.2">
      <c r="A193" s="5" t="s">
        <v>2276</v>
      </c>
      <c r="B193" s="2" t="s">
        <v>2276</v>
      </c>
      <c r="C193" s="2" t="s">
        <v>407</v>
      </c>
      <c r="D193" s="12">
        <f t="shared" ref="D193:E193" si="320">D191+D72</f>
        <v>17.355</v>
      </c>
      <c r="E193" s="12" t="e">
        <f t="shared" si="320"/>
        <v>#N/A</v>
      </c>
      <c r="F193" s="12" t="e">
        <f t="shared" ref="F193:G193" si="321">F191+F72</f>
        <v>#N/A</v>
      </c>
      <c r="G193" s="12" t="e">
        <f t="shared" si="321"/>
        <v>#N/A</v>
      </c>
      <c r="H193" s="12" t="e">
        <f t="shared" ref="H193" si="322">H191+H72</f>
        <v>#N/A</v>
      </c>
    </row>
    <row r="194" spans="1:8" hidden="1" x14ac:dyDescent="0.2">
      <c r="A194" s="5" t="s">
        <v>2503</v>
      </c>
      <c r="B194" s="2" t="s">
        <v>2277</v>
      </c>
      <c r="C194" s="2" t="s">
        <v>407</v>
      </c>
      <c r="D194" s="2">
        <f t="shared" ref="D194:E194" si="323">D96</f>
        <v>17.612500000000001</v>
      </c>
      <c r="E194" s="2" t="e">
        <f t="shared" si="323"/>
        <v>#N/A</v>
      </c>
      <c r="F194" s="2" t="e">
        <f t="shared" ref="F194:G194" si="324">F96</f>
        <v>#N/A</v>
      </c>
      <c r="G194" s="2" t="e">
        <f t="shared" si="324"/>
        <v>#N/A</v>
      </c>
      <c r="H194" s="2" t="e">
        <f t="shared" ref="H194" si="325">H96</f>
        <v>#N/A</v>
      </c>
    </row>
    <row r="195" spans="1:8" hidden="1" x14ac:dyDescent="0.2">
      <c r="A195" s="5" t="s">
        <v>2278</v>
      </c>
      <c r="B195" s="2" t="s">
        <v>2278</v>
      </c>
      <c r="C195" s="2" t="s">
        <v>407</v>
      </c>
      <c r="D195" s="12">
        <f t="shared" ref="D195:E195" si="326">D193+D73</f>
        <v>17.87</v>
      </c>
      <c r="E195" s="12" t="e">
        <f t="shared" si="326"/>
        <v>#N/A</v>
      </c>
      <c r="F195" s="12" t="e">
        <f t="shared" ref="F195:G195" si="327">F193+F73</f>
        <v>#N/A</v>
      </c>
      <c r="G195" s="12" t="e">
        <f t="shared" si="327"/>
        <v>#N/A</v>
      </c>
      <c r="H195" s="12" t="e">
        <f t="shared" ref="H195" si="328">H193+H73</f>
        <v>#N/A</v>
      </c>
    </row>
    <row r="196" spans="1:8" hidden="1" x14ac:dyDescent="0.2"/>
    <row r="197" spans="1:8" hidden="1" x14ac:dyDescent="0.2">
      <c r="A197" s="45" t="s">
        <v>2402</v>
      </c>
    </row>
    <row r="198" spans="1:8" hidden="1" x14ac:dyDescent="0.2">
      <c r="A198" s="5" t="s">
        <v>2499</v>
      </c>
      <c r="B198" s="2" t="s">
        <v>2269</v>
      </c>
      <c r="C198" s="2" t="s">
        <v>407</v>
      </c>
      <c r="D198" s="12">
        <f t="shared" ref="D198:E207" si="329">D$181-D186</f>
        <v>11.285285580524343</v>
      </c>
      <c r="E198" s="12" t="e">
        <f t="shared" si="329"/>
        <v>#N/A</v>
      </c>
      <c r="F198" s="12" t="e">
        <f t="shared" ref="F198:G198" si="330">F$181-F186</f>
        <v>#N/A</v>
      </c>
      <c r="G198" s="12" t="e">
        <f t="shared" si="330"/>
        <v>#N/A</v>
      </c>
      <c r="H198" s="12" t="e">
        <f t="shared" ref="H198" si="331">H$181-H186</f>
        <v>#N/A</v>
      </c>
    </row>
    <row r="199" spans="1:8" hidden="1" x14ac:dyDescent="0.2">
      <c r="A199" s="5" t="s">
        <v>2270</v>
      </c>
      <c r="B199" s="2" t="s">
        <v>2270</v>
      </c>
      <c r="C199" s="2" t="s">
        <v>407</v>
      </c>
      <c r="D199" s="12">
        <f t="shared" si="329"/>
        <v>11.027785580524343</v>
      </c>
      <c r="E199" s="12" t="e">
        <f t="shared" si="329"/>
        <v>#N/A</v>
      </c>
      <c r="F199" s="12" t="e">
        <f t="shared" ref="F199:G199" si="332">F$181-F187</f>
        <v>#N/A</v>
      </c>
      <c r="G199" s="12" t="e">
        <f t="shared" si="332"/>
        <v>#N/A</v>
      </c>
      <c r="H199" s="12" t="e">
        <f t="shared" ref="H199" si="333">H$181-H187</f>
        <v>#N/A</v>
      </c>
    </row>
    <row r="200" spans="1:8" hidden="1" x14ac:dyDescent="0.2">
      <c r="A200" s="5" t="s">
        <v>2500</v>
      </c>
      <c r="B200" s="2" t="s">
        <v>2271</v>
      </c>
      <c r="C200" s="2" t="s">
        <v>407</v>
      </c>
      <c r="D200" s="12">
        <f t="shared" si="329"/>
        <v>5.5927855805243443</v>
      </c>
      <c r="E200" s="12" t="e">
        <f t="shared" si="329"/>
        <v>#N/A</v>
      </c>
      <c r="F200" s="12" t="e">
        <f t="shared" ref="F200:G200" si="334">F$181-F188</f>
        <v>#N/A</v>
      </c>
      <c r="G200" s="12" t="e">
        <f t="shared" si="334"/>
        <v>#N/A</v>
      </c>
      <c r="H200" s="12" t="e">
        <f t="shared" ref="H200" si="335">H$181-H188</f>
        <v>#N/A</v>
      </c>
    </row>
    <row r="201" spans="1:8" hidden="1" x14ac:dyDescent="0.2">
      <c r="A201" s="5" t="s">
        <v>2272</v>
      </c>
      <c r="B201" s="2" t="s">
        <v>2272</v>
      </c>
      <c r="C201" s="2" t="s">
        <v>407</v>
      </c>
      <c r="D201" s="12">
        <f t="shared" si="329"/>
        <v>0.15778558052434377</v>
      </c>
      <c r="E201" s="12" t="e">
        <f t="shared" si="329"/>
        <v>#N/A</v>
      </c>
      <c r="F201" s="12" t="e">
        <f t="shared" ref="F201:G201" si="336">F$181-F189</f>
        <v>#N/A</v>
      </c>
      <c r="G201" s="12" t="e">
        <f t="shared" si="336"/>
        <v>#N/A</v>
      </c>
      <c r="H201" s="12" t="e">
        <f t="shared" ref="H201" si="337">H$181-H189</f>
        <v>#N/A</v>
      </c>
    </row>
    <row r="202" spans="1:8" hidden="1" x14ac:dyDescent="0.2">
      <c r="A202" s="5" t="s">
        <v>2501</v>
      </c>
      <c r="B202" s="2" t="s">
        <v>2273</v>
      </c>
      <c r="C202" s="2" t="s">
        <v>407</v>
      </c>
      <c r="D202" s="12">
        <f t="shared" si="329"/>
        <v>-9.9714419475656513E-2</v>
      </c>
      <c r="E202" s="12" t="e">
        <f t="shared" si="329"/>
        <v>#N/A</v>
      </c>
      <c r="F202" s="12" t="e">
        <f t="shared" ref="F202:G202" si="338">F$181-F190</f>
        <v>#N/A</v>
      </c>
      <c r="G202" s="12" t="e">
        <f t="shared" si="338"/>
        <v>#N/A</v>
      </c>
      <c r="H202" s="12" t="e">
        <f t="shared" ref="H202" si="339">H$181-H190</f>
        <v>#N/A</v>
      </c>
    </row>
    <row r="203" spans="1:8" hidden="1" x14ac:dyDescent="0.2">
      <c r="A203" s="5" t="s">
        <v>2274</v>
      </c>
      <c r="B203" s="2" t="s">
        <v>2274</v>
      </c>
      <c r="C203" s="2" t="s">
        <v>407</v>
      </c>
      <c r="D203" s="12">
        <f t="shared" si="329"/>
        <v>-0.3572144194756568</v>
      </c>
      <c r="E203" s="12" t="e">
        <f t="shared" si="329"/>
        <v>#N/A</v>
      </c>
      <c r="F203" s="12" t="e">
        <f t="shared" ref="F203:G203" si="340">F$181-F191</f>
        <v>#N/A</v>
      </c>
      <c r="G203" s="12" t="e">
        <f t="shared" si="340"/>
        <v>#N/A</v>
      </c>
      <c r="H203" s="12" t="e">
        <f t="shared" ref="H203" si="341">H$181-H191</f>
        <v>#N/A</v>
      </c>
    </row>
    <row r="204" spans="1:8" hidden="1" x14ac:dyDescent="0.2">
      <c r="A204" s="5" t="s">
        <v>2502</v>
      </c>
      <c r="B204" s="2" t="s">
        <v>2275</v>
      </c>
      <c r="C204" s="2" t="s">
        <v>407</v>
      </c>
      <c r="D204" s="12">
        <f t="shared" si="329"/>
        <v>-3.0847144194756577</v>
      </c>
      <c r="E204" s="12" t="e">
        <f t="shared" si="329"/>
        <v>#N/A</v>
      </c>
      <c r="F204" s="12" t="e">
        <f t="shared" ref="F204:G204" si="342">F$181-F192</f>
        <v>#N/A</v>
      </c>
      <c r="G204" s="12" t="e">
        <f t="shared" si="342"/>
        <v>#N/A</v>
      </c>
      <c r="H204" s="12" t="e">
        <f t="shared" ref="H204" si="343">H$181-H192</f>
        <v>#N/A</v>
      </c>
    </row>
    <row r="205" spans="1:8" hidden="1" x14ac:dyDescent="0.2">
      <c r="A205" s="5" t="s">
        <v>2276</v>
      </c>
      <c r="B205" s="2" t="s">
        <v>2276</v>
      </c>
      <c r="C205" s="2" t="s">
        <v>407</v>
      </c>
      <c r="D205" s="12">
        <f t="shared" si="329"/>
        <v>-5.8122144194756569</v>
      </c>
      <c r="E205" s="12" t="e">
        <f t="shared" si="329"/>
        <v>#N/A</v>
      </c>
      <c r="F205" s="12" t="e">
        <f t="shared" ref="F205:G205" si="344">F$181-F193</f>
        <v>#N/A</v>
      </c>
      <c r="G205" s="12" t="e">
        <f t="shared" si="344"/>
        <v>#N/A</v>
      </c>
      <c r="H205" s="12" t="e">
        <f t="shared" ref="H205" si="345">H$181-H193</f>
        <v>#N/A</v>
      </c>
    </row>
    <row r="206" spans="1:8" hidden="1" x14ac:dyDescent="0.2">
      <c r="A206" s="5" t="s">
        <v>2503</v>
      </c>
      <c r="B206" s="2" t="s">
        <v>2277</v>
      </c>
      <c r="C206" s="2" t="s">
        <v>407</v>
      </c>
      <c r="D206" s="12">
        <f t="shared" si="329"/>
        <v>-6.0697144194756572</v>
      </c>
      <c r="E206" s="12" t="e">
        <f t="shared" si="329"/>
        <v>#N/A</v>
      </c>
      <c r="F206" s="12" t="e">
        <f t="shared" ref="F206:G206" si="346">F$181-F194</f>
        <v>#N/A</v>
      </c>
      <c r="G206" s="12" t="e">
        <f t="shared" si="346"/>
        <v>#N/A</v>
      </c>
      <c r="H206" s="12" t="e">
        <f t="shared" ref="H206" si="347">H$181-H194</f>
        <v>#N/A</v>
      </c>
    </row>
    <row r="207" spans="1:8" hidden="1" x14ac:dyDescent="0.2">
      <c r="A207" s="5" t="s">
        <v>2278</v>
      </c>
      <c r="B207" s="2" t="s">
        <v>2278</v>
      </c>
      <c r="C207" s="2" t="s">
        <v>407</v>
      </c>
      <c r="D207" s="12">
        <f t="shared" si="329"/>
        <v>-6.3272144194756574</v>
      </c>
      <c r="E207" s="12" t="e">
        <f t="shared" si="329"/>
        <v>#N/A</v>
      </c>
      <c r="F207" s="12" t="e">
        <f t="shared" ref="F207:G207" si="348">F$181-F195</f>
        <v>#N/A</v>
      </c>
      <c r="G207" s="12" t="e">
        <f t="shared" si="348"/>
        <v>#N/A</v>
      </c>
      <c r="H207" s="12" t="e">
        <f t="shared" ref="H207" si="349">H$181-H195</f>
        <v>#N/A</v>
      </c>
    </row>
    <row r="208" spans="1:8" hidden="1" x14ac:dyDescent="0.2"/>
    <row r="209" spans="1:8" hidden="1" x14ac:dyDescent="0.2">
      <c r="A209" s="45" t="s">
        <v>2403</v>
      </c>
    </row>
    <row r="210" spans="1:8" hidden="1" x14ac:dyDescent="0.2">
      <c r="A210" s="5" t="s">
        <v>2499</v>
      </c>
      <c r="B210" s="2" t="s">
        <v>2269</v>
      </c>
      <c r="C210" s="2" t="s">
        <v>407</v>
      </c>
      <c r="D210" s="12">
        <f t="shared" ref="D210:E219" si="350">D198/2</f>
        <v>5.6426427902621716</v>
      </c>
      <c r="E210" s="12" t="e">
        <f t="shared" si="350"/>
        <v>#N/A</v>
      </c>
      <c r="F210" s="12" t="e">
        <f t="shared" ref="F210:G210" si="351">F198/2</f>
        <v>#N/A</v>
      </c>
      <c r="G210" s="12" t="e">
        <f t="shared" si="351"/>
        <v>#N/A</v>
      </c>
      <c r="H210" s="12" t="e">
        <f t="shared" ref="H210" si="352">H198/2</f>
        <v>#N/A</v>
      </c>
    </row>
    <row r="211" spans="1:8" hidden="1" x14ac:dyDescent="0.2">
      <c r="A211" s="5" t="s">
        <v>2270</v>
      </c>
      <c r="B211" s="2" t="s">
        <v>2270</v>
      </c>
      <c r="C211" s="2" t="s">
        <v>407</v>
      </c>
      <c r="D211" s="12">
        <f t="shared" si="350"/>
        <v>5.5138927902621715</v>
      </c>
      <c r="E211" s="12" t="e">
        <f t="shared" si="350"/>
        <v>#N/A</v>
      </c>
      <c r="F211" s="12" t="e">
        <f t="shared" ref="F211:G211" si="353">F199/2</f>
        <v>#N/A</v>
      </c>
      <c r="G211" s="12" t="e">
        <f t="shared" si="353"/>
        <v>#N/A</v>
      </c>
      <c r="H211" s="12" t="e">
        <f t="shared" ref="H211" si="354">H199/2</f>
        <v>#N/A</v>
      </c>
    </row>
    <row r="212" spans="1:8" hidden="1" x14ac:dyDescent="0.2">
      <c r="A212" s="5" t="s">
        <v>2500</v>
      </c>
      <c r="B212" s="2" t="s">
        <v>2271</v>
      </c>
      <c r="C212" s="2" t="s">
        <v>407</v>
      </c>
      <c r="D212" s="12">
        <f t="shared" si="350"/>
        <v>2.7963927902621721</v>
      </c>
      <c r="E212" s="12" t="e">
        <f t="shared" si="350"/>
        <v>#N/A</v>
      </c>
      <c r="F212" s="12" t="e">
        <f t="shared" ref="F212:G212" si="355">F200/2</f>
        <v>#N/A</v>
      </c>
      <c r="G212" s="12" t="e">
        <f t="shared" si="355"/>
        <v>#N/A</v>
      </c>
      <c r="H212" s="12" t="e">
        <f t="shared" ref="H212" si="356">H200/2</f>
        <v>#N/A</v>
      </c>
    </row>
    <row r="213" spans="1:8" hidden="1" x14ac:dyDescent="0.2">
      <c r="A213" s="5" t="s">
        <v>2272</v>
      </c>
      <c r="B213" s="2" t="s">
        <v>2272</v>
      </c>
      <c r="C213" s="2" t="s">
        <v>407</v>
      </c>
      <c r="D213" s="12">
        <f t="shared" si="350"/>
        <v>7.8892790262171886E-2</v>
      </c>
      <c r="E213" s="12" t="e">
        <f t="shared" si="350"/>
        <v>#N/A</v>
      </c>
      <c r="F213" s="12" t="e">
        <f t="shared" ref="F213:G213" si="357">F201/2</f>
        <v>#N/A</v>
      </c>
      <c r="G213" s="12" t="e">
        <f t="shared" si="357"/>
        <v>#N/A</v>
      </c>
      <c r="H213" s="12" t="e">
        <f t="shared" ref="H213" si="358">H201/2</f>
        <v>#N/A</v>
      </c>
    </row>
    <row r="214" spans="1:8" hidden="1" x14ac:dyDescent="0.2">
      <c r="A214" s="5" t="s">
        <v>2501</v>
      </c>
      <c r="B214" s="2" t="s">
        <v>2273</v>
      </c>
      <c r="C214" s="2" t="s">
        <v>407</v>
      </c>
      <c r="D214" s="12">
        <f t="shared" si="350"/>
        <v>-4.9857209737828256E-2</v>
      </c>
      <c r="E214" s="12" t="e">
        <f t="shared" si="350"/>
        <v>#N/A</v>
      </c>
      <c r="F214" s="12" t="e">
        <f t="shared" ref="F214:G214" si="359">F202/2</f>
        <v>#N/A</v>
      </c>
      <c r="G214" s="12" t="e">
        <f t="shared" si="359"/>
        <v>#N/A</v>
      </c>
      <c r="H214" s="12" t="e">
        <f t="shared" ref="H214" si="360">H202/2</f>
        <v>#N/A</v>
      </c>
    </row>
    <row r="215" spans="1:8" hidden="1" x14ac:dyDescent="0.2">
      <c r="A215" s="5" t="s">
        <v>2274</v>
      </c>
      <c r="B215" s="2" t="s">
        <v>2274</v>
      </c>
      <c r="C215" s="2" t="s">
        <v>407</v>
      </c>
      <c r="D215" s="12">
        <f t="shared" si="350"/>
        <v>-0.1786072097378284</v>
      </c>
      <c r="E215" s="12" t="e">
        <f t="shared" si="350"/>
        <v>#N/A</v>
      </c>
      <c r="F215" s="12" t="e">
        <f t="shared" ref="F215:G215" si="361">F203/2</f>
        <v>#N/A</v>
      </c>
      <c r="G215" s="12" t="e">
        <f t="shared" si="361"/>
        <v>#N/A</v>
      </c>
      <c r="H215" s="12" t="e">
        <f t="shared" ref="H215" si="362">H203/2</f>
        <v>#N/A</v>
      </c>
    </row>
    <row r="216" spans="1:8" hidden="1" x14ac:dyDescent="0.2">
      <c r="A216" s="5" t="s">
        <v>2502</v>
      </c>
      <c r="B216" s="2" t="s">
        <v>2275</v>
      </c>
      <c r="C216" s="2" t="s">
        <v>407</v>
      </c>
      <c r="D216" s="12">
        <f t="shared" si="350"/>
        <v>-1.5423572097378289</v>
      </c>
      <c r="E216" s="12" t="e">
        <f t="shared" si="350"/>
        <v>#N/A</v>
      </c>
      <c r="F216" s="12" t="e">
        <f t="shared" ref="F216:G216" si="363">F204/2</f>
        <v>#N/A</v>
      </c>
      <c r="G216" s="12" t="e">
        <f t="shared" si="363"/>
        <v>#N/A</v>
      </c>
      <c r="H216" s="12" t="e">
        <f t="shared" ref="H216" si="364">H204/2</f>
        <v>#N/A</v>
      </c>
    </row>
    <row r="217" spans="1:8" hidden="1" x14ac:dyDescent="0.2">
      <c r="A217" s="5" t="s">
        <v>2276</v>
      </c>
      <c r="B217" s="2" t="s">
        <v>2276</v>
      </c>
      <c r="C217" s="2" t="s">
        <v>407</v>
      </c>
      <c r="D217" s="12">
        <f t="shared" si="350"/>
        <v>-2.9061072097378284</v>
      </c>
      <c r="E217" s="12" t="e">
        <f t="shared" si="350"/>
        <v>#N/A</v>
      </c>
      <c r="F217" s="12" t="e">
        <f t="shared" ref="F217:G217" si="365">F205/2</f>
        <v>#N/A</v>
      </c>
      <c r="G217" s="12" t="e">
        <f t="shared" si="365"/>
        <v>#N/A</v>
      </c>
      <c r="H217" s="12" t="e">
        <f t="shared" ref="H217" si="366">H205/2</f>
        <v>#N/A</v>
      </c>
    </row>
    <row r="218" spans="1:8" hidden="1" x14ac:dyDescent="0.2">
      <c r="A218" s="5" t="s">
        <v>2503</v>
      </c>
      <c r="B218" s="2" t="s">
        <v>2277</v>
      </c>
      <c r="C218" s="2" t="s">
        <v>407</v>
      </c>
      <c r="D218" s="12">
        <f t="shared" si="350"/>
        <v>-3.0348572097378286</v>
      </c>
      <c r="E218" s="12" t="e">
        <f t="shared" si="350"/>
        <v>#N/A</v>
      </c>
      <c r="F218" s="12" t="e">
        <f t="shared" ref="F218:G218" si="367">F206/2</f>
        <v>#N/A</v>
      </c>
      <c r="G218" s="12" t="e">
        <f t="shared" si="367"/>
        <v>#N/A</v>
      </c>
      <c r="H218" s="12" t="e">
        <f t="shared" ref="H218" si="368">H206/2</f>
        <v>#N/A</v>
      </c>
    </row>
    <row r="219" spans="1:8" hidden="1" x14ac:dyDescent="0.2">
      <c r="A219" s="5" t="s">
        <v>2278</v>
      </c>
      <c r="B219" s="2" t="s">
        <v>2278</v>
      </c>
      <c r="C219" s="2" t="s">
        <v>407</v>
      </c>
      <c r="D219" s="12">
        <f t="shared" si="350"/>
        <v>-3.1636072097378287</v>
      </c>
      <c r="E219" s="12" t="e">
        <f t="shared" si="350"/>
        <v>#N/A</v>
      </c>
      <c r="F219" s="12" t="e">
        <f t="shared" ref="F219:G219" si="369">F207/2</f>
        <v>#N/A</v>
      </c>
      <c r="G219" s="12" t="e">
        <f t="shared" si="369"/>
        <v>#N/A</v>
      </c>
      <c r="H219" s="12" t="e">
        <f t="shared" ref="H219" si="370">H207/2</f>
        <v>#N/A</v>
      </c>
    </row>
    <row r="220" spans="1:8" hidden="1" x14ac:dyDescent="0.2"/>
    <row r="221" spans="1:8" hidden="1" x14ac:dyDescent="0.2">
      <c r="A221" s="45" t="s">
        <v>2404</v>
      </c>
    </row>
    <row r="222" spans="1:8" hidden="1" x14ac:dyDescent="0.2">
      <c r="A222" s="5" t="s">
        <v>2499</v>
      </c>
      <c r="B222" s="2" t="s">
        <v>2269</v>
      </c>
      <c r="C222" s="2" t="s">
        <v>407</v>
      </c>
      <c r="D222" s="12">
        <f t="shared" ref="D222:E222" si="371">D77</f>
        <v>8.01</v>
      </c>
      <c r="E222" s="12">
        <f t="shared" si="371"/>
        <v>0</v>
      </c>
      <c r="F222" s="12">
        <f t="shared" ref="F222:G222" si="372">F77</f>
        <v>0</v>
      </c>
      <c r="G222" s="12">
        <f t="shared" si="372"/>
        <v>0</v>
      </c>
      <c r="H222" s="12">
        <f t="shared" ref="H222" si="373">H77</f>
        <v>0</v>
      </c>
    </row>
    <row r="223" spans="1:8" hidden="1" x14ac:dyDescent="0.2">
      <c r="A223" s="5" t="s">
        <v>2270</v>
      </c>
      <c r="B223" s="2" t="s">
        <v>2270</v>
      </c>
      <c r="C223" s="2" t="s">
        <v>407</v>
      </c>
      <c r="D223" s="12">
        <f t="shared" ref="D223:E223" si="374">D222</f>
        <v>8.01</v>
      </c>
      <c r="E223" s="12">
        <f t="shared" si="374"/>
        <v>0</v>
      </c>
      <c r="F223" s="12">
        <f t="shared" ref="F223:G223" si="375">F222</f>
        <v>0</v>
      </c>
      <c r="G223" s="12">
        <f t="shared" si="375"/>
        <v>0</v>
      </c>
      <c r="H223" s="12">
        <f t="shared" ref="H223" si="376">H222</f>
        <v>0</v>
      </c>
    </row>
    <row r="224" spans="1:8" hidden="1" x14ac:dyDescent="0.2">
      <c r="A224" s="5" t="s">
        <v>2500</v>
      </c>
      <c r="B224" s="2" t="s">
        <v>2271</v>
      </c>
      <c r="C224" s="2" t="s">
        <v>407</v>
      </c>
      <c r="D224" s="12">
        <f t="shared" ref="D224:E224" si="377">D78</f>
        <v>0.29499999999999998</v>
      </c>
      <c r="E224" s="12">
        <f t="shared" si="377"/>
        <v>0</v>
      </c>
      <c r="F224" s="12">
        <f t="shared" ref="F224:G224" si="378">F78</f>
        <v>0</v>
      </c>
      <c r="G224" s="12">
        <f t="shared" si="378"/>
        <v>0</v>
      </c>
      <c r="H224" s="12">
        <f t="shared" ref="H224" si="379">H78</f>
        <v>0</v>
      </c>
    </row>
    <row r="225" spans="1:8" hidden="1" x14ac:dyDescent="0.2">
      <c r="A225" s="5" t="s">
        <v>2272</v>
      </c>
      <c r="B225" s="2" t="s">
        <v>2272</v>
      </c>
      <c r="C225" s="2" t="s">
        <v>407</v>
      </c>
      <c r="D225" s="12">
        <f t="shared" ref="D225:E225" si="380">D224</f>
        <v>0.29499999999999998</v>
      </c>
      <c r="E225" s="12">
        <f t="shared" si="380"/>
        <v>0</v>
      </c>
      <c r="F225" s="12">
        <f t="shared" ref="F225:G225" si="381">F224</f>
        <v>0</v>
      </c>
      <c r="G225" s="12">
        <f t="shared" si="381"/>
        <v>0</v>
      </c>
      <c r="H225" s="12">
        <f t="shared" ref="H225" si="382">H224</f>
        <v>0</v>
      </c>
    </row>
    <row r="226" spans="1:8" hidden="1" x14ac:dyDescent="0.2">
      <c r="A226" s="5" t="s">
        <v>2501</v>
      </c>
      <c r="B226" s="2" t="s">
        <v>2273</v>
      </c>
      <c r="C226" s="2" t="s">
        <v>407</v>
      </c>
      <c r="D226" s="12">
        <f t="shared" ref="D226:E226" si="383">D79</f>
        <v>8.01</v>
      </c>
      <c r="E226" s="12">
        <f t="shared" si="383"/>
        <v>0</v>
      </c>
      <c r="F226" s="12">
        <f t="shared" ref="F226:G226" si="384">F79</f>
        <v>0</v>
      </c>
      <c r="G226" s="12">
        <f t="shared" si="384"/>
        <v>0</v>
      </c>
      <c r="H226" s="12">
        <f t="shared" ref="H226" si="385">H79</f>
        <v>0</v>
      </c>
    </row>
    <row r="227" spans="1:8" hidden="1" x14ac:dyDescent="0.2">
      <c r="A227" s="5" t="s">
        <v>2274</v>
      </c>
      <c r="B227" s="2" t="s">
        <v>2274</v>
      </c>
      <c r="C227" s="2" t="s">
        <v>407</v>
      </c>
      <c r="D227" s="12">
        <f t="shared" ref="D227:E227" si="386">D226</f>
        <v>8.01</v>
      </c>
      <c r="E227" s="12">
        <f t="shared" si="386"/>
        <v>0</v>
      </c>
      <c r="F227" s="12">
        <f t="shared" ref="F227:G227" si="387">F226</f>
        <v>0</v>
      </c>
      <c r="G227" s="12">
        <f t="shared" si="387"/>
        <v>0</v>
      </c>
      <c r="H227" s="12">
        <f t="shared" ref="H227" si="388">H226</f>
        <v>0</v>
      </c>
    </row>
    <row r="228" spans="1:8" hidden="1" x14ac:dyDescent="0.2">
      <c r="A228" s="5" t="s">
        <v>2502</v>
      </c>
      <c r="B228" s="2" t="s">
        <v>2275</v>
      </c>
      <c r="C228" s="2" t="s">
        <v>407</v>
      </c>
      <c r="D228" s="12">
        <f t="shared" ref="D228:E228" si="389">D80</f>
        <v>0.29499999999999998</v>
      </c>
      <c r="E228" s="12" t="e">
        <f t="shared" si="389"/>
        <v>#N/A</v>
      </c>
      <c r="F228" s="12" t="e">
        <f t="shared" ref="F228:G228" si="390">F80</f>
        <v>#N/A</v>
      </c>
      <c r="G228" s="12" t="e">
        <f t="shared" si="390"/>
        <v>#N/A</v>
      </c>
      <c r="H228" s="12" t="e">
        <f t="shared" ref="H228" si="391">H80</f>
        <v>#N/A</v>
      </c>
    </row>
    <row r="229" spans="1:8" hidden="1" x14ac:dyDescent="0.2">
      <c r="A229" s="5" t="s">
        <v>2276</v>
      </c>
      <c r="B229" s="2" t="s">
        <v>2276</v>
      </c>
      <c r="C229" s="2" t="s">
        <v>407</v>
      </c>
      <c r="D229" s="12">
        <f t="shared" ref="D229:E229" si="392">D228</f>
        <v>0.29499999999999998</v>
      </c>
      <c r="E229" s="12" t="e">
        <f t="shared" si="392"/>
        <v>#N/A</v>
      </c>
      <c r="F229" s="12" t="e">
        <f t="shared" ref="F229:G229" si="393">F228</f>
        <v>#N/A</v>
      </c>
      <c r="G229" s="12" t="e">
        <f t="shared" si="393"/>
        <v>#N/A</v>
      </c>
      <c r="H229" s="12" t="e">
        <f t="shared" ref="H229" si="394">H228</f>
        <v>#N/A</v>
      </c>
    </row>
    <row r="230" spans="1:8" hidden="1" x14ac:dyDescent="0.2">
      <c r="A230" s="5" t="s">
        <v>2503</v>
      </c>
      <c r="B230" s="2" t="s">
        <v>2277</v>
      </c>
      <c r="C230" s="2" t="s">
        <v>407</v>
      </c>
      <c r="D230" s="12">
        <f t="shared" ref="D230:E230" si="395">D81</f>
        <v>8.01</v>
      </c>
      <c r="E230" s="12" t="e">
        <f t="shared" si="395"/>
        <v>#N/A</v>
      </c>
      <c r="F230" s="12" t="e">
        <f t="shared" ref="F230:G230" si="396">F81</f>
        <v>#N/A</v>
      </c>
      <c r="G230" s="12" t="e">
        <f t="shared" si="396"/>
        <v>#N/A</v>
      </c>
      <c r="H230" s="12" t="e">
        <f t="shared" ref="H230" si="397">H81</f>
        <v>#N/A</v>
      </c>
    </row>
    <row r="231" spans="1:8" hidden="1" x14ac:dyDescent="0.2">
      <c r="A231" s="5" t="s">
        <v>2278</v>
      </c>
      <c r="B231" s="2" t="s">
        <v>2278</v>
      </c>
      <c r="C231" s="2" t="s">
        <v>407</v>
      </c>
      <c r="D231" s="12">
        <f t="shared" ref="D231:E231" si="398">D230</f>
        <v>8.01</v>
      </c>
      <c r="E231" s="12" t="e">
        <f t="shared" si="398"/>
        <v>#N/A</v>
      </c>
      <c r="F231" s="12" t="e">
        <f t="shared" ref="F231:G231" si="399">F230</f>
        <v>#N/A</v>
      </c>
      <c r="G231" s="12" t="e">
        <f t="shared" si="399"/>
        <v>#N/A</v>
      </c>
      <c r="H231" s="12" t="e">
        <f t="shared" ref="H231" si="400">H230</f>
        <v>#N/A</v>
      </c>
    </row>
    <row r="232" spans="1:8" hidden="1" x14ac:dyDescent="0.2"/>
    <row r="233" spans="1:8" hidden="1" x14ac:dyDescent="0.2">
      <c r="A233" s="45" t="s">
        <v>2405</v>
      </c>
    </row>
    <row r="234" spans="1:8" hidden="1" x14ac:dyDescent="0.2">
      <c r="A234" s="5" t="s">
        <v>2499</v>
      </c>
      <c r="B234" s="2" t="s">
        <v>2269</v>
      </c>
      <c r="C234" s="2" t="s">
        <v>2406</v>
      </c>
      <c r="D234" s="15">
        <f t="shared" ref="D234:E234" si="401">IF(D$181=D175,1,0)</f>
        <v>0</v>
      </c>
      <c r="E234" s="15" t="e">
        <f t="shared" si="401"/>
        <v>#N/A</v>
      </c>
      <c r="F234" s="15" t="e">
        <f t="shared" ref="F234:G234" si="402">IF(F$181=F175,1,0)</f>
        <v>#N/A</v>
      </c>
      <c r="G234" s="15" t="e">
        <f t="shared" si="402"/>
        <v>#N/A</v>
      </c>
      <c r="H234" s="15" t="e">
        <f t="shared" ref="H234" si="403">IF(H$181=H175,1,0)</f>
        <v>#N/A</v>
      </c>
    </row>
    <row r="235" spans="1:8" hidden="1" x14ac:dyDescent="0.2">
      <c r="A235" s="5" t="s">
        <v>2270</v>
      </c>
      <c r="B235" s="2" t="s">
        <v>2270</v>
      </c>
      <c r="C235" s="2" t="s">
        <v>2406</v>
      </c>
      <c r="D235" s="15">
        <f t="shared" ref="D235:E236" si="404">IF(D$181=D175,1,0)</f>
        <v>0</v>
      </c>
      <c r="E235" s="15" t="e">
        <f t="shared" si="404"/>
        <v>#N/A</v>
      </c>
      <c r="F235" s="15" t="e">
        <f t="shared" ref="F235:G235" si="405">IF(F$181=F175,1,0)</f>
        <v>#N/A</v>
      </c>
      <c r="G235" s="15" t="e">
        <f t="shared" si="405"/>
        <v>#N/A</v>
      </c>
      <c r="H235" s="15" t="e">
        <f t="shared" ref="H235" si="406">IF(H$181=H175,1,0)</f>
        <v>#N/A</v>
      </c>
    </row>
    <row r="236" spans="1:8" hidden="1" x14ac:dyDescent="0.2">
      <c r="A236" s="5" t="s">
        <v>2500</v>
      </c>
      <c r="B236" s="2" t="s">
        <v>2271</v>
      </c>
      <c r="C236" s="2" t="s">
        <v>2406</v>
      </c>
      <c r="D236" s="15">
        <f t="shared" si="404"/>
        <v>0</v>
      </c>
      <c r="E236" s="15" t="e">
        <f t="shared" si="404"/>
        <v>#N/A</v>
      </c>
      <c r="F236" s="15" t="e">
        <f t="shared" ref="F236:G236" si="407">IF(F$181=F176,1,0)</f>
        <v>#N/A</v>
      </c>
      <c r="G236" s="15" t="e">
        <f t="shared" si="407"/>
        <v>#N/A</v>
      </c>
      <c r="H236" s="15" t="e">
        <f t="shared" ref="H236" si="408">IF(H$181=H176,1,0)</f>
        <v>#N/A</v>
      </c>
    </row>
    <row r="237" spans="1:8" hidden="1" x14ac:dyDescent="0.2">
      <c r="A237" s="5" t="s">
        <v>2272</v>
      </c>
      <c r="B237" s="2" t="s">
        <v>2272</v>
      </c>
      <c r="C237" s="2" t="s">
        <v>2406</v>
      </c>
      <c r="D237" s="15">
        <f t="shared" ref="D237:E238" si="409">IF(D$181=D176,1,0)</f>
        <v>0</v>
      </c>
      <c r="E237" s="15" t="e">
        <f t="shared" si="409"/>
        <v>#N/A</v>
      </c>
      <c r="F237" s="15" t="e">
        <f t="shared" ref="F237:G237" si="410">IF(F$181=F176,1,0)</f>
        <v>#N/A</v>
      </c>
      <c r="G237" s="15" t="e">
        <f t="shared" si="410"/>
        <v>#N/A</v>
      </c>
      <c r="H237" s="15" t="e">
        <f t="shared" ref="H237" si="411">IF(H$181=H176,1,0)</f>
        <v>#N/A</v>
      </c>
    </row>
    <row r="238" spans="1:8" hidden="1" x14ac:dyDescent="0.2">
      <c r="A238" s="5" t="s">
        <v>2501</v>
      </c>
      <c r="B238" s="2" t="s">
        <v>2273</v>
      </c>
      <c r="C238" s="2" t="s">
        <v>2406</v>
      </c>
      <c r="D238" s="15">
        <f t="shared" si="409"/>
        <v>1</v>
      </c>
      <c r="E238" s="15" t="e">
        <f t="shared" si="409"/>
        <v>#N/A</v>
      </c>
      <c r="F238" s="15" t="e">
        <f t="shared" ref="F238:G238" si="412">IF(F$181=F177,1,0)</f>
        <v>#N/A</v>
      </c>
      <c r="G238" s="15" t="e">
        <f t="shared" si="412"/>
        <v>#N/A</v>
      </c>
      <c r="H238" s="15" t="e">
        <f t="shared" ref="H238" si="413">IF(H$181=H177,1,0)</f>
        <v>#N/A</v>
      </c>
    </row>
    <row r="239" spans="1:8" hidden="1" x14ac:dyDescent="0.2">
      <c r="A239" s="5" t="s">
        <v>2274</v>
      </c>
      <c r="B239" s="2" t="s">
        <v>2274</v>
      </c>
      <c r="C239" s="2" t="s">
        <v>2406</v>
      </c>
      <c r="D239" s="15">
        <f t="shared" ref="D239:E240" si="414">IF(D$181=D177,1,0)</f>
        <v>1</v>
      </c>
      <c r="E239" s="15" t="e">
        <f t="shared" si="414"/>
        <v>#N/A</v>
      </c>
      <c r="F239" s="15" t="e">
        <f t="shared" ref="F239:G239" si="415">IF(F$181=F177,1,0)</f>
        <v>#N/A</v>
      </c>
      <c r="G239" s="15" t="e">
        <f t="shared" si="415"/>
        <v>#N/A</v>
      </c>
      <c r="H239" s="15" t="e">
        <f t="shared" ref="H239" si="416">IF(H$181=H177,1,0)</f>
        <v>#N/A</v>
      </c>
    </row>
    <row r="240" spans="1:8" hidden="1" x14ac:dyDescent="0.2">
      <c r="A240" s="5" t="s">
        <v>2502</v>
      </c>
      <c r="B240" s="2" t="s">
        <v>2275</v>
      </c>
      <c r="C240" s="2" t="s">
        <v>2406</v>
      </c>
      <c r="D240" s="15">
        <f t="shared" si="414"/>
        <v>0</v>
      </c>
      <c r="E240" s="15" t="e">
        <f t="shared" si="414"/>
        <v>#N/A</v>
      </c>
      <c r="F240" s="15" t="e">
        <f t="shared" ref="F240:G240" si="417">IF(F$181=F178,1,0)</f>
        <v>#N/A</v>
      </c>
      <c r="G240" s="15" t="e">
        <f t="shared" si="417"/>
        <v>#N/A</v>
      </c>
      <c r="H240" s="15" t="e">
        <f t="shared" ref="H240" si="418">IF(H$181=H178,1,0)</f>
        <v>#N/A</v>
      </c>
    </row>
    <row r="241" spans="1:8" hidden="1" x14ac:dyDescent="0.2">
      <c r="A241" s="5" t="s">
        <v>2276</v>
      </c>
      <c r="B241" s="2" t="s">
        <v>2276</v>
      </c>
      <c r="C241" s="2" t="s">
        <v>2406</v>
      </c>
      <c r="D241" s="15">
        <f t="shared" ref="D241:E242" si="419">IF(D$181=D178,1,0)</f>
        <v>0</v>
      </c>
      <c r="E241" s="15" t="e">
        <f t="shared" si="419"/>
        <v>#N/A</v>
      </c>
      <c r="F241" s="15" t="e">
        <f t="shared" ref="F241:G241" si="420">IF(F$181=F178,1,0)</f>
        <v>#N/A</v>
      </c>
      <c r="G241" s="15" t="e">
        <f t="shared" si="420"/>
        <v>#N/A</v>
      </c>
      <c r="H241" s="15" t="e">
        <f t="shared" ref="H241" si="421">IF(H$181=H178,1,0)</f>
        <v>#N/A</v>
      </c>
    </row>
    <row r="242" spans="1:8" hidden="1" x14ac:dyDescent="0.2">
      <c r="A242" s="5" t="s">
        <v>2503</v>
      </c>
      <c r="B242" s="2" t="s">
        <v>2277</v>
      </c>
      <c r="C242" s="2" t="s">
        <v>2406</v>
      </c>
      <c r="D242" s="15">
        <f t="shared" si="419"/>
        <v>0</v>
      </c>
      <c r="E242" s="15" t="e">
        <f t="shared" si="419"/>
        <v>#N/A</v>
      </c>
      <c r="F242" s="15" t="e">
        <f t="shared" ref="F242:G242" si="422">IF(F$181=F179,1,0)</f>
        <v>#N/A</v>
      </c>
      <c r="G242" s="15" t="e">
        <f t="shared" si="422"/>
        <v>#N/A</v>
      </c>
      <c r="H242" s="15" t="e">
        <f t="shared" ref="H242" si="423">IF(H$181=H179,1,0)</f>
        <v>#N/A</v>
      </c>
    </row>
    <row r="243" spans="1:8" hidden="1" x14ac:dyDescent="0.2">
      <c r="A243" s="5" t="s">
        <v>2278</v>
      </c>
      <c r="B243" s="2" t="s">
        <v>2278</v>
      </c>
      <c r="C243" s="2" t="s">
        <v>2406</v>
      </c>
      <c r="D243" s="15">
        <f t="shared" ref="D243:E243" si="424">IF(D$181=D179,1,0)</f>
        <v>0</v>
      </c>
      <c r="E243" s="15" t="e">
        <f t="shared" si="424"/>
        <v>#N/A</v>
      </c>
      <c r="F243" s="15" t="e">
        <f t="shared" ref="F243:G243" si="425">IF(F$181=F179,1,0)</f>
        <v>#N/A</v>
      </c>
      <c r="G243" s="15" t="e">
        <f t="shared" si="425"/>
        <v>#N/A</v>
      </c>
      <c r="H243" s="15" t="e">
        <f t="shared" ref="H243" si="426">IF(H$181=H179,1,0)</f>
        <v>#N/A</v>
      </c>
    </row>
    <row r="244" spans="1:8" hidden="1" x14ac:dyDescent="0.2"/>
    <row r="245" spans="1:8" hidden="1" x14ac:dyDescent="0.2">
      <c r="A245" s="45" t="s">
        <v>2410</v>
      </c>
    </row>
    <row r="246" spans="1:8" ht="15" hidden="1" x14ac:dyDescent="0.25">
      <c r="A246" s="5" t="s">
        <v>2499</v>
      </c>
      <c r="B246" s="2" t="s">
        <v>2411</v>
      </c>
      <c r="C246" s="3" t="s">
        <v>900</v>
      </c>
      <c r="D246" s="2">
        <f t="shared" ref="D246:E246" si="427">IF(D234=0,D84,ABS(D181*D222))</f>
        <v>4.1251499999999997</v>
      </c>
      <c r="E246" s="2" t="e">
        <f t="shared" si="427"/>
        <v>#N/A</v>
      </c>
      <c r="F246" s="2" t="e">
        <f t="shared" ref="F246:G246" si="428">IF(F234=0,F84,ABS(F181*F222))</f>
        <v>#N/A</v>
      </c>
      <c r="G246" s="2" t="e">
        <f t="shared" si="428"/>
        <v>#N/A</v>
      </c>
      <c r="H246" s="2" t="e">
        <f t="shared" ref="H246" si="429">IF(H234=0,H84,ABS(H181*H222))</f>
        <v>#N/A</v>
      </c>
    </row>
    <row r="247" spans="1:8" ht="15" hidden="1" x14ac:dyDescent="0.25">
      <c r="A247" s="5" t="s">
        <v>2270</v>
      </c>
      <c r="B247" s="2" t="s">
        <v>2420</v>
      </c>
      <c r="C247" s="3" t="s">
        <v>900</v>
      </c>
      <c r="D247" s="2">
        <f t="shared" ref="D247:E247" si="430">IF(D235=0,0,ABS(D199*D223))</f>
        <v>0</v>
      </c>
      <c r="E247" s="2" t="e">
        <f t="shared" si="430"/>
        <v>#N/A</v>
      </c>
      <c r="F247" s="2" t="e">
        <f t="shared" ref="F247:G247" si="431">IF(F235=0,0,ABS(F199*F223))</f>
        <v>#N/A</v>
      </c>
      <c r="G247" s="2" t="e">
        <f t="shared" si="431"/>
        <v>#N/A</v>
      </c>
      <c r="H247" s="2" t="e">
        <f t="shared" ref="H247" si="432">IF(H235=0,0,ABS(H199*H223))</f>
        <v>#N/A</v>
      </c>
    </row>
    <row r="248" spans="1:8" ht="15" hidden="1" x14ac:dyDescent="0.25">
      <c r="A248" s="5" t="s">
        <v>2500</v>
      </c>
      <c r="B248" s="2" t="s">
        <v>2412</v>
      </c>
      <c r="C248" s="3" t="s">
        <v>900</v>
      </c>
      <c r="D248" s="2">
        <f t="shared" ref="D248:E248" si="433">IF(D236=0,D85,ABS(D199*D224))</f>
        <v>3.2066499999999998</v>
      </c>
      <c r="E248" s="2" t="e">
        <f t="shared" si="433"/>
        <v>#N/A</v>
      </c>
      <c r="F248" s="2" t="e">
        <f t="shared" ref="F248:G248" si="434">IF(F236=0,F85,ABS(F199*F224))</f>
        <v>#N/A</v>
      </c>
      <c r="G248" s="2" t="e">
        <f t="shared" si="434"/>
        <v>#N/A</v>
      </c>
      <c r="H248" s="2" t="e">
        <f t="shared" ref="H248" si="435">IF(H236=0,H85,ABS(H199*H224))</f>
        <v>#N/A</v>
      </c>
    </row>
    <row r="249" spans="1:8" ht="15" hidden="1" x14ac:dyDescent="0.25">
      <c r="A249" s="5" t="s">
        <v>2272</v>
      </c>
      <c r="B249" s="2" t="s">
        <v>2419</v>
      </c>
      <c r="C249" s="3" t="s">
        <v>900</v>
      </c>
      <c r="D249" s="2">
        <f t="shared" ref="D249:E249" si="436">IF(D237=0,0,ABS(D201*D225))</f>
        <v>0</v>
      </c>
      <c r="E249" s="2" t="e">
        <f t="shared" si="436"/>
        <v>#N/A</v>
      </c>
      <c r="F249" s="2" t="e">
        <f t="shared" ref="F249:G249" si="437">IF(F237=0,0,ABS(F201*F225))</f>
        <v>#N/A</v>
      </c>
      <c r="G249" s="2" t="e">
        <f t="shared" si="437"/>
        <v>#N/A</v>
      </c>
      <c r="H249" s="2" t="e">
        <f t="shared" ref="H249" si="438">IF(H237=0,0,ABS(H201*H225))</f>
        <v>#N/A</v>
      </c>
    </row>
    <row r="250" spans="1:8" ht="15" hidden="1" x14ac:dyDescent="0.25">
      <c r="A250" s="5" t="s">
        <v>2501</v>
      </c>
      <c r="B250" s="2" t="s">
        <v>2413</v>
      </c>
      <c r="C250" s="3" t="s">
        <v>900</v>
      </c>
      <c r="D250" s="2">
        <f t="shared" ref="D250:E250" si="439">IF(D238=0,D86,ABS(D201*D226))</f>
        <v>1.2638624999999937</v>
      </c>
      <c r="E250" s="2" t="e">
        <f t="shared" si="439"/>
        <v>#N/A</v>
      </c>
      <c r="F250" s="2" t="e">
        <f t="shared" ref="F250:G250" si="440">IF(F238=0,F86,ABS(F201*F226))</f>
        <v>#N/A</v>
      </c>
      <c r="G250" s="2" t="e">
        <f t="shared" si="440"/>
        <v>#N/A</v>
      </c>
      <c r="H250" s="2" t="e">
        <f t="shared" ref="H250" si="441">IF(H238=0,H86,ABS(H201*H226))</f>
        <v>#N/A</v>
      </c>
    </row>
    <row r="251" spans="1:8" ht="15" hidden="1" x14ac:dyDescent="0.25">
      <c r="A251" s="5" t="s">
        <v>2274</v>
      </c>
      <c r="B251" s="2" t="s">
        <v>2418</v>
      </c>
      <c r="C251" s="3" t="s">
        <v>900</v>
      </c>
      <c r="D251" s="2">
        <f t="shared" ref="D251:E251" si="442">IF(D239=0,0,ABS(D203*D227))</f>
        <v>2.8612875000000111</v>
      </c>
      <c r="E251" s="2" t="e">
        <f t="shared" si="442"/>
        <v>#N/A</v>
      </c>
      <c r="F251" s="2" t="e">
        <f t="shared" ref="F251:G251" si="443">IF(F239=0,0,ABS(F203*F227))</f>
        <v>#N/A</v>
      </c>
      <c r="G251" s="2" t="e">
        <f t="shared" si="443"/>
        <v>#N/A</v>
      </c>
      <c r="H251" s="2" t="e">
        <f t="shared" ref="H251" si="444">IF(H239=0,0,ABS(H203*H227))</f>
        <v>#N/A</v>
      </c>
    </row>
    <row r="252" spans="1:8" ht="15" hidden="1" x14ac:dyDescent="0.25">
      <c r="A252" s="5" t="s">
        <v>2502</v>
      </c>
      <c r="B252" s="2" t="s">
        <v>2414</v>
      </c>
      <c r="C252" s="3" t="s">
        <v>2407</v>
      </c>
      <c r="D252" s="2">
        <f t="shared" ref="D252:E252" si="445">IF(D240=0,D87,ABS(D203*D228))</f>
        <v>1.6092249999999999</v>
      </c>
      <c r="E252" s="2" t="e">
        <f t="shared" si="445"/>
        <v>#N/A</v>
      </c>
      <c r="F252" s="2" t="e">
        <f t="shared" ref="F252:G252" si="446">IF(F240=0,F87,ABS(F203*F228))</f>
        <v>#N/A</v>
      </c>
      <c r="G252" s="2" t="e">
        <f t="shared" si="446"/>
        <v>#N/A</v>
      </c>
      <c r="H252" s="2" t="e">
        <f t="shared" ref="H252" si="447">IF(H240=0,H87,ABS(H203*H228))</f>
        <v>#N/A</v>
      </c>
    </row>
    <row r="253" spans="1:8" ht="15" hidden="1" x14ac:dyDescent="0.25">
      <c r="A253" s="5" t="s">
        <v>2276</v>
      </c>
      <c r="B253" s="2" t="s">
        <v>2417</v>
      </c>
      <c r="C253" s="3" t="s">
        <v>2407</v>
      </c>
      <c r="D253" s="2">
        <f t="shared" ref="D253:E253" si="448">IF(D241=0,0,ABS(D205*D229))</f>
        <v>0</v>
      </c>
      <c r="E253" s="2" t="e">
        <f t="shared" si="448"/>
        <v>#N/A</v>
      </c>
      <c r="F253" s="2" t="e">
        <f t="shared" ref="F253:G253" si="449">IF(F241=0,0,ABS(F205*F229))</f>
        <v>#N/A</v>
      </c>
      <c r="G253" s="2" t="e">
        <f t="shared" si="449"/>
        <v>#N/A</v>
      </c>
      <c r="H253" s="2" t="e">
        <f t="shared" ref="H253" si="450">IF(H241=0,0,ABS(H205*H229))</f>
        <v>#N/A</v>
      </c>
    </row>
    <row r="254" spans="1:8" ht="15" hidden="1" x14ac:dyDescent="0.25">
      <c r="A254" s="5" t="s">
        <v>2503</v>
      </c>
      <c r="B254" s="2" t="s">
        <v>2415</v>
      </c>
      <c r="C254" s="3" t="s">
        <v>2407</v>
      </c>
      <c r="D254" s="2">
        <f t="shared" ref="D254:E254" si="451">IF(D242=0,D88,ABS(D205*D230))</f>
        <v>4.1251499999999997</v>
      </c>
      <c r="E254" s="2" t="e">
        <f t="shared" si="451"/>
        <v>#N/A</v>
      </c>
      <c r="F254" s="2" t="e">
        <f t="shared" ref="F254:G254" si="452">IF(F242=0,F88,ABS(F205*F230))</f>
        <v>#N/A</v>
      </c>
      <c r="G254" s="2" t="e">
        <f t="shared" si="452"/>
        <v>#N/A</v>
      </c>
      <c r="H254" s="2" t="e">
        <f t="shared" ref="H254" si="453">IF(H242=0,H88,ABS(H205*H230))</f>
        <v>#N/A</v>
      </c>
    </row>
    <row r="255" spans="1:8" ht="15" hidden="1" x14ac:dyDescent="0.25">
      <c r="A255" s="5" t="s">
        <v>2278</v>
      </c>
      <c r="B255" s="2" t="s">
        <v>2416</v>
      </c>
      <c r="C255" s="3" t="s">
        <v>2407</v>
      </c>
      <c r="D255" s="2">
        <f t="shared" ref="D255:E255" si="454">IF(D243=0,0,ABS(D207*D231))</f>
        <v>0</v>
      </c>
      <c r="E255" s="2" t="e">
        <f t="shared" si="454"/>
        <v>#N/A</v>
      </c>
      <c r="F255" s="2" t="e">
        <f t="shared" ref="F255:G255" si="455">IF(F243=0,0,ABS(F207*F231))</f>
        <v>#N/A</v>
      </c>
      <c r="G255" s="2" t="e">
        <f t="shared" si="455"/>
        <v>#N/A</v>
      </c>
      <c r="H255" s="2" t="e">
        <f t="shared" ref="H255" si="456">IF(H243=0,0,ABS(H207*H231))</f>
        <v>#N/A</v>
      </c>
    </row>
    <row r="256" spans="1:8" hidden="1" x14ac:dyDescent="0.2"/>
    <row r="257" spans="1:8" ht="25.5" hidden="1" x14ac:dyDescent="0.2">
      <c r="A257" s="59" t="s">
        <v>2469</v>
      </c>
    </row>
    <row r="258" spans="1:8" ht="14.25" hidden="1" x14ac:dyDescent="0.25">
      <c r="A258" s="5" t="s">
        <v>2499</v>
      </c>
      <c r="B258" s="2" t="s">
        <v>2421</v>
      </c>
      <c r="C258" s="2" t="s">
        <v>407</v>
      </c>
      <c r="D258" s="12">
        <f t="shared" ref="D258:E258" si="457">IF(D234=0,D198,0.5*D181)</f>
        <v>11.285285580524343</v>
      </c>
      <c r="E258" s="12" t="e">
        <f t="shared" si="457"/>
        <v>#N/A</v>
      </c>
      <c r="F258" s="12" t="e">
        <f t="shared" ref="F258:G258" si="458">IF(F234=0,F198,0.5*F181)</f>
        <v>#N/A</v>
      </c>
      <c r="G258" s="12" t="e">
        <f t="shared" si="458"/>
        <v>#N/A</v>
      </c>
      <c r="H258" s="12" t="e">
        <f t="shared" ref="H258" si="459">IF(H234=0,H198,0.5*H181)</f>
        <v>#N/A</v>
      </c>
    </row>
    <row r="259" spans="1:8" ht="14.25" hidden="1" x14ac:dyDescent="0.25">
      <c r="A259" s="5" t="s">
        <v>2270</v>
      </c>
      <c r="B259" s="2" t="s">
        <v>2422</v>
      </c>
      <c r="C259" s="2" t="s">
        <v>407</v>
      </c>
      <c r="D259" s="12">
        <f t="shared" ref="D259:E259" si="460">IF(D235=0,0,D211)</f>
        <v>0</v>
      </c>
      <c r="E259" s="12" t="e">
        <f t="shared" si="460"/>
        <v>#N/A</v>
      </c>
      <c r="F259" s="12" t="e">
        <f t="shared" ref="F259:G259" si="461">IF(F235=0,0,F211)</f>
        <v>#N/A</v>
      </c>
      <c r="G259" s="12" t="e">
        <f t="shared" si="461"/>
        <v>#N/A</v>
      </c>
      <c r="H259" s="12" t="e">
        <f t="shared" ref="H259" si="462">IF(H235=0,0,H211)</f>
        <v>#N/A</v>
      </c>
    </row>
    <row r="260" spans="1:8" ht="14.25" hidden="1" x14ac:dyDescent="0.25">
      <c r="A260" s="5" t="s">
        <v>2500</v>
      </c>
      <c r="B260" s="67" t="s">
        <v>2423</v>
      </c>
      <c r="C260" s="2" t="s">
        <v>407</v>
      </c>
      <c r="D260" s="12">
        <f t="shared" ref="D260:E260" si="463">IF(D236=0,D200,D211)</f>
        <v>5.5927855805243443</v>
      </c>
      <c r="E260" s="12" t="e">
        <f t="shared" si="463"/>
        <v>#N/A</v>
      </c>
      <c r="F260" s="12" t="e">
        <f t="shared" ref="F260:G260" si="464">IF(F236=0,F200,F211)</f>
        <v>#N/A</v>
      </c>
      <c r="G260" s="12" t="e">
        <f t="shared" si="464"/>
        <v>#N/A</v>
      </c>
      <c r="H260" s="12" t="e">
        <f t="shared" ref="H260" si="465">IF(H236=0,H200,H211)</f>
        <v>#N/A</v>
      </c>
    </row>
    <row r="261" spans="1:8" ht="14.25" hidden="1" x14ac:dyDescent="0.25">
      <c r="A261" s="5" t="s">
        <v>2272</v>
      </c>
      <c r="B261" s="2" t="s">
        <v>2424</v>
      </c>
      <c r="C261" s="2" t="s">
        <v>407</v>
      </c>
      <c r="D261" s="12">
        <f t="shared" ref="D261:E261" si="466">IF(D237=0,0,D213)</f>
        <v>0</v>
      </c>
      <c r="E261" s="12" t="e">
        <f t="shared" si="466"/>
        <v>#N/A</v>
      </c>
      <c r="F261" s="12" t="e">
        <f t="shared" ref="F261:G261" si="467">IF(F237=0,0,F213)</f>
        <v>#N/A</v>
      </c>
      <c r="G261" s="12" t="e">
        <f t="shared" si="467"/>
        <v>#N/A</v>
      </c>
      <c r="H261" s="12" t="e">
        <f t="shared" ref="H261" si="468">IF(H237=0,0,H213)</f>
        <v>#N/A</v>
      </c>
    </row>
    <row r="262" spans="1:8" ht="14.25" hidden="1" x14ac:dyDescent="0.25">
      <c r="A262" s="5" t="s">
        <v>2501</v>
      </c>
      <c r="B262" s="2" t="s">
        <v>2425</v>
      </c>
      <c r="C262" s="2" t="s">
        <v>407</v>
      </c>
      <c r="D262" s="12">
        <f t="shared" ref="D262:E262" si="469">IF(D238=0,D202,D213)</f>
        <v>7.8892790262171886E-2</v>
      </c>
      <c r="E262" s="12" t="e">
        <f t="shared" si="469"/>
        <v>#N/A</v>
      </c>
      <c r="F262" s="12" t="e">
        <f t="shared" ref="F262:G262" si="470">IF(F238=0,F202,F213)</f>
        <v>#N/A</v>
      </c>
      <c r="G262" s="12" t="e">
        <f t="shared" si="470"/>
        <v>#N/A</v>
      </c>
      <c r="H262" s="12" t="e">
        <f t="shared" ref="H262" si="471">IF(H238=0,H202,H213)</f>
        <v>#N/A</v>
      </c>
    </row>
    <row r="263" spans="1:8" ht="14.25" hidden="1" x14ac:dyDescent="0.25">
      <c r="A263" s="5" t="s">
        <v>2274</v>
      </c>
      <c r="B263" s="2" t="s">
        <v>2426</v>
      </c>
      <c r="C263" s="2" t="s">
        <v>407</v>
      </c>
      <c r="D263" s="12">
        <f t="shared" ref="D263:E263" si="472">IF(D239=0,0,D215)</f>
        <v>-0.1786072097378284</v>
      </c>
      <c r="E263" s="12" t="e">
        <f t="shared" si="472"/>
        <v>#N/A</v>
      </c>
      <c r="F263" s="12" t="e">
        <f t="shared" ref="F263:G263" si="473">IF(F239=0,0,F215)</f>
        <v>#N/A</v>
      </c>
      <c r="G263" s="12" t="e">
        <f t="shared" si="473"/>
        <v>#N/A</v>
      </c>
      <c r="H263" s="12" t="e">
        <f t="shared" ref="H263" si="474">IF(H239=0,0,H215)</f>
        <v>#N/A</v>
      </c>
    </row>
    <row r="264" spans="1:8" ht="14.25" hidden="1" x14ac:dyDescent="0.25">
      <c r="A264" s="5" t="s">
        <v>2502</v>
      </c>
      <c r="B264" s="2" t="s">
        <v>2427</v>
      </c>
      <c r="C264" s="2" t="s">
        <v>407</v>
      </c>
      <c r="D264" s="12">
        <f t="shared" ref="D264:E264" si="475">IF(D240=0,D204,D215)</f>
        <v>-3.0847144194756577</v>
      </c>
      <c r="E264" s="12" t="e">
        <f t="shared" si="475"/>
        <v>#N/A</v>
      </c>
      <c r="F264" s="12" t="e">
        <f t="shared" ref="F264:G264" si="476">IF(F240=0,F204,F215)</f>
        <v>#N/A</v>
      </c>
      <c r="G264" s="12" t="e">
        <f t="shared" si="476"/>
        <v>#N/A</v>
      </c>
      <c r="H264" s="12" t="e">
        <f t="shared" ref="H264" si="477">IF(H240=0,H204,H215)</f>
        <v>#N/A</v>
      </c>
    </row>
    <row r="265" spans="1:8" ht="14.25" hidden="1" x14ac:dyDescent="0.25">
      <c r="A265" s="5" t="s">
        <v>2276</v>
      </c>
      <c r="B265" s="2" t="s">
        <v>2428</v>
      </c>
      <c r="C265" s="2" t="s">
        <v>407</v>
      </c>
      <c r="D265" s="12">
        <f t="shared" ref="D265:E265" si="478">IF(D241=0,0,D217)</f>
        <v>0</v>
      </c>
      <c r="E265" s="12" t="e">
        <f t="shared" si="478"/>
        <v>#N/A</v>
      </c>
      <c r="F265" s="12" t="e">
        <f t="shared" ref="F265:G265" si="479">IF(F241=0,0,F217)</f>
        <v>#N/A</v>
      </c>
      <c r="G265" s="12" t="e">
        <f t="shared" si="479"/>
        <v>#N/A</v>
      </c>
      <c r="H265" s="12" t="e">
        <f t="shared" ref="H265" si="480">IF(H241=0,0,H217)</f>
        <v>#N/A</v>
      </c>
    </row>
    <row r="266" spans="1:8" ht="14.25" hidden="1" x14ac:dyDescent="0.25">
      <c r="A266" s="5" t="s">
        <v>2503</v>
      </c>
      <c r="B266" s="2" t="s">
        <v>2429</v>
      </c>
      <c r="C266" s="2" t="s">
        <v>407</v>
      </c>
      <c r="D266" s="12">
        <f t="shared" ref="D266:E266" si="481">IF(D242=0,D206,D217)</f>
        <v>-6.0697144194756572</v>
      </c>
      <c r="E266" s="12" t="e">
        <f t="shared" si="481"/>
        <v>#N/A</v>
      </c>
      <c r="F266" s="12" t="e">
        <f t="shared" ref="F266:G266" si="482">IF(F242=0,F206,F217)</f>
        <v>#N/A</v>
      </c>
      <c r="G266" s="12" t="e">
        <f t="shared" si="482"/>
        <v>#N/A</v>
      </c>
      <c r="H266" s="12" t="e">
        <f t="shared" ref="H266" si="483">IF(H242=0,H206,H217)</f>
        <v>#N/A</v>
      </c>
    </row>
    <row r="267" spans="1:8" ht="14.25" hidden="1" x14ac:dyDescent="0.25">
      <c r="A267" s="5" t="s">
        <v>2278</v>
      </c>
      <c r="B267" s="2" t="s">
        <v>2430</v>
      </c>
      <c r="C267" s="2" t="s">
        <v>407</v>
      </c>
      <c r="D267" s="12">
        <f t="shared" ref="D267:E267" si="484">IF(D243=0,0,D219)</f>
        <v>0</v>
      </c>
      <c r="E267" s="12" t="e">
        <f t="shared" si="484"/>
        <v>#N/A</v>
      </c>
      <c r="F267" s="12" t="e">
        <f t="shared" ref="F267:G267" si="485">IF(F243=0,0,F219)</f>
        <v>#N/A</v>
      </c>
      <c r="G267" s="12" t="e">
        <f t="shared" si="485"/>
        <v>#N/A</v>
      </c>
      <c r="H267" s="12" t="e">
        <f t="shared" ref="H267" si="486">IF(H243=0,0,H219)</f>
        <v>#N/A</v>
      </c>
    </row>
    <row r="268" spans="1:8" hidden="1" x14ac:dyDescent="0.2"/>
    <row r="269" spans="1:8" ht="25.5" hidden="1" x14ac:dyDescent="0.2">
      <c r="A269" s="59" t="s">
        <v>2468</v>
      </c>
    </row>
    <row r="270" spans="1:8" ht="15" hidden="1" x14ac:dyDescent="0.25">
      <c r="A270" s="5" t="s">
        <v>2499</v>
      </c>
      <c r="B270" s="2" t="s">
        <v>2431</v>
      </c>
      <c r="C270" s="3" t="s">
        <v>906</v>
      </c>
      <c r="D270" s="12">
        <f t="shared" ref="D270:E279" si="487">D246*D258</f>
        <v>46.553495812499989</v>
      </c>
      <c r="E270" s="12" t="e">
        <f t="shared" si="487"/>
        <v>#N/A</v>
      </c>
      <c r="F270" s="12" t="e">
        <f t="shared" ref="F270:G270" si="488">F246*F258</f>
        <v>#N/A</v>
      </c>
      <c r="G270" s="12" t="e">
        <f t="shared" si="488"/>
        <v>#N/A</v>
      </c>
      <c r="H270" s="12" t="e">
        <f t="shared" ref="H270" si="489">H246*H258</f>
        <v>#N/A</v>
      </c>
    </row>
    <row r="271" spans="1:8" ht="15" hidden="1" x14ac:dyDescent="0.25">
      <c r="A271" s="5" t="s">
        <v>2270</v>
      </c>
      <c r="B271" s="2" t="s">
        <v>2432</v>
      </c>
      <c r="C271" s="3" t="s">
        <v>906</v>
      </c>
      <c r="D271" s="12">
        <f t="shared" si="487"/>
        <v>0</v>
      </c>
      <c r="E271" s="12" t="e">
        <f t="shared" si="487"/>
        <v>#N/A</v>
      </c>
      <c r="F271" s="12" t="e">
        <f t="shared" ref="F271:G271" si="490">F247*F259</f>
        <v>#N/A</v>
      </c>
      <c r="G271" s="12" t="e">
        <f t="shared" si="490"/>
        <v>#N/A</v>
      </c>
      <c r="H271" s="12" t="e">
        <f t="shared" ref="H271" si="491">H247*H259</f>
        <v>#N/A</v>
      </c>
    </row>
    <row r="272" spans="1:8" ht="15" hidden="1" x14ac:dyDescent="0.25">
      <c r="A272" s="5" t="s">
        <v>2500</v>
      </c>
      <c r="B272" s="2" t="s">
        <v>2433</v>
      </c>
      <c r="C272" s="3" t="s">
        <v>2263</v>
      </c>
      <c r="D272" s="12">
        <f t="shared" si="487"/>
        <v>17.934105881788387</v>
      </c>
      <c r="E272" s="12" t="e">
        <f t="shared" si="487"/>
        <v>#N/A</v>
      </c>
      <c r="F272" s="12" t="e">
        <f t="shared" ref="F272:G272" si="492">F248*F260</f>
        <v>#N/A</v>
      </c>
      <c r="G272" s="12" t="e">
        <f t="shared" si="492"/>
        <v>#N/A</v>
      </c>
      <c r="H272" s="12" t="e">
        <f t="shared" ref="H272" si="493">H248*H260</f>
        <v>#N/A</v>
      </c>
    </row>
    <row r="273" spans="1:8" ht="15" hidden="1" x14ac:dyDescent="0.25">
      <c r="A273" s="5" t="s">
        <v>2272</v>
      </c>
      <c r="B273" s="2" t="s">
        <v>2434</v>
      </c>
      <c r="C273" s="3" t="s">
        <v>2263</v>
      </c>
      <c r="D273" s="12">
        <f t="shared" si="487"/>
        <v>0</v>
      </c>
      <c r="E273" s="12" t="e">
        <f t="shared" si="487"/>
        <v>#N/A</v>
      </c>
      <c r="F273" s="12" t="e">
        <f t="shared" ref="F273:G273" si="494">F249*F261</f>
        <v>#N/A</v>
      </c>
      <c r="G273" s="12" t="e">
        <f t="shared" si="494"/>
        <v>#N/A</v>
      </c>
      <c r="H273" s="12" t="e">
        <f t="shared" ref="H273" si="495">H249*H261</f>
        <v>#N/A</v>
      </c>
    </row>
    <row r="274" spans="1:8" ht="15" hidden="1" x14ac:dyDescent="0.25">
      <c r="A274" s="5" t="s">
        <v>2501</v>
      </c>
      <c r="B274" s="2" t="s">
        <v>2435</v>
      </c>
      <c r="C274" s="3" t="s">
        <v>2263</v>
      </c>
      <c r="D274" s="12">
        <f t="shared" si="487"/>
        <v>9.970963913272371E-2</v>
      </c>
      <c r="E274" s="12" t="e">
        <f t="shared" si="487"/>
        <v>#N/A</v>
      </c>
      <c r="F274" s="12" t="e">
        <f t="shared" ref="F274:G274" si="496">F250*F262</f>
        <v>#N/A</v>
      </c>
      <c r="G274" s="12" t="e">
        <f t="shared" si="496"/>
        <v>#N/A</v>
      </c>
      <c r="H274" s="12" t="e">
        <f t="shared" ref="H274" si="497">H250*H262</f>
        <v>#N/A</v>
      </c>
    </row>
    <row r="275" spans="1:8" ht="15" hidden="1" x14ac:dyDescent="0.25">
      <c r="A275" s="5" t="s">
        <v>2274</v>
      </c>
      <c r="B275" s="2" t="s">
        <v>2436</v>
      </c>
      <c r="C275" s="3" t="s">
        <v>2263</v>
      </c>
      <c r="D275" s="12">
        <f t="shared" si="487"/>
        <v>-0.51104657663272868</v>
      </c>
      <c r="E275" s="12" t="e">
        <f t="shared" si="487"/>
        <v>#N/A</v>
      </c>
      <c r="F275" s="12" t="e">
        <f t="shared" ref="F275:G275" si="498">F251*F263</f>
        <v>#N/A</v>
      </c>
      <c r="G275" s="12" t="e">
        <f t="shared" si="498"/>
        <v>#N/A</v>
      </c>
      <c r="H275" s="12" t="e">
        <f t="shared" ref="H275" si="499">H251*H263</f>
        <v>#N/A</v>
      </c>
    </row>
    <row r="276" spans="1:8" ht="15" hidden="1" x14ac:dyDescent="0.25">
      <c r="A276" s="5" t="s">
        <v>2502</v>
      </c>
      <c r="B276" s="2" t="s">
        <v>2437</v>
      </c>
      <c r="C276" s="3" t="s">
        <v>2263</v>
      </c>
      <c r="D276" s="12">
        <f t="shared" si="487"/>
        <v>-4.9639995616807147</v>
      </c>
      <c r="E276" s="12" t="e">
        <f t="shared" si="487"/>
        <v>#N/A</v>
      </c>
      <c r="F276" s="12" t="e">
        <f t="shared" ref="F276:G276" si="500">F252*F264</f>
        <v>#N/A</v>
      </c>
      <c r="G276" s="12" t="e">
        <f t="shared" si="500"/>
        <v>#N/A</v>
      </c>
      <c r="H276" s="12" t="e">
        <f t="shared" ref="H276" si="501">H252*H264</f>
        <v>#N/A</v>
      </c>
    </row>
    <row r="277" spans="1:8" ht="15" hidden="1" x14ac:dyDescent="0.25">
      <c r="A277" s="5" t="s">
        <v>2276</v>
      </c>
      <c r="B277" s="2" t="s">
        <v>2438</v>
      </c>
      <c r="C277" s="3" t="s">
        <v>2263</v>
      </c>
      <c r="D277" s="12">
        <f t="shared" si="487"/>
        <v>0</v>
      </c>
      <c r="E277" s="12" t="e">
        <f t="shared" si="487"/>
        <v>#N/A</v>
      </c>
      <c r="F277" s="12" t="e">
        <f t="shared" ref="F277:G277" si="502">F253*F265</f>
        <v>#N/A</v>
      </c>
      <c r="G277" s="12" t="e">
        <f t="shared" si="502"/>
        <v>#N/A</v>
      </c>
      <c r="H277" s="12" t="e">
        <f t="shared" ref="H277" si="503">H253*H265</f>
        <v>#N/A</v>
      </c>
    </row>
    <row r="278" spans="1:8" ht="15" hidden="1" x14ac:dyDescent="0.25">
      <c r="A278" s="5" t="s">
        <v>2503</v>
      </c>
      <c r="B278" s="2" t="s">
        <v>2439</v>
      </c>
      <c r="C278" s="3" t="s">
        <v>2263</v>
      </c>
      <c r="D278" s="12">
        <f t="shared" si="487"/>
        <v>-25.038482437500004</v>
      </c>
      <c r="E278" s="12" t="e">
        <f t="shared" si="487"/>
        <v>#N/A</v>
      </c>
      <c r="F278" s="12" t="e">
        <f t="shared" ref="F278:G278" si="504">F254*F266</f>
        <v>#N/A</v>
      </c>
      <c r="G278" s="12" t="e">
        <f t="shared" si="504"/>
        <v>#N/A</v>
      </c>
      <c r="H278" s="12" t="e">
        <f t="shared" ref="H278" si="505">H254*H266</f>
        <v>#N/A</v>
      </c>
    </row>
    <row r="279" spans="1:8" ht="15" hidden="1" x14ac:dyDescent="0.25">
      <c r="A279" s="5" t="s">
        <v>2278</v>
      </c>
      <c r="B279" s="2" t="s">
        <v>2440</v>
      </c>
      <c r="C279" s="3" t="s">
        <v>2263</v>
      </c>
      <c r="D279" s="12">
        <f t="shared" si="487"/>
        <v>0</v>
      </c>
      <c r="E279" s="12" t="e">
        <f t="shared" si="487"/>
        <v>#N/A</v>
      </c>
      <c r="F279" s="12" t="e">
        <f t="shared" ref="F279:G279" si="506">F255*F267</f>
        <v>#N/A</v>
      </c>
      <c r="G279" s="12" t="e">
        <f t="shared" si="506"/>
        <v>#N/A</v>
      </c>
      <c r="H279" s="12" t="e">
        <f t="shared" ref="H279" si="507">H255*H267</f>
        <v>#N/A</v>
      </c>
    </row>
    <row r="280" spans="1:8" hidden="1" x14ac:dyDescent="0.2"/>
    <row r="281" spans="1:8" ht="15" hidden="1" x14ac:dyDescent="0.25">
      <c r="A281" s="5" t="s">
        <v>2443</v>
      </c>
      <c r="B281" s="2" t="s">
        <v>2441</v>
      </c>
      <c r="C281" s="3" t="s">
        <v>2263</v>
      </c>
      <c r="D281" s="12">
        <f t="shared" ref="D281:E281" si="508">ABS(SUMIF(D270:D279,"&gt;0"))</f>
        <v>64.587311333421098</v>
      </c>
      <c r="E281" s="12">
        <f t="shared" si="508"/>
        <v>0</v>
      </c>
      <c r="F281" s="12">
        <f t="shared" ref="F281:G281" si="509">ABS(SUMIF(F270:F279,"&gt;0"))</f>
        <v>0</v>
      </c>
      <c r="G281" s="12">
        <f t="shared" si="509"/>
        <v>0</v>
      </c>
      <c r="H281" s="12">
        <f t="shared" ref="H281" si="510">ABS(SUMIF(H270:H279,"&gt;0"))</f>
        <v>0</v>
      </c>
    </row>
    <row r="282" spans="1:8" ht="15" hidden="1" x14ac:dyDescent="0.25">
      <c r="A282" s="5" t="s">
        <v>2444</v>
      </c>
      <c r="B282" s="2" t="s">
        <v>2442</v>
      </c>
      <c r="C282" s="3" t="s">
        <v>2263</v>
      </c>
      <c r="D282" s="12">
        <f t="shared" ref="D282:E282" si="511">ABS(SUMIF(D270:D279,"&lt;0"))</f>
        <v>30.513528575813446</v>
      </c>
      <c r="E282" s="12">
        <f t="shared" si="511"/>
        <v>0</v>
      </c>
      <c r="F282" s="12">
        <f t="shared" ref="F282:G282" si="512">ABS(SUMIF(F270:F279,"&lt;0"))</f>
        <v>0</v>
      </c>
      <c r="G282" s="12">
        <f t="shared" si="512"/>
        <v>0</v>
      </c>
      <c r="H282" s="12">
        <f t="shared" ref="H282" si="513">ABS(SUMIF(H270:H279,"&lt;0"))</f>
        <v>0</v>
      </c>
    </row>
    <row r="283" spans="1:8" hidden="1" x14ac:dyDescent="0.2"/>
    <row r="284" spans="1:8" ht="15" hidden="1" x14ac:dyDescent="0.25">
      <c r="A284" s="37" t="s">
        <v>413</v>
      </c>
      <c r="B284" s="40" t="s">
        <v>2408</v>
      </c>
      <c r="C284" s="41" t="s">
        <v>2409</v>
      </c>
      <c r="D284" s="56">
        <f t="shared" ref="D284:E284" si="514">D281+D282</f>
        <v>95.100839909234537</v>
      </c>
      <c r="E284" s="56">
        <f t="shared" si="514"/>
        <v>0</v>
      </c>
      <c r="F284" s="56">
        <f t="shared" ref="F284:G284" si="515">F281+F282</f>
        <v>0</v>
      </c>
      <c r="G284" s="56">
        <f t="shared" si="515"/>
        <v>0</v>
      </c>
      <c r="H284" s="56">
        <f t="shared" ref="H284" si="516">H281+H282</f>
        <v>0</v>
      </c>
    </row>
    <row r="285" spans="1:8" hidden="1" x14ac:dyDescent="0.2">
      <c r="D285" s="61"/>
      <c r="E285" s="61"/>
      <c r="F285" s="61"/>
      <c r="G285" s="61"/>
      <c r="H285" s="61"/>
    </row>
    <row r="286" spans="1:8" hidden="1" x14ac:dyDescent="0.2">
      <c r="A286" s="16" t="s">
        <v>416</v>
      </c>
      <c r="C286" s="3"/>
    </row>
    <row r="287" spans="1:8" ht="15" hidden="1" x14ac:dyDescent="0.25">
      <c r="A287" s="5" t="s">
        <v>2487</v>
      </c>
      <c r="B287" s="2" t="s">
        <v>2362</v>
      </c>
      <c r="C287" s="3" t="s">
        <v>906</v>
      </c>
      <c r="D287" s="10">
        <f t="shared" ref="D287:E291" si="517">(D69*D77^2)/4</f>
        <v>8.2606128749999996</v>
      </c>
      <c r="E287" s="10">
        <f t="shared" si="517"/>
        <v>0</v>
      </c>
      <c r="F287" s="10">
        <f t="shared" ref="F287:G287" si="518">(F69*F77^2)/4</f>
        <v>0</v>
      </c>
      <c r="G287" s="10">
        <f t="shared" si="518"/>
        <v>0</v>
      </c>
      <c r="H287" s="10">
        <f t="shared" ref="H287" si="519">(H69*H77^2)/4</f>
        <v>0</v>
      </c>
    </row>
    <row r="288" spans="1:8" ht="15" hidden="1" x14ac:dyDescent="0.25">
      <c r="A288" s="5" t="s">
        <v>2488</v>
      </c>
      <c r="B288" s="2" t="s">
        <v>2363</v>
      </c>
      <c r="C288" s="3" t="s">
        <v>906</v>
      </c>
      <c r="D288" s="10">
        <f t="shared" si="517"/>
        <v>0.23649043749999996</v>
      </c>
      <c r="E288" s="10">
        <f t="shared" si="517"/>
        <v>0</v>
      </c>
      <c r="F288" s="10">
        <f t="shared" ref="F288:G288" si="520">(F70*F78^2)/4</f>
        <v>0</v>
      </c>
      <c r="G288" s="10">
        <f t="shared" si="520"/>
        <v>0</v>
      </c>
      <c r="H288" s="10">
        <f t="shared" ref="H288" si="521">(H70*H78^2)/4</f>
        <v>0</v>
      </c>
    </row>
    <row r="289" spans="1:8" ht="15" hidden="1" x14ac:dyDescent="0.25">
      <c r="A289" s="5" t="s">
        <v>2489</v>
      </c>
      <c r="B289" s="2" t="s">
        <v>2364</v>
      </c>
      <c r="C289" s="3" t="s">
        <v>2263</v>
      </c>
      <c r="D289" s="10">
        <f t="shared" si="517"/>
        <v>8.2606128749999996</v>
      </c>
      <c r="E289" s="10">
        <f t="shared" si="517"/>
        <v>0</v>
      </c>
      <c r="F289" s="10">
        <f t="shared" ref="F289:G289" si="522">(F71*F79^2)/4</f>
        <v>0</v>
      </c>
      <c r="G289" s="10">
        <f t="shared" si="522"/>
        <v>0</v>
      </c>
      <c r="H289" s="10">
        <f t="shared" ref="H289" si="523">(H71*H79^2)/4</f>
        <v>0</v>
      </c>
    </row>
    <row r="290" spans="1:8" ht="15" hidden="1" x14ac:dyDescent="0.25">
      <c r="A290" s="5" t="s">
        <v>2490</v>
      </c>
      <c r="B290" s="2" t="s">
        <v>2365</v>
      </c>
      <c r="C290" s="3" t="s">
        <v>2263</v>
      </c>
      <c r="D290" s="10">
        <f t="shared" si="517"/>
        <v>0.11868034374999999</v>
      </c>
      <c r="E290" s="10" t="e">
        <f t="shared" si="517"/>
        <v>#N/A</v>
      </c>
      <c r="F290" s="10" t="e">
        <f t="shared" ref="F290:G290" si="524">(F72*F80^2)/4</f>
        <v>#N/A</v>
      </c>
      <c r="G290" s="10" t="e">
        <f t="shared" si="524"/>
        <v>#N/A</v>
      </c>
      <c r="H290" s="10" t="e">
        <f t="shared" ref="H290" si="525">(H72*H80^2)/4</f>
        <v>#N/A</v>
      </c>
    </row>
    <row r="291" spans="1:8" ht="15" hidden="1" x14ac:dyDescent="0.25">
      <c r="A291" s="5" t="s">
        <v>2491</v>
      </c>
      <c r="B291" s="2" t="s">
        <v>2366</v>
      </c>
      <c r="C291" s="3" t="s">
        <v>2263</v>
      </c>
      <c r="D291" s="10">
        <f t="shared" si="517"/>
        <v>8.2606128749999996</v>
      </c>
      <c r="E291" s="10" t="e">
        <f t="shared" si="517"/>
        <v>#N/A</v>
      </c>
      <c r="F291" s="10" t="e">
        <f t="shared" ref="F291:G291" si="526">(F73*F81^2)/4</f>
        <v>#N/A</v>
      </c>
      <c r="G291" s="10" t="e">
        <f t="shared" si="526"/>
        <v>#N/A</v>
      </c>
      <c r="H291" s="10" t="e">
        <f t="shared" ref="H291" si="527">(H73*H81^2)/4</f>
        <v>#N/A</v>
      </c>
    </row>
    <row r="292" spans="1:8" ht="15" hidden="1" x14ac:dyDescent="0.25">
      <c r="A292" s="37" t="s">
        <v>2360</v>
      </c>
      <c r="B292" s="40" t="s">
        <v>2361</v>
      </c>
      <c r="C292" s="41" t="s">
        <v>2359</v>
      </c>
      <c r="D292" s="55">
        <f t="shared" ref="D292:E292" si="528">SUM(D287:D291)</f>
        <v>25.137009406250002</v>
      </c>
      <c r="E292" s="55" t="e">
        <f t="shared" si="528"/>
        <v>#N/A</v>
      </c>
      <c r="F292" s="55" t="e">
        <f t="shared" ref="F292:G292" si="529">SUM(F287:F291)</f>
        <v>#N/A</v>
      </c>
      <c r="G292" s="55" t="e">
        <f t="shared" si="529"/>
        <v>#N/A</v>
      </c>
      <c r="H292" s="55" t="e">
        <f t="shared" ref="H292" si="530">SUM(H287:H291)</f>
        <v>#N/A</v>
      </c>
    </row>
    <row r="293" spans="1:8" hidden="1" x14ac:dyDescent="0.2"/>
    <row r="294" spans="1:8" hidden="1" x14ac:dyDescent="0.2">
      <c r="A294" s="16" t="s">
        <v>962</v>
      </c>
    </row>
    <row r="295" spans="1:8" ht="15" hidden="1" x14ac:dyDescent="0.25">
      <c r="A295" s="5" t="s">
        <v>2487</v>
      </c>
      <c r="B295" s="2" t="s">
        <v>2352</v>
      </c>
      <c r="C295" s="3" t="s">
        <v>873</v>
      </c>
      <c r="D295" s="12">
        <f t="shared" ref="D295:E295" si="531">(D77*D69^3)/3</f>
        <v>0.36469763625000001</v>
      </c>
      <c r="E295" s="12">
        <f t="shared" si="531"/>
        <v>0</v>
      </c>
      <c r="F295" s="12">
        <f t="shared" ref="F295:G295" si="532">(F77*F69^3)/3</f>
        <v>0</v>
      </c>
      <c r="G295" s="12">
        <f t="shared" si="532"/>
        <v>0</v>
      </c>
      <c r="H295" s="12">
        <f t="shared" ref="H295" si="533">(H77*H69^3)/3</f>
        <v>0</v>
      </c>
    </row>
    <row r="296" spans="1:8" ht="15" hidden="1" x14ac:dyDescent="0.25">
      <c r="A296" s="5" t="s">
        <v>2488</v>
      </c>
      <c r="B296" s="2" t="s">
        <v>2353</v>
      </c>
      <c r="C296" s="3" t="s">
        <v>873</v>
      </c>
      <c r="D296" s="12">
        <f t="shared" ref="D296:E296" si="534">(D70*D78^3)/3</f>
        <v>9.3019572083333321E-2</v>
      </c>
      <c r="E296" s="12">
        <f t="shared" si="534"/>
        <v>0</v>
      </c>
      <c r="F296" s="12">
        <f t="shared" ref="F296:G296" si="535">(F70*F78^3)/3</f>
        <v>0</v>
      </c>
      <c r="G296" s="12">
        <f t="shared" si="535"/>
        <v>0</v>
      </c>
      <c r="H296" s="12">
        <f t="shared" ref="H296" si="536">(H70*H78^3)/3</f>
        <v>0</v>
      </c>
    </row>
    <row r="297" spans="1:8" ht="15" hidden="1" x14ac:dyDescent="0.25">
      <c r="A297" s="5" t="s">
        <v>2489</v>
      </c>
      <c r="B297" s="2" t="s">
        <v>2354</v>
      </c>
      <c r="C297" s="3" t="s">
        <v>873</v>
      </c>
      <c r="D297" s="12">
        <f t="shared" ref="D297:E299" si="537">(D79*D71^3)/3</f>
        <v>0.36469763625000001</v>
      </c>
      <c r="E297" s="12">
        <f t="shared" si="537"/>
        <v>0</v>
      </c>
      <c r="F297" s="12">
        <f t="shared" ref="F297:G297" si="538">(F79*F71^3)/3</f>
        <v>0</v>
      </c>
      <c r="G297" s="12">
        <f t="shared" si="538"/>
        <v>0</v>
      </c>
      <c r="H297" s="12">
        <f t="shared" ref="H297" si="539">(H79*H71^3)/3</f>
        <v>0</v>
      </c>
    </row>
    <row r="298" spans="1:8" ht="15" hidden="1" x14ac:dyDescent="0.25">
      <c r="A298" s="5" t="s">
        <v>2490</v>
      </c>
      <c r="B298" s="2" t="s">
        <v>2355</v>
      </c>
      <c r="C298" s="3" t="s">
        <v>873</v>
      </c>
      <c r="D298" s="12">
        <f t="shared" ref="D298:E298" si="540">(D72*D80^3)/3</f>
        <v>4.668093520833333E-2</v>
      </c>
      <c r="E298" s="12" t="e">
        <f t="shared" si="540"/>
        <v>#N/A</v>
      </c>
      <c r="F298" s="12" t="e">
        <f t="shared" ref="F298:G298" si="541">(F72*F80^3)/3</f>
        <v>#N/A</v>
      </c>
      <c r="G298" s="12" t="e">
        <f t="shared" si="541"/>
        <v>#N/A</v>
      </c>
      <c r="H298" s="12" t="e">
        <f t="shared" ref="H298" si="542">(H72*H80^3)/3</f>
        <v>#N/A</v>
      </c>
    </row>
    <row r="299" spans="1:8" ht="15" hidden="1" x14ac:dyDescent="0.25">
      <c r="A299" s="5" t="s">
        <v>2491</v>
      </c>
      <c r="B299" s="2" t="s">
        <v>2356</v>
      </c>
      <c r="C299" s="3" t="s">
        <v>873</v>
      </c>
      <c r="D299" s="12">
        <f t="shared" si="537"/>
        <v>0.36469763625000001</v>
      </c>
      <c r="E299" s="12" t="e">
        <f t="shared" si="537"/>
        <v>#N/A</v>
      </c>
      <c r="F299" s="12" t="e">
        <f t="shared" ref="F299:G299" si="543">(F81*F73^3)/3</f>
        <v>#N/A</v>
      </c>
      <c r="G299" s="12" t="e">
        <f t="shared" si="543"/>
        <v>#N/A</v>
      </c>
      <c r="H299" s="12" t="e">
        <f t="shared" ref="H299" si="544">(H81*H73^3)/3</f>
        <v>#N/A</v>
      </c>
    </row>
    <row r="300" spans="1:8" ht="15" hidden="1" x14ac:dyDescent="0.2">
      <c r="A300" s="37" t="s">
        <v>2358</v>
      </c>
      <c r="B300" s="40" t="s">
        <v>2357</v>
      </c>
      <c r="C300" s="41" t="s">
        <v>2343</v>
      </c>
      <c r="D300" s="55">
        <f t="shared" ref="D300:E300" si="545">SUM(D295:D299)</f>
        <v>1.2337934160416668</v>
      </c>
      <c r="E300" s="55" t="e">
        <f t="shared" si="545"/>
        <v>#N/A</v>
      </c>
      <c r="F300" s="55" t="e">
        <f t="shared" ref="F300:G300" si="546">SUM(F295:F299)</f>
        <v>#N/A</v>
      </c>
      <c r="G300" s="55" t="e">
        <f t="shared" si="546"/>
        <v>#N/A</v>
      </c>
      <c r="H300" s="55" t="e">
        <f t="shared" ref="H300" si="547">SUM(H295:H299)</f>
        <v>#N/A</v>
      </c>
    </row>
    <row r="301" spans="1:8" hidden="1" x14ac:dyDescent="0.2"/>
    <row r="302" spans="1:8" hidden="1" x14ac:dyDescent="0.2">
      <c r="A302" s="66" t="s">
        <v>422</v>
      </c>
    </row>
    <row r="303" spans="1:8" ht="14.25" hidden="1" x14ac:dyDescent="0.25">
      <c r="B303" s="2" t="s">
        <v>916</v>
      </c>
      <c r="C303" s="2" t="s">
        <v>407</v>
      </c>
      <c r="D303" s="2">
        <f t="shared" ref="D303:E303" si="548">D74-(D69+D73)/2</f>
        <v>17.355</v>
      </c>
      <c r="E303" s="2" t="e">
        <f t="shared" si="548"/>
        <v>#N/A</v>
      </c>
      <c r="F303" s="2" t="e">
        <f t="shared" ref="F303:G303" si="549">F74-(F69+F73)/2</f>
        <v>#N/A</v>
      </c>
      <c r="G303" s="2" t="e">
        <f t="shared" si="549"/>
        <v>#N/A</v>
      </c>
      <c r="H303" s="2" t="e">
        <f t="shared" ref="H303" si="550">H74-(H69+H73)/2</f>
        <v>#N/A</v>
      </c>
    </row>
    <row r="304" spans="1:8" hidden="1" x14ac:dyDescent="0.2">
      <c r="B304" s="2" t="s">
        <v>1918</v>
      </c>
      <c r="D304" s="12">
        <f t="shared" ref="D304:E304" si="551">1/((D316/D320)+1)</f>
        <v>0.5</v>
      </c>
      <c r="E304" s="12" t="e">
        <f t="shared" si="551"/>
        <v>#N/A</v>
      </c>
      <c r="F304" s="12" t="e">
        <f t="shared" ref="F304:G304" si="552">1/((F316/F320)+1)</f>
        <v>#N/A</v>
      </c>
      <c r="G304" s="12" t="e">
        <f t="shared" si="552"/>
        <v>#N/A</v>
      </c>
      <c r="H304" s="12" t="e">
        <f t="shared" ref="H304" si="553">1/((H316/H320)+1)</f>
        <v>#N/A</v>
      </c>
    </row>
    <row r="305" spans="1:8" ht="15" hidden="1" x14ac:dyDescent="0.25">
      <c r="A305" s="37" t="s">
        <v>422</v>
      </c>
      <c r="B305" s="40" t="s">
        <v>2367</v>
      </c>
      <c r="C305" s="41" t="s">
        <v>2368</v>
      </c>
      <c r="D305" s="55">
        <f t="shared" ref="D305:E305" si="554">D316*D304*D303^2</f>
        <v>3321.565122288453</v>
      </c>
      <c r="E305" s="55" t="e">
        <f t="shared" si="554"/>
        <v>#N/A</v>
      </c>
      <c r="F305" s="55" t="e">
        <f t="shared" ref="F305:G305" si="555">F316*F304*F303^2</f>
        <v>#N/A</v>
      </c>
      <c r="G305" s="55" t="e">
        <f t="shared" si="555"/>
        <v>#N/A</v>
      </c>
      <c r="H305" s="55" t="e">
        <f t="shared" ref="H305" si="556">H316*H304*H303^2</f>
        <v>#N/A</v>
      </c>
    </row>
    <row r="306" spans="1:8" hidden="1" x14ac:dyDescent="0.2"/>
    <row r="307" spans="1:8" ht="15" hidden="1" x14ac:dyDescent="0.25">
      <c r="A307" s="13" t="s">
        <v>953</v>
      </c>
      <c r="B307" s="2" t="s">
        <v>955</v>
      </c>
      <c r="C307" s="3" t="s">
        <v>2263</v>
      </c>
      <c r="D307" s="6">
        <f t="shared" ref="D307:E307" si="557">D138/D106</f>
        <v>79.628012841491909</v>
      </c>
      <c r="E307" s="6" t="e">
        <f t="shared" si="557"/>
        <v>#N/A</v>
      </c>
      <c r="F307" s="6" t="e">
        <f t="shared" ref="F307:G307" si="558">F138/F106</f>
        <v>#N/A</v>
      </c>
      <c r="G307" s="6" t="e">
        <f t="shared" si="558"/>
        <v>#N/A</v>
      </c>
      <c r="H307" s="6" t="e">
        <f t="shared" ref="H307" si="559">H138/H106</f>
        <v>#N/A</v>
      </c>
    </row>
    <row r="308" spans="1:8" ht="15" hidden="1" x14ac:dyDescent="0.25">
      <c r="A308" s="13" t="s">
        <v>954</v>
      </c>
      <c r="B308" s="2" t="s">
        <v>956</v>
      </c>
      <c r="C308" s="3" t="s">
        <v>906</v>
      </c>
      <c r="D308" s="6">
        <f t="shared" ref="D308:E308" si="560">D138/D107</f>
        <v>91.621250185915741</v>
      </c>
      <c r="E308" s="6" t="e">
        <f t="shared" si="560"/>
        <v>#N/A</v>
      </c>
      <c r="F308" s="6" t="e">
        <f t="shared" ref="F308:G308" si="561">F138/F107</f>
        <v>#N/A</v>
      </c>
      <c r="G308" s="6" t="e">
        <f t="shared" si="561"/>
        <v>#N/A</v>
      </c>
      <c r="H308" s="6" t="e">
        <f t="shared" ref="H308" si="562">H138/H107</f>
        <v>#N/A</v>
      </c>
    </row>
    <row r="309" spans="1:8" hidden="1" x14ac:dyDescent="0.2"/>
    <row r="310" spans="1:8" ht="15" hidden="1" x14ac:dyDescent="0.25">
      <c r="A310" s="13" t="s">
        <v>417</v>
      </c>
      <c r="B310" s="2" t="s">
        <v>911</v>
      </c>
      <c r="C310" s="3" t="s">
        <v>2263</v>
      </c>
      <c r="D310" s="6">
        <f t="shared" ref="D310:E310" si="563">D146/D148</f>
        <v>16.529946131229195</v>
      </c>
      <c r="E310" s="6" t="e">
        <f t="shared" si="563"/>
        <v>#N/A</v>
      </c>
      <c r="F310" s="6" t="e">
        <f t="shared" ref="F310:G310" si="564">F146/F148</f>
        <v>#N/A</v>
      </c>
      <c r="G310" s="6" t="e">
        <f t="shared" si="564"/>
        <v>#N/A</v>
      </c>
      <c r="H310" s="6" t="e">
        <f t="shared" ref="H310" si="565">H146/H148</f>
        <v>#N/A</v>
      </c>
    </row>
    <row r="311" spans="1:8" hidden="1" x14ac:dyDescent="0.2"/>
    <row r="312" spans="1:8" ht="14.25" hidden="1" x14ac:dyDescent="0.25">
      <c r="A312" s="13" t="s">
        <v>415</v>
      </c>
      <c r="B312" s="2" t="s">
        <v>908</v>
      </c>
      <c r="C312" s="3" t="s">
        <v>407</v>
      </c>
      <c r="D312" s="6">
        <f t="shared" ref="D312:E312" si="566">SQRT(D138/D89)</f>
        <v>6.6546357834013241</v>
      </c>
      <c r="E312" s="6" t="e">
        <f t="shared" si="566"/>
        <v>#N/A</v>
      </c>
      <c r="F312" s="6" t="e">
        <f t="shared" ref="F312:G312" si="567">SQRT(F138/F89)</f>
        <v>#N/A</v>
      </c>
      <c r="G312" s="6" t="e">
        <f t="shared" si="567"/>
        <v>#N/A</v>
      </c>
      <c r="H312" s="6" t="e">
        <f t="shared" ref="H312" si="568">SQRT(H138/H89)</f>
        <v>#N/A</v>
      </c>
    </row>
    <row r="313" spans="1:8" hidden="1" x14ac:dyDescent="0.2"/>
    <row r="314" spans="1:8" ht="14.25" hidden="1" x14ac:dyDescent="0.25">
      <c r="A314" s="13" t="s">
        <v>418</v>
      </c>
      <c r="B314" s="2" t="s">
        <v>912</v>
      </c>
      <c r="C314" s="3" t="s">
        <v>407</v>
      </c>
      <c r="D314" s="6">
        <f t="shared" ref="D314:E314" si="569">SQRT(D146/D89)</f>
        <v>1.9623763624977251</v>
      </c>
      <c r="E314" s="6" t="e">
        <f t="shared" si="569"/>
        <v>#N/A</v>
      </c>
      <c r="F314" s="6" t="e">
        <f t="shared" ref="F314:G314" si="570">SQRT(F146/F89)</f>
        <v>#N/A</v>
      </c>
      <c r="G314" s="6" t="e">
        <f t="shared" si="570"/>
        <v>#N/A</v>
      </c>
      <c r="H314" s="6" t="e">
        <f t="shared" ref="H314" si="571">SQRT(H146/H89)</f>
        <v>#N/A</v>
      </c>
    </row>
    <row r="315" spans="1:8" hidden="1" x14ac:dyDescent="0.2"/>
    <row r="316" spans="1:8" ht="15" hidden="1" x14ac:dyDescent="0.25">
      <c r="A316" s="13" t="s">
        <v>964</v>
      </c>
      <c r="B316" s="2" t="s">
        <v>963</v>
      </c>
      <c r="C316" s="3" t="s">
        <v>873</v>
      </c>
      <c r="D316" s="6">
        <f t="shared" ref="D316:E316" si="572">D141</f>
        <v>22.055836376250003</v>
      </c>
      <c r="E316" s="6">
        <f t="shared" si="572"/>
        <v>0</v>
      </c>
      <c r="F316" s="6">
        <f t="shared" ref="F316:G316" si="573">F141</f>
        <v>0</v>
      </c>
      <c r="G316" s="6">
        <f t="shared" si="573"/>
        <v>0</v>
      </c>
      <c r="H316" s="6">
        <f t="shared" ref="H316" si="574">H141</f>
        <v>0</v>
      </c>
    </row>
    <row r="317" spans="1:8" hidden="1" x14ac:dyDescent="0.2"/>
    <row r="318" spans="1:8" ht="15" hidden="1" x14ac:dyDescent="0.25">
      <c r="A318" s="13" t="s">
        <v>2285</v>
      </c>
      <c r="B318" s="2" t="s">
        <v>1825</v>
      </c>
      <c r="C318" s="3" t="s">
        <v>900</v>
      </c>
      <c r="D318" s="6">
        <f t="shared" ref="D318:E318" si="575">D84</f>
        <v>4.1251499999999997</v>
      </c>
      <c r="E318" s="6">
        <f t="shared" si="575"/>
        <v>0</v>
      </c>
      <c r="F318" s="6">
        <f t="shared" ref="F318:G318" si="576">F84</f>
        <v>0</v>
      </c>
      <c r="G318" s="6">
        <f t="shared" si="576"/>
        <v>0</v>
      </c>
      <c r="H318" s="6">
        <f t="shared" ref="H318" si="577">H84</f>
        <v>0</v>
      </c>
    </row>
    <row r="319" spans="1:8" hidden="1" x14ac:dyDescent="0.2"/>
    <row r="320" spans="1:8" ht="15" hidden="1" x14ac:dyDescent="0.25">
      <c r="A320" s="13" t="s">
        <v>1912</v>
      </c>
      <c r="B320" s="2" t="s">
        <v>1923</v>
      </c>
      <c r="C320" s="3" t="s">
        <v>873</v>
      </c>
      <c r="D320" s="6">
        <f t="shared" ref="D320:E320" si="578">D145</f>
        <v>22.055836376250003</v>
      </c>
      <c r="E320" s="6" t="e">
        <f t="shared" si="578"/>
        <v>#N/A</v>
      </c>
      <c r="F320" s="6" t="e">
        <f t="shared" ref="F320:G320" si="579">F145</f>
        <v>#N/A</v>
      </c>
      <c r="G320" s="6" t="e">
        <f t="shared" si="579"/>
        <v>#N/A</v>
      </c>
      <c r="H320" s="6" t="e">
        <f t="shared" ref="H320" si="580">H145</f>
        <v>#N/A</v>
      </c>
    </row>
    <row r="322" spans="1:10" x14ac:dyDescent="0.2">
      <c r="A322" s="214" t="s">
        <v>2583</v>
      </c>
      <c r="D322" s="214" t="s">
        <v>2584</v>
      </c>
    </row>
    <row r="324" spans="1:10" x14ac:dyDescent="0.2">
      <c r="A324" s="4"/>
      <c r="B324" s="4"/>
      <c r="C324" s="4"/>
      <c r="D324" s="4"/>
      <c r="E324" s="4"/>
      <c r="F324" s="4"/>
      <c r="G324" s="4"/>
      <c r="H324" s="4"/>
    </row>
    <row r="325" spans="1:10" x14ac:dyDescent="0.2">
      <c r="A325" s="4"/>
      <c r="B325" s="4"/>
      <c r="C325" s="4"/>
      <c r="D325" s="4"/>
      <c r="E325" s="4"/>
      <c r="F325" s="4"/>
      <c r="G325" s="4"/>
      <c r="H325" s="4"/>
    </row>
    <row r="326" spans="1:10" x14ac:dyDescent="0.2">
      <c r="A326" s="4"/>
      <c r="B326" s="4"/>
      <c r="C326" s="4"/>
      <c r="D326" s="4"/>
      <c r="E326" s="4"/>
      <c r="F326" s="4"/>
      <c r="G326" s="4"/>
      <c r="H326" s="4"/>
    </row>
    <row r="327" spans="1:10" x14ac:dyDescent="0.2">
      <c r="A327" s="4"/>
      <c r="B327" s="4"/>
      <c r="C327" s="4"/>
      <c r="D327" s="4"/>
      <c r="E327" s="4"/>
      <c r="F327" s="4"/>
      <c r="G327" s="4"/>
      <c r="H327" s="4"/>
    </row>
    <row r="328" spans="1:10" x14ac:dyDescent="0.2">
      <c r="A328" s="4"/>
      <c r="B328" s="4"/>
      <c r="C328" s="4"/>
      <c r="D328" s="4"/>
      <c r="E328" s="4"/>
      <c r="F328" s="4"/>
      <c r="G328" s="4"/>
      <c r="H328" s="4"/>
    </row>
    <row r="329" spans="1:10" x14ac:dyDescent="0.2">
      <c r="A329" s="4"/>
      <c r="B329" s="4"/>
      <c r="C329" s="4"/>
      <c r="D329" s="4"/>
      <c r="E329" s="4"/>
      <c r="F329" s="4"/>
      <c r="G329" s="4"/>
      <c r="H329" s="4"/>
      <c r="J329" s="62"/>
    </row>
    <row r="330" spans="1:10" x14ac:dyDescent="0.2">
      <c r="A330" s="4"/>
      <c r="B330" s="4"/>
      <c r="C330" s="4"/>
      <c r="D330" s="4"/>
      <c r="E330" s="4"/>
      <c r="F330" s="4"/>
      <c r="G330" s="4"/>
      <c r="H330" s="4"/>
      <c r="J330" s="62"/>
    </row>
    <row r="331" spans="1:10" x14ac:dyDescent="0.2">
      <c r="A331" s="4"/>
      <c r="B331" s="4"/>
      <c r="C331" s="4"/>
      <c r="D331" s="4"/>
      <c r="E331" s="4"/>
      <c r="F331" s="4"/>
      <c r="G331" s="4"/>
      <c r="H331" s="4"/>
    </row>
    <row r="332" spans="1:10" x14ac:dyDescent="0.2">
      <c r="A332" s="4"/>
      <c r="B332" s="4"/>
      <c r="C332" s="4"/>
      <c r="D332" s="4"/>
      <c r="E332" s="4"/>
      <c r="F332" s="4"/>
      <c r="G332" s="4"/>
      <c r="H332" s="4"/>
    </row>
  </sheetData>
  <sheetProtection sheet="1" objects="1" scenarios="1"/>
  <phoneticPr fontId="4" type="noConversion"/>
  <conditionalFormatting sqref="D234:D243">
    <cfRule type="colorScale" priority="32">
      <colorScale>
        <cfvo type="min"/>
        <cfvo type="max"/>
        <color rgb="FFFCFCFF"/>
        <color rgb="FFF8696B"/>
      </colorScale>
    </cfRule>
  </conditionalFormatting>
  <conditionalFormatting sqref="D258:H267 D270:H279">
    <cfRule type="cellIs" dxfId="3" priority="1" operator="lessThan">
      <formula>0</formula>
    </cfRule>
    <cfRule type="cellIs" dxfId="2" priority="2" operator="greaterThan">
      <formula>0</formula>
    </cfRule>
  </conditionalFormatting>
  <conditionalFormatting sqref="E234:E243">
    <cfRule type="colorScale" priority="12">
      <colorScale>
        <cfvo type="min"/>
        <cfvo type="max"/>
        <color rgb="FFFCFCFF"/>
        <color rgb="FFF8696B"/>
      </colorScale>
    </cfRule>
  </conditionalFormatting>
  <conditionalFormatting sqref="F234:F243">
    <cfRule type="colorScale" priority="9">
      <colorScale>
        <cfvo type="min"/>
        <cfvo type="max"/>
        <color rgb="FFFCFCFF"/>
        <color rgb="FFF8696B"/>
      </colorScale>
    </cfRule>
  </conditionalFormatting>
  <conditionalFormatting sqref="G234:G243">
    <cfRule type="colorScale" priority="6">
      <colorScale>
        <cfvo type="min"/>
        <cfvo type="max"/>
        <color rgb="FFFCFCFF"/>
        <color rgb="FFF8696B"/>
      </colorScale>
    </cfRule>
  </conditionalFormatting>
  <conditionalFormatting sqref="H234:H243">
    <cfRule type="colorScale" priority="3">
      <colorScale>
        <cfvo type="min"/>
        <cfvo type="max"/>
        <color rgb="FFFCFCFF"/>
        <color rgb="FFF8696B"/>
      </colorScale>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'Database v16.0 &amp; v16.0H'!$B$858:$B$1146</xm:f>
          </x14:formula1>
          <xm:sqref>D8:H8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H302"/>
  <sheetViews>
    <sheetView showGridLines="0" zoomScaleNormal="100" workbookViewId="0">
      <selection activeCell="D8" sqref="D8"/>
    </sheetView>
  </sheetViews>
  <sheetFormatPr defaultColWidth="9.140625" defaultRowHeight="12.75" x14ac:dyDescent="0.2"/>
  <cols>
    <col min="1" max="1" width="38.42578125" style="5" bestFit="1" customWidth="1"/>
    <col min="2" max="3" width="8.7109375" style="2" customWidth="1"/>
    <col min="4" max="8" width="12.140625" style="2" bestFit="1" customWidth="1"/>
    <col min="9" max="16384" width="9.140625" style="4"/>
  </cols>
  <sheetData>
    <row r="1" spans="1:8" ht="15.75" x14ac:dyDescent="0.25">
      <c r="A1" s="76" t="s">
        <v>1796</v>
      </c>
    </row>
    <row r="2" spans="1:8" x14ac:dyDescent="0.2">
      <c r="A2" s="4" t="s">
        <v>2569</v>
      </c>
    </row>
    <row r="3" spans="1:8" x14ac:dyDescent="0.2">
      <c r="A3" s="68" t="s">
        <v>2504</v>
      </c>
      <c r="C3" s="4"/>
      <c r="D3" s="4"/>
      <c r="E3" s="4"/>
      <c r="F3" s="4"/>
      <c r="G3" s="4"/>
      <c r="H3" s="4"/>
    </row>
    <row r="4" spans="1:8" x14ac:dyDescent="0.2">
      <c r="A4" s="4"/>
      <c r="C4" s="4"/>
      <c r="D4" s="4"/>
      <c r="E4" s="4"/>
      <c r="F4" s="4"/>
      <c r="G4" s="4"/>
      <c r="H4" s="4"/>
    </row>
    <row r="5" spans="1:8" x14ac:dyDescent="0.2">
      <c r="A5" s="4"/>
    </row>
    <row r="6" spans="1:8" x14ac:dyDescent="0.2">
      <c r="A6" s="4"/>
      <c r="C6" s="77" t="s">
        <v>1681</v>
      </c>
      <c r="D6" s="58">
        <v>1</v>
      </c>
      <c r="E6" s="58">
        <v>2</v>
      </c>
      <c r="F6" s="58">
        <v>3</v>
      </c>
      <c r="G6" s="58">
        <v>4</v>
      </c>
      <c r="H6" s="58">
        <v>5</v>
      </c>
    </row>
    <row r="7" spans="1:8" x14ac:dyDescent="0.2">
      <c r="A7" s="66" t="s">
        <v>2098</v>
      </c>
      <c r="B7" s="81" t="s">
        <v>434</v>
      </c>
      <c r="C7" s="82" t="s">
        <v>435</v>
      </c>
    </row>
    <row r="8" spans="1:8" ht="25.5" x14ac:dyDescent="0.2">
      <c r="A8" s="174" t="s">
        <v>2572</v>
      </c>
      <c r="D8" s="175" t="s">
        <v>1247</v>
      </c>
      <c r="E8" s="175"/>
      <c r="F8" s="175"/>
      <c r="G8" s="175"/>
      <c r="H8" s="175"/>
    </row>
    <row r="9" spans="1:8" hidden="1" x14ac:dyDescent="0.2">
      <c r="A9" s="16" t="s">
        <v>2511</v>
      </c>
    </row>
    <row r="10" spans="1:8" ht="15" x14ac:dyDescent="0.2">
      <c r="A10" s="5" t="s">
        <v>884</v>
      </c>
      <c r="B10" s="2" t="s">
        <v>3</v>
      </c>
      <c r="C10" s="3" t="s">
        <v>900</v>
      </c>
      <c r="D10" s="2">
        <f>VLOOKUP(D$8,'Database v16.0 &amp; v16.0H'!$B$783:$AE$854,4,FALSE)</f>
        <v>4.4800000000000004</v>
      </c>
      <c r="E10" s="2" t="e">
        <f>VLOOKUP(E$8,'Database v16.0 &amp; v16.0H'!$B$783:$AE$854,4,FALSE)</f>
        <v>#N/A</v>
      </c>
      <c r="F10" s="2" t="e">
        <f>VLOOKUP(F$8,'Database v16.0 &amp; v16.0H'!$B$783:$AE$854,4,FALSE)</f>
        <v>#N/A</v>
      </c>
      <c r="G10" s="2" t="e">
        <f>VLOOKUP(G$8,'Database v16.0 &amp; v16.0H'!$B$783:$AE$854,4,FALSE)</f>
        <v>#N/A</v>
      </c>
      <c r="H10" s="2" t="e">
        <f>VLOOKUP(H$8,'Database v16.0 &amp; v16.0H'!$B$783:$AE$854,4,FALSE)</f>
        <v>#N/A</v>
      </c>
    </row>
    <row r="11" spans="1:8" x14ac:dyDescent="0.2">
      <c r="A11" s="5" t="s">
        <v>409</v>
      </c>
      <c r="B11" s="2" t="s">
        <v>4</v>
      </c>
      <c r="C11" s="2" t="s">
        <v>407</v>
      </c>
      <c r="D11" s="2">
        <f>VLOOKUP(D$8,'Database v16.0 &amp; v16.0H'!$B$783:$AE$854,5,FALSE)</f>
        <v>10</v>
      </c>
      <c r="E11" s="2" t="e">
        <f>VLOOKUP(E$8,'Database v16.0 &amp; v16.0H'!$B$783:$AE$854,5,FALSE)</f>
        <v>#N/A</v>
      </c>
      <c r="F11" s="2" t="e">
        <f>VLOOKUP(F$8,'Database v16.0 &amp; v16.0H'!$B$783:$AE$854,5,FALSE)</f>
        <v>#N/A</v>
      </c>
      <c r="G11" s="2" t="e">
        <f>VLOOKUP(G$8,'Database v16.0 &amp; v16.0H'!$B$783:$AE$854,5,FALSE)</f>
        <v>#N/A</v>
      </c>
      <c r="H11" s="2" t="e">
        <f>VLOOKUP(H$8,'Database v16.0 &amp; v16.0H'!$B$783:$AE$854,5,FALSE)</f>
        <v>#N/A</v>
      </c>
    </row>
    <row r="12" spans="1:8" ht="14.25" x14ac:dyDescent="0.25">
      <c r="A12" s="5" t="s">
        <v>410</v>
      </c>
      <c r="B12" s="2" t="s">
        <v>901</v>
      </c>
      <c r="C12" s="2" t="s">
        <v>407</v>
      </c>
      <c r="D12" s="2">
        <f>VLOOKUP(D$8,'Database v16.0 &amp; v16.0H'!$B$783:$AE$854,6,FALSE)</f>
        <v>2.6</v>
      </c>
      <c r="E12" s="2" t="e">
        <f>VLOOKUP(E$8,'Database v16.0 &amp; v16.0H'!$B$783:$AE$854,6,FALSE)</f>
        <v>#N/A</v>
      </c>
      <c r="F12" s="2" t="e">
        <f>VLOOKUP(F$8,'Database v16.0 &amp; v16.0H'!$B$783:$AE$854,6,FALSE)</f>
        <v>#N/A</v>
      </c>
      <c r="G12" s="2" t="e">
        <f>VLOOKUP(G$8,'Database v16.0 &amp; v16.0H'!$B$783:$AE$854,6,FALSE)</f>
        <v>#N/A</v>
      </c>
      <c r="H12" s="2" t="e">
        <f>VLOOKUP(H$8,'Database v16.0 &amp; v16.0H'!$B$783:$AE$854,6,FALSE)</f>
        <v>#N/A</v>
      </c>
    </row>
    <row r="13" spans="1:8" ht="14.25" x14ac:dyDescent="0.25">
      <c r="A13" s="5" t="s">
        <v>411</v>
      </c>
      <c r="B13" s="2" t="s">
        <v>902</v>
      </c>
      <c r="C13" s="2" t="s">
        <v>407</v>
      </c>
      <c r="D13" s="2">
        <f>VLOOKUP(D$8,'Database v16.0 &amp; v16.0H'!$B$783:$AE$854,7,FALSE)</f>
        <v>0.24</v>
      </c>
      <c r="E13" s="2" t="e">
        <f>VLOOKUP(E$8,'Database v16.0 &amp; v16.0H'!$B$783:$AE$854,7,FALSE)</f>
        <v>#N/A</v>
      </c>
      <c r="F13" s="2" t="e">
        <f>VLOOKUP(F$8,'Database v16.0 &amp; v16.0H'!$B$783:$AE$854,7,FALSE)</f>
        <v>#N/A</v>
      </c>
      <c r="G13" s="2" t="e">
        <f>VLOOKUP(G$8,'Database v16.0 &amp; v16.0H'!$B$783:$AE$854,7,FALSE)</f>
        <v>#N/A</v>
      </c>
      <c r="H13" s="2" t="e">
        <f>VLOOKUP(H$8,'Database v16.0 &amp; v16.0H'!$B$783:$AE$854,7,FALSE)</f>
        <v>#N/A</v>
      </c>
    </row>
    <row r="14" spans="1:8" ht="14.25" x14ac:dyDescent="0.25">
      <c r="A14" s="5" t="s">
        <v>412</v>
      </c>
      <c r="B14" s="2" t="s">
        <v>903</v>
      </c>
      <c r="C14" s="2" t="s">
        <v>407</v>
      </c>
      <c r="D14" s="2">
        <f>VLOOKUP(D$8,'Database v16.0 &amp; v16.0H'!$B$783:$AE$854,8,FALSE)</f>
        <v>0.436</v>
      </c>
      <c r="E14" s="2" t="e">
        <f>VLOOKUP(E$8,'Database v16.0 &amp; v16.0H'!$B$783:$AE$854,8,FALSE)</f>
        <v>#N/A</v>
      </c>
      <c r="F14" s="2" t="e">
        <f>VLOOKUP(F$8,'Database v16.0 &amp; v16.0H'!$B$783:$AE$854,8,FALSE)</f>
        <v>#N/A</v>
      </c>
      <c r="G14" s="2" t="e">
        <f>VLOOKUP(G$8,'Database v16.0 &amp; v16.0H'!$B$783:$AE$854,8,FALSE)</f>
        <v>#N/A</v>
      </c>
      <c r="H14" s="2" t="e">
        <f>VLOOKUP(H$8,'Database v16.0 &amp; v16.0H'!$B$783:$AE$854,8,FALSE)</f>
        <v>#N/A</v>
      </c>
    </row>
    <row r="15" spans="1:8" ht="15" hidden="1" x14ac:dyDescent="0.25">
      <c r="A15" s="5" t="s">
        <v>866</v>
      </c>
      <c r="B15" s="2" t="s">
        <v>872</v>
      </c>
      <c r="C15" s="3" t="s">
        <v>873</v>
      </c>
      <c r="D15" s="2">
        <f>VLOOKUP(D$8,'Database v16.0 &amp; v16.0H'!$B$783:$AE$854,12,FALSE)</f>
        <v>67.3</v>
      </c>
      <c r="E15" s="2" t="e">
        <f>VLOOKUP(E$8,'Database v16.0 &amp; v16.0H'!$B$783:$AE$854,12,FALSE)</f>
        <v>#N/A</v>
      </c>
      <c r="F15" s="2" t="e">
        <f>VLOOKUP(F$8,'Database v16.0 &amp; v16.0H'!$B$783:$AE$854,12,FALSE)</f>
        <v>#N/A</v>
      </c>
      <c r="G15" s="2" t="e">
        <f>VLOOKUP(G$8,'Database v16.0 &amp; v16.0H'!$B$783:$AE$854,12,FALSE)</f>
        <v>#N/A</v>
      </c>
      <c r="H15" s="2" t="e">
        <f>VLOOKUP(H$8,'Database v16.0 &amp; v16.0H'!$B$783:$AE$854,12,FALSE)</f>
        <v>#N/A</v>
      </c>
    </row>
    <row r="16" spans="1:8" ht="15" hidden="1" x14ac:dyDescent="0.25">
      <c r="A16" s="5" t="s">
        <v>413</v>
      </c>
      <c r="B16" s="2" t="s">
        <v>905</v>
      </c>
      <c r="C16" s="3" t="s">
        <v>906</v>
      </c>
      <c r="D16" s="2">
        <f>VLOOKUP(D$8,'Database v16.0 &amp; v16.0H'!$B$783:$AE$854,13,FALSE)</f>
        <v>15.9</v>
      </c>
      <c r="E16" s="2" t="e">
        <f>VLOOKUP(E$8,'Database v16.0 &amp; v16.0H'!$B$783:$AE$854,13,FALSE)</f>
        <v>#N/A</v>
      </c>
      <c r="F16" s="2" t="e">
        <f>VLOOKUP(F$8,'Database v16.0 &amp; v16.0H'!$B$783:$AE$854,13,FALSE)</f>
        <v>#N/A</v>
      </c>
      <c r="G16" s="2" t="e">
        <f>VLOOKUP(G$8,'Database v16.0 &amp; v16.0H'!$B$783:$AE$854,13,FALSE)</f>
        <v>#N/A</v>
      </c>
      <c r="H16" s="2" t="e">
        <f>VLOOKUP(H$8,'Database v16.0 &amp; v16.0H'!$B$783:$AE$854,13,FALSE)</f>
        <v>#N/A</v>
      </c>
    </row>
    <row r="17" spans="1:8" ht="15" hidden="1" x14ac:dyDescent="0.25">
      <c r="A17" s="5" t="s">
        <v>414</v>
      </c>
      <c r="B17" s="2" t="s">
        <v>907</v>
      </c>
      <c r="C17" s="3" t="s">
        <v>906</v>
      </c>
      <c r="D17" s="2">
        <f>VLOOKUP(D$8,'Database v16.0 &amp; v16.0H'!$B$783:$AE$854,14,FALSE)</f>
        <v>13.5</v>
      </c>
      <c r="E17" s="2" t="e">
        <f>VLOOKUP(E$8,'Database v16.0 &amp; v16.0H'!$B$783:$AE$854,14,FALSE)</f>
        <v>#N/A</v>
      </c>
      <c r="F17" s="2" t="e">
        <f>VLOOKUP(F$8,'Database v16.0 &amp; v16.0H'!$B$783:$AE$854,14,FALSE)</f>
        <v>#N/A</v>
      </c>
      <c r="G17" s="2" t="e">
        <f>VLOOKUP(G$8,'Database v16.0 &amp; v16.0H'!$B$783:$AE$854,14,FALSE)</f>
        <v>#N/A</v>
      </c>
      <c r="H17" s="2" t="e">
        <f>VLOOKUP(H$8,'Database v16.0 &amp; v16.0H'!$B$783:$AE$854,14,FALSE)</f>
        <v>#N/A</v>
      </c>
    </row>
    <row r="18" spans="1:8" ht="14.25" hidden="1" x14ac:dyDescent="0.25">
      <c r="A18" s="5" t="s">
        <v>415</v>
      </c>
      <c r="B18" s="2" t="s">
        <v>908</v>
      </c>
      <c r="C18" s="2" t="s">
        <v>407</v>
      </c>
      <c r="D18" s="2">
        <f>VLOOKUP(D$8,'Database v16.0 &amp; v16.0H'!$B$783:$AE$854,15,FALSE)</f>
        <v>3.88</v>
      </c>
      <c r="E18" s="2" t="e">
        <f>VLOOKUP(E$8,'Database v16.0 &amp; v16.0H'!$B$783:$AE$854,15,FALSE)</f>
        <v>#N/A</v>
      </c>
      <c r="F18" s="2" t="e">
        <f>VLOOKUP(F$8,'Database v16.0 &amp; v16.0H'!$B$783:$AE$854,15,FALSE)</f>
        <v>#N/A</v>
      </c>
      <c r="G18" s="2" t="e">
        <f>VLOOKUP(G$8,'Database v16.0 &amp; v16.0H'!$B$783:$AE$854,15,FALSE)</f>
        <v>#N/A</v>
      </c>
      <c r="H18" s="2" t="e">
        <f>VLOOKUP(H$8,'Database v16.0 &amp; v16.0H'!$B$783:$AE$854,15,FALSE)</f>
        <v>#N/A</v>
      </c>
    </row>
    <row r="19" spans="1:8" ht="15" hidden="1" x14ac:dyDescent="0.25">
      <c r="A19" s="5" t="s">
        <v>867</v>
      </c>
      <c r="B19" s="2" t="s">
        <v>909</v>
      </c>
      <c r="C19" s="3" t="s">
        <v>873</v>
      </c>
      <c r="D19" s="2">
        <f>VLOOKUP(D$8,'Database v16.0 &amp; v16.0H'!$B$783:$AE$854,16,FALSE)</f>
        <v>2.27</v>
      </c>
      <c r="E19" s="2" t="e">
        <f>VLOOKUP(E$8,'Database v16.0 &amp; v16.0H'!$B$783:$AE$854,16,FALSE)</f>
        <v>#N/A</v>
      </c>
      <c r="F19" s="2" t="e">
        <f>VLOOKUP(F$8,'Database v16.0 &amp; v16.0H'!$B$783:$AE$854,16,FALSE)</f>
        <v>#N/A</v>
      </c>
      <c r="G19" s="2" t="e">
        <f>VLOOKUP(G$8,'Database v16.0 &amp; v16.0H'!$B$783:$AE$854,16,FALSE)</f>
        <v>#N/A</v>
      </c>
      <c r="H19" s="2" t="e">
        <f>VLOOKUP(H$8,'Database v16.0 &amp; v16.0H'!$B$783:$AE$854,16,FALSE)</f>
        <v>#N/A</v>
      </c>
    </row>
    <row r="20" spans="1:8" ht="15" hidden="1" x14ac:dyDescent="0.25">
      <c r="A20" s="5" t="s">
        <v>416</v>
      </c>
      <c r="B20" s="2" t="s">
        <v>910</v>
      </c>
      <c r="C20" s="3" t="s">
        <v>906</v>
      </c>
      <c r="D20" s="2">
        <f>VLOOKUP(D$8,'Database v16.0 &amp; v16.0H'!$B$783:$AE$854,17,FALSE)</f>
        <v>2.34</v>
      </c>
      <c r="E20" s="2" t="e">
        <f>VLOOKUP(E$8,'Database v16.0 &amp; v16.0H'!$B$783:$AE$854,17,FALSE)</f>
        <v>#N/A</v>
      </c>
      <c r="F20" s="2" t="e">
        <f>VLOOKUP(F$8,'Database v16.0 &amp; v16.0H'!$B$783:$AE$854,17,FALSE)</f>
        <v>#N/A</v>
      </c>
      <c r="G20" s="2" t="e">
        <f>VLOOKUP(G$8,'Database v16.0 &amp; v16.0H'!$B$783:$AE$854,17,FALSE)</f>
        <v>#N/A</v>
      </c>
      <c r="H20" s="2" t="e">
        <f>VLOOKUP(H$8,'Database v16.0 &amp; v16.0H'!$B$783:$AE$854,17,FALSE)</f>
        <v>#N/A</v>
      </c>
    </row>
    <row r="21" spans="1:8" ht="15" hidden="1" x14ac:dyDescent="0.25">
      <c r="A21" s="5" t="s">
        <v>417</v>
      </c>
      <c r="B21" s="2" t="s">
        <v>911</v>
      </c>
      <c r="C21" s="3" t="s">
        <v>906</v>
      </c>
      <c r="D21" s="2">
        <f>VLOOKUP(D$8,'Database v16.0 &amp; v16.0H'!$B$783:$AE$854,18,FALSE)</f>
        <v>1.1499999999999999</v>
      </c>
      <c r="E21" s="2" t="e">
        <f>VLOOKUP(E$8,'Database v16.0 &amp; v16.0H'!$B$783:$AE$854,18,FALSE)</f>
        <v>#N/A</v>
      </c>
      <c r="F21" s="2" t="e">
        <f>VLOOKUP(F$8,'Database v16.0 &amp; v16.0H'!$B$783:$AE$854,18,FALSE)</f>
        <v>#N/A</v>
      </c>
      <c r="G21" s="2" t="e">
        <f>VLOOKUP(G$8,'Database v16.0 &amp; v16.0H'!$B$783:$AE$854,18,FALSE)</f>
        <v>#N/A</v>
      </c>
      <c r="H21" s="2" t="e">
        <f>VLOOKUP(H$8,'Database v16.0 &amp; v16.0H'!$B$783:$AE$854,18,FALSE)</f>
        <v>#N/A</v>
      </c>
    </row>
    <row r="22" spans="1:8" ht="14.25" hidden="1" x14ac:dyDescent="0.25">
      <c r="A22" s="5" t="s">
        <v>418</v>
      </c>
      <c r="B22" s="2" t="s">
        <v>912</v>
      </c>
      <c r="C22" s="2" t="s">
        <v>407</v>
      </c>
      <c r="D22" s="2">
        <f>VLOOKUP(D$8,'Database v16.0 &amp; v16.0H'!$B$783:$AE$854,19,FALSE)</f>
        <v>0.71099999999999997</v>
      </c>
      <c r="E22" s="2" t="e">
        <f>VLOOKUP(E$8,'Database v16.0 &amp; v16.0H'!$B$783:$AE$854,19,FALSE)</f>
        <v>#N/A</v>
      </c>
      <c r="F22" s="2" t="e">
        <f>VLOOKUP(F$8,'Database v16.0 &amp; v16.0H'!$B$783:$AE$854,19,FALSE)</f>
        <v>#N/A</v>
      </c>
      <c r="G22" s="2" t="e">
        <f>VLOOKUP(G$8,'Database v16.0 &amp; v16.0H'!$B$783:$AE$854,19,FALSE)</f>
        <v>#N/A</v>
      </c>
      <c r="H22" s="2" t="e">
        <f>VLOOKUP(H$8,'Database v16.0 &amp; v16.0H'!$B$783:$AE$854,19,FALSE)</f>
        <v>#N/A</v>
      </c>
    </row>
    <row r="23" spans="1:8" ht="15" hidden="1" x14ac:dyDescent="0.2">
      <c r="A23" s="5" t="s">
        <v>962</v>
      </c>
      <c r="B23" s="2" t="s">
        <v>6</v>
      </c>
      <c r="C23" s="3" t="s">
        <v>873</v>
      </c>
      <c r="D23" s="2">
        <f>VLOOKUP(D$8,'Database v16.0 &amp; v16.0H'!$B$783:$AE$854,20,FALSE)</f>
        <v>0.20899999999999999</v>
      </c>
      <c r="E23" s="2" t="e">
        <f>VLOOKUP(E$8,'Database v16.0 &amp; v16.0H'!$B$783:$AE$854,20,FALSE)</f>
        <v>#N/A</v>
      </c>
      <c r="F23" s="2" t="e">
        <f>VLOOKUP(F$8,'Database v16.0 &amp; v16.0H'!$B$783:$AE$854,20,FALSE)</f>
        <v>#N/A</v>
      </c>
      <c r="G23" s="2" t="e">
        <f>VLOOKUP(G$8,'Database v16.0 &amp; v16.0H'!$B$783:$AE$854,20,FALSE)</f>
        <v>#N/A</v>
      </c>
      <c r="H23" s="2" t="e">
        <f>VLOOKUP(H$8,'Database v16.0 &amp; v16.0H'!$B$783:$AE$854,20,FALSE)</f>
        <v>#N/A</v>
      </c>
    </row>
    <row r="24" spans="1:8" ht="15" hidden="1" x14ac:dyDescent="0.25">
      <c r="A24" s="5" t="s">
        <v>422</v>
      </c>
      <c r="B24" s="2" t="s">
        <v>913</v>
      </c>
      <c r="C24" s="3" t="s">
        <v>914</v>
      </c>
      <c r="D24" s="2">
        <f>VLOOKUP(D$8,'Database v16.0 &amp; v16.0H'!$B$783:$AE$854,21,FALSE)</f>
        <v>45.5</v>
      </c>
      <c r="E24" s="2" t="e">
        <f>VLOOKUP(E$8,'Database v16.0 &amp; v16.0H'!$B$783:$AE$854,21,FALSE)</f>
        <v>#N/A</v>
      </c>
      <c r="F24" s="2" t="e">
        <f>VLOOKUP(F$8,'Database v16.0 &amp; v16.0H'!$B$783:$AE$854,21,FALSE)</f>
        <v>#N/A</v>
      </c>
      <c r="G24" s="2" t="e">
        <f>VLOOKUP(G$8,'Database v16.0 &amp; v16.0H'!$B$783:$AE$854,21,FALSE)</f>
        <v>#N/A</v>
      </c>
      <c r="H24" s="2" t="e">
        <f>VLOOKUP(H$8,'Database v16.0 &amp; v16.0H'!$B$783:$AE$854,21,FALSE)</f>
        <v>#N/A</v>
      </c>
    </row>
    <row r="25" spans="1:8" hidden="1" x14ac:dyDescent="0.2">
      <c r="A25" s="5" t="s">
        <v>2516</v>
      </c>
      <c r="B25" s="2" t="s">
        <v>1014</v>
      </c>
      <c r="C25" s="3" t="s">
        <v>407</v>
      </c>
      <c r="D25" s="2">
        <f>VLOOKUP(D$8,'Database v16.0 &amp; v16.0H'!$B$783:$AE$854,29,FALSE)</f>
        <v>0.63400000000000001</v>
      </c>
      <c r="E25" s="2" t="e">
        <f>VLOOKUP(E$8,'Database v16.0 &amp; v16.0H'!$B$783:$AE$854,29,FALSE)</f>
        <v>#N/A</v>
      </c>
      <c r="F25" s="2" t="e">
        <f>VLOOKUP(F$8,'Database v16.0 &amp; v16.0H'!$B$783:$AE$854,29,FALSE)</f>
        <v>#N/A</v>
      </c>
      <c r="G25" s="2" t="e">
        <f>VLOOKUP(G$8,'Database v16.0 &amp; v16.0H'!$B$783:$AE$854,29,FALSE)</f>
        <v>#N/A</v>
      </c>
      <c r="H25" s="2" t="e">
        <f>VLOOKUP(H$8,'Database v16.0 &amp; v16.0H'!$B$783:$AE$854,29,FALSE)</f>
        <v>#N/A</v>
      </c>
    </row>
    <row r="26" spans="1:8" ht="14.25" hidden="1" x14ac:dyDescent="0.25">
      <c r="A26" s="5" t="s">
        <v>2506</v>
      </c>
      <c r="B26" s="2" t="s">
        <v>2505</v>
      </c>
      <c r="C26" s="2" t="s">
        <v>407</v>
      </c>
      <c r="D26" s="2">
        <f t="shared" ref="D26:E26" si="0">D12-D13</f>
        <v>2.3600000000000003</v>
      </c>
      <c r="E26" s="2" t="e">
        <f t="shared" si="0"/>
        <v>#N/A</v>
      </c>
      <c r="F26" s="2" t="e">
        <f t="shared" ref="F26:G26" si="1">F12-F13</f>
        <v>#N/A</v>
      </c>
      <c r="G26" s="2" t="e">
        <f t="shared" si="1"/>
        <v>#N/A</v>
      </c>
      <c r="H26" s="2" t="e">
        <f t="shared" ref="H26" si="2">H12-H13</f>
        <v>#N/A</v>
      </c>
    </row>
    <row r="28" spans="1:8" x14ac:dyDescent="0.2">
      <c r="A28" s="176" t="s">
        <v>2291</v>
      </c>
      <c r="D28" s="215" t="s">
        <v>242</v>
      </c>
      <c r="E28" s="215"/>
      <c r="F28" s="215"/>
      <c r="G28" s="215"/>
      <c r="H28" s="215"/>
    </row>
    <row r="29" spans="1:8" x14ac:dyDescent="0.2">
      <c r="A29" s="5" t="s">
        <v>409</v>
      </c>
      <c r="B29" s="2" t="s">
        <v>4</v>
      </c>
      <c r="C29" s="3" t="s">
        <v>407</v>
      </c>
      <c r="D29" s="64">
        <v>11.9</v>
      </c>
      <c r="E29" s="64"/>
      <c r="F29" s="64"/>
      <c r="G29" s="64"/>
      <c r="H29" s="64"/>
    </row>
    <row r="30" spans="1:8" ht="14.25" x14ac:dyDescent="0.25">
      <c r="A30" s="5" t="s">
        <v>411</v>
      </c>
      <c r="B30" s="2" t="s">
        <v>902</v>
      </c>
      <c r="C30" s="3" t="s">
        <v>407</v>
      </c>
      <c r="D30" s="64">
        <v>0.29499999999999998</v>
      </c>
      <c r="E30" s="64"/>
      <c r="F30" s="64"/>
      <c r="G30" s="64"/>
      <c r="H30" s="64"/>
    </row>
    <row r="31" spans="1:8" ht="14.25" x14ac:dyDescent="0.25">
      <c r="A31" s="5" t="s">
        <v>1808</v>
      </c>
      <c r="B31" s="2" t="s">
        <v>1929</v>
      </c>
      <c r="C31" s="3" t="s">
        <v>407</v>
      </c>
      <c r="D31" s="64">
        <v>0.51500000000000001</v>
      </c>
      <c r="E31" s="64"/>
      <c r="F31" s="64"/>
      <c r="G31" s="64"/>
      <c r="H31" s="64"/>
    </row>
    <row r="32" spans="1:8" ht="14.25" x14ac:dyDescent="0.25">
      <c r="A32" s="5" t="s">
        <v>1061</v>
      </c>
      <c r="B32" s="2" t="s">
        <v>1925</v>
      </c>
      <c r="C32" s="3" t="s">
        <v>407</v>
      </c>
      <c r="D32" s="64">
        <v>8.01</v>
      </c>
      <c r="E32" s="64"/>
      <c r="F32" s="64"/>
      <c r="G32" s="64"/>
      <c r="H32" s="64"/>
    </row>
    <row r="33" spans="1:8" ht="14.25" x14ac:dyDescent="0.25">
      <c r="A33" s="5" t="s">
        <v>1809</v>
      </c>
      <c r="B33" s="2" t="s">
        <v>1926</v>
      </c>
      <c r="C33" s="3" t="s">
        <v>407</v>
      </c>
      <c r="D33" s="64">
        <v>0.51500000000000001</v>
      </c>
      <c r="E33" s="64"/>
      <c r="F33" s="64"/>
      <c r="G33" s="64"/>
      <c r="H33" s="64"/>
    </row>
    <row r="34" spans="1:8" ht="14.25" x14ac:dyDescent="0.25">
      <c r="A34" s="5" t="s">
        <v>1810</v>
      </c>
      <c r="B34" s="2" t="s">
        <v>1927</v>
      </c>
      <c r="C34" s="3" t="s">
        <v>407</v>
      </c>
      <c r="D34" s="64">
        <v>8.01</v>
      </c>
      <c r="E34" s="64"/>
      <c r="F34" s="64"/>
      <c r="G34" s="64"/>
      <c r="H34" s="64"/>
    </row>
    <row r="35" spans="1:8" ht="14.25" hidden="1" x14ac:dyDescent="0.25">
      <c r="A35" s="5" t="s">
        <v>885</v>
      </c>
      <c r="B35" s="2" t="s">
        <v>943</v>
      </c>
      <c r="C35" s="3" t="s">
        <v>407</v>
      </c>
      <c r="D35" s="23">
        <f t="shared" ref="D35:E35" si="3">D29-D31-D33</f>
        <v>10.87</v>
      </c>
      <c r="E35" s="23">
        <f t="shared" si="3"/>
        <v>0</v>
      </c>
      <c r="F35" s="23">
        <f t="shared" ref="F35:G35" si="4">F29-F31-F33</f>
        <v>0</v>
      </c>
      <c r="G35" s="23">
        <f t="shared" si="4"/>
        <v>0</v>
      </c>
      <c r="H35" s="23">
        <f t="shared" ref="H35" si="5">H29-H31-H33</f>
        <v>0</v>
      </c>
    </row>
    <row r="36" spans="1:8" ht="15" hidden="1" x14ac:dyDescent="0.25">
      <c r="A36" s="5" t="s">
        <v>881</v>
      </c>
      <c r="B36" s="2" t="s">
        <v>944</v>
      </c>
      <c r="C36" s="3" t="s">
        <v>900</v>
      </c>
      <c r="D36" s="12">
        <f t="shared" ref="D36:E36" si="6">D31*D32</f>
        <v>4.1251499999999997</v>
      </c>
      <c r="E36" s="12">
        <f t="shared" si="6"/>
        <v>0</v>
      </c>
      <c r="F36" s="12">
        <f t="shared" ref="F36:G36" si="7">F31*F32</f>
        <v>0</v>
      </c>
      <c r="G36" s="12">
        <f t="shared" si="7"/>
        <v>0</v>
      </c>
      <c r="H36" s="12">
        <f t="shared" ref="H36" si="8">H31*H32</f>
        <v>0</v>
      </c>
    </row>
    <row r="37" spans="1:8" ht="15" hidden="1" x14ac:dyDescent="0.25">
      <c r="A37" s="5" t="s">
        <v>882</v>
      </c>
      <c r="B37" s="2" t="s">
        <v>945</v>
      </c>
      <c r="C37" s="3" t="s">
        <v>900</v>
      </c>
      <c r="D37" s="12">
        <f t="shared" ref="D37:E37" si="9">D30*D35</f>
        <v>3.2066499999999998</v>
      </c>
      <c r="E37" s="12">
        <f t="shared" si="9"/>
        <v>0</v>
      </c>
      <c r="F37" s="12">
        <f t="shared" ref="F37:G37" si="10">F30*F35</f>
        <v>0</v>
      </c>
      <c r="G37" s="12">
        <f t="shared" si="10"/>
        <v>0</v>
      </c>
      <c r="H37" s="12">
        <f t="shared" ref="H37" si="11">H30*H35</f>
        <v>0</v>
      </c>
    </row>
    <row r="38" spans="1:8" ht="15" hidden="1" x14ac:dyDescent="0.25">
      <c r="A38" s="5" t="s">
        <v>883</v>
      </c>
      <c r="B38" s="2" t="s">
        <v>946</v>
      </c>
      <c r="C38" s="3" t="s">
        <v>900</v>
      </c>
      <c r="D38" s="12">
        <f t="shared" ref="D38:E38" si="12">D33*D34</f>
        <v>4.1251499999999997</v>
      </c>
      <c r="E38" s="12">
        <f t="shared" si="12"/>
        <v>0</v>
      </c>
      <c r="F38" s="12">
        <f t="shared" ref="F38:G38" si="13">F33*F34</f>
        <v>0</v>
      </c>
      <c r="G38" s="12">
        <f t="shared" si="13"/>
        <v>0</v>
      </c>
      <c r="H38" s="12">
        <f t="shared" ref="H38" si="14">H33*H34</f>
        <v>0</v>
      </c>
    </row>
    <row r="39" spans="1:8" ht="15" hidden="1" x14ac:dyDescent="0.25">
      <c r="A39" s="5" t="s">
        <v>884</v>
      </c>
      <c r="B39" s="2" t="s">
        <v>899</v>
      </c>
      <c r="C39" s="3" t="s">
        <v>900</v>
      </c>
      <c r="D39" s="12">
        <f t="shared" ref="D39:E39" si="15">D36+D37+D38</f>
        <v>11.456949999999999</v>
      </c>
      <c r="E39" s="12">
        <f t="shared" si="15"/>
        <v>0</v>
      </c>
      <c r="F39" s="12">
        <f t="shared" ref="F39:G39" si="16">F36+F37+F38</f>
        <v>0</v>
      </c>
      <c r="G39" s="12">
        <f t="shared" si="16"/>
        <v>0</v>
      </c>
      <c r="H39" s="12">
        <f t="shared" ref="H39" si="17">H36+H37+H38</f>
        <v>0</v>
      </c>
    </row>
    <row r="40" spans="1:8" hidden="1" x14ac:dyDescent="0.2">
      <c r="C40" s="3"/>
      <c r="D40" s="12"/>
      <c r="E40" s="12"/>
      <c r="F40" s="12"/>
      <c r="G40" s="12"/>
      <c r="H40" s="12"/>
    </row>
    <row r="41" spans="1:8" x14ac:dyDescent="0.2">
      <c r="A41" s="16" t="s">
        <v>2288</v>
      </c>
      <c r="B41" s="4"/>
      <c r="C41" s="4"/>
      <c r="D41" s="4"/>
      <c r="E41" s="4"/>
      <c r="F41" s="4"/>
      <c r="G41" s="4"/>
      <c r="H41" s="4"/>
    </row>
    <row r="42" spans="1:8" ht="14.25" x14ac:dyDescent="0.25">
      <c r="A42" s="5" t="s">
        <v>1071</v>
      </c>
      <c r="B42" s="2" t="s">
        <v>2582</v>
      </c>
      <c r="C42" s="3" t="s">
        <v>407</v>
      </c>
      <c r="D42" s="275">
        <f t="shared" ref="D42:E42" si="18">D73</f>
        <v>12.14</v>
      </c>
      <c r="E42" s="275" t="e">
        <f t="shared" si="18"/>
        <v>#N/A</v>
      </c>
      <c r="F42" s="275" t="e">
        <f t="shared" ref="F42:G42" si="19">F73</f>
        <v>#N/A</v>
      </c>
      <c r="G42" s="275" t="e">
        <f t="shared" si="19"/>
        <v>#N/A</v>
      </c>
      <c r="H42" s="275" t="e">
        <f t="shared" ref="H42" si="20">H73</f>
        <v>#N/A</v>
      </c>
    </row>
    <row r="43" spans="1:8" ht="14.25" x14ac:dyDescent="0.25">
      <c r="A43" s="5" t="s">
        <v>411</v>
      </c>
      <c r="B43" s="2" t="s">
        <v>902</v>
      </c>
      <c r="C43" s="3" t="s">
        <v>407</v>
      </c>
      <c r="D43" s="276">
        <f t="shared" ref="D43:E47" si="21">D30</f>
        <v>0.29499999999999998</v>
      </c>
      <c r="E43" s="276">
        <f t="shared" si="21"/>
        <v>0</v>
      </c>
      <c r="F43" s="276">
        <f t="shared" ref="F43:G43" si="22">F30</f>
        <v>0</v>
      </c>
      <c r="G43" s="276">
        <f t="shared" si="22"/>
        <v>0</v>
      </c>
      <c r="H43" s="276">
        <f t="shared" ref="H43" si="23">H30</f>
        <v>0</v>
      </c>
    </row>
    <row r="44" spans="1:8" ht="14.25" x14ac:dyDescent="0.25">
      <c r="A44" s="5" t="s">
        <v>1808</v>
      </c>
      <c r="B44" s="2" t="s">
        <v>1929</v>
      </c>
      <c r="C44" s="3" t="s">
        <v>407</v>
      </c>
      <c r="D44" s="276">
        <f>D31+D13</f>
        <v>0.755</v>
      </c>
      <c r="E44" s="276" t="e">
        <f t="shared" ref="E44:F44" si="24">E31+E13</f>
        <v>#N/A</v>
      </c>
      <c r="F44" s="276" t="e">
        <f t="shared" si="24"/>
        <v>#N/A</v>
      </c>
      <c r="G44" s="276" t="e">
        <f t="shared" ref="G44:H44" si="25">G31+G13</f>
        <v>#N/A</v>
      </c>
      <c r="H44" s="276" t="e">
        <f t="shared" si="25"/>
        <v>#N/A</v>
      </c>
    </row>
    <row r="45" spans="1:8" ht="14.25" x14ac:dyDescent="0.25">
      <c r="A45" s="5" t="s">
        <v>1061</v>
      </c>
      <c r="B45" s="2" t="s">
        <v>1925</v>
      </c>
      <c r="C45" s="3" t="s">
        <v>407</v>
      </c>
      <c r="D45" s="275">
        <f>D11</f>
        <v>10</v>
      </c>
      <c r="E45" s="275" t="e">
        <f t="shared" ref="E45:F45" si="26">E11</f>
        <v>#N/A</v>
      </c>
      <c r="F45" s="275" t="e">
        <f t="shared" si="26"/>
        <v>#N/A</v>
      </c>
      <c r="G45" s="275" t="e">
        <f t="shared" ref="G45:H45" si="27">G11</f>
        <v>#N/A</v>
      </c>
      <c r="H45" s="275" t="e">
        <f t="shared" si="27"/>
        <v>#N/A</v>
      </c>
    </row>
    <row r="46" spans="1:8" ht="14.25" x14ac:dyDescent="0.25">
      <c r="A46" s="5" t="s">
        <v>1809</v>
      </c>
      <c r="B46" s="2" t="s">
        <v>1926</v>
      </c>
      <c r="C46" s="3" t="s">
        <v>407</v>
      </c>
      <c r="D46" s="276">
        <f t="shared" si="21"/>
        <v>0.51500000000000001</v>
      </c>
      <c r="E46" s="276">
        <f t="shared" si="21"/>
        <v>0</v>
      </c>
      <c r="F46" s="276">
        <f t="shared" ref="F46:G46" si="28">F33</f>
        <v>0</v>
      </c>
      <c r="G46" s="276">
        <f t="shared" si="28"/>
        <v>0</v>
      </c>
      <c r="H46" s="276">
        <f t="shared" ref="H46" si="29">H33</f>
        <v>0</v>
      </c>
    </row>
    <row r="47" spans="1:8" ht="14.25" x14ac:dyDescent="0.25">
      <c r="A47" s="5" t="s">
        <v>1810</v>
      </c>
      <c r="B47" s="2" t="s">
        <v>1927</v>
      </c>
      <c r="C47" s="3" t="s">
        <v>407</v>
      </c>
      <c r="D47" s="275">
        <f t="shared" si="21"/>
        <v>8.01</v>
      </c>
      <c r="E47" s="275">
        <f t="shared" si="21"/>
        <v>0</v>
      </c>
      <c r="F47" s="275">
        <f t="shared" ref="F47:G47" si="30">F34</f>
        <v>0</v>
      </c>
      <c r="G47" s="275">
        <f t="shared" si="30"/>
        <v>0</v>
      </c>
      <c r="H47" s="275">
        <f t="shared" ref="H47" si="31">H34</f>
        <v>0</v>
      </c>
    </row>
    <row r="48" spans="1:8" ht="14.25" x14ac:dyDescent="0.25">
      <c r="A48" s="5" t="s">
        <v>1842</v>
      </c>
      <c r="B48" s="2" t="s">
        <v>1818</v>
      </c>
      <c r="C48" s="3" t="s">
        <v>407</v>
      </c>
      <c r="D48" s="275">
        <f t="shared" ref="D48:E48" si="32">D102</f>
        <v>4.6281653955116875</v>
      </c>
      <c r="E48" s="275" t="e">
        <f t="shared" si="32"/>
        <v>#N/A</v>
      </c>
      <c r="F48" s="275" t="e">
        <f t="shared" ref="F48:G48" si="33">F102</f>
        <v>#N/A</v>
      </c>
      <c r="G48" s="275" t="e">
        <f t="shared" si="33"/>
        <v>#N/A</v>
      </c>
      <c r="H48" s="275" t="e">
        <f t="shared" ref="H48" si="34">H102</f>
        <v>#N/A</v>
      </c>
    </row>
    <row r="49" spans="1:8" ht="14.25" x14ac:dyDescent="0.25">
      <c r="A49" s="5" t="s">
        <v>1822</v>
      </c>
      <c r="B49" s="2" t="s">
        <v>1821</v>
      </c>
      <c r="C49" s="3" t="s">
        <v>407</v>
      </c>
      <c r="D49" s="275">
        <f t="shared" ref="D49:E49" si="35">D168</f>
        <v>0.67551498127340814</v>
      </c>
      <c r="E49" s="275" t="e">
        <f t="shared" si="35"/>
        <v>#N/A</v>
      </c>
      <c r="F49" s="275" t="e">
        <f t="shared" ref="F49:G49" si="36">F168</f>
        <v>#N/A</v>
      </c>
      <c r="G49" s="275" t="e">
        <f t="shared" si="36"/>
        <v>#N/A</v>
      </c>
      <c r="H49" s="275" t="e">
        <f t="shared" ref="H49" si="37">H168</f>
        <v>#N/A</v>
      </c>
    </row>
    <row r="50" spans="1:8" ht="15" x14ac:dyDescent="0.25">
      <c r="A50" s="5" t="s">
        <v>2071</v>
      </c>
      <c r="B50" s="2" t="s">
        <v>899</v>
      </c>
      <c r="C50" s="3" t="s">
        <v>900</v>
      </c>
      <c r="D50" s="275">
        <f t="shared" ref="D50:E50" si="38">D87</f>
        <v>15.93695</v>
      </c>
      <c r="E50" s="275" t="e">
        <f t="shared" si="38"/>
        <v>#N/A</v>
      </c>
      <c r="F50" s="275" t="e">
        <f t="shared" ref="F50:G50" si="39">F87</f>
        <v>#N/A</v>
      </c>
      <c r="G50" s="275" t="e">
        <f t="shared" si="39"/>
        <v>#N/A</v>
      </c>
      <c r="H50" s="275" t="e">
        <f t="shared" ref="H50" si="40">H87</f>
        <v>#N/A</v>
      </c>
    </row>
    <row r="51" spans="1:8" ht="15" x14ac:dyDescent="0.25">
      <c r="A51" s="5" t="s">
        <v>866</v>
      </c>
      <c r="B51" s="2" t="s">
        <v>872</v>
      </c>
      <c r="C51" s="3" t="s">
        <v>873</v>
      </c>
      <c r="D51" s="275">
        <f t="shared" ref="D51:E51" si="41">D130</f>
        <v>400.79193608941733</v>
      </c>
      <c r="E51" s="275" t="e">
        <f t="shared" si="41"/>
        <v>#N/A</v>
      </c>
      <c r="F51" s="275" t="e">
        <f t="shared" ref="F51:G51" si="42">F130</f>
        <v>#N/A</v>
      </c>
      <c r="G51" s="275" t="e">
        <f t="shared" si="42"/>
        <v>#N/A</v>
      </c>
      <c r="H51" s="275" t="e">
        <f t="shared" ref="H51" si="43">H130</f>
        <v>#N/A</v>
      </c>
    </row>
    <row r="52" spans="1:8" ht="15" x14ac:dyDescent="0.25">
      <c r="A52" s="5" t="s">
        <v>867</v>
      </c>
      <c r="B52" s="2" t="s">
        <v>909</v>
      </c>
      <c r="C52" s="3" t="s">
        <v>873</v>
      </c>
      <c r="D52" s="275">
        <f t="shared" ref="D52:E52" si="44">D137</f>
        <v>111.43492764552083</v>
      </c>
      <c r="E52" s="275" t="e">
        <f t="shared" si="44"/>
        <v>#N/A</v>
      </c>
      <c r="F52" s="275" t="e">
        <f t="shared" ref="F52:G52" si="45">F137</f>
        <v>#N/A</v>
      </c>
      <c r="G52" s="275" t="e">
        <f t="shared" si="45"/>
        <v>#N/A</v>
      </c>
      <c r="H52" s="275" t="e">
        <f t="shared" ref="H52" si="46">H137</f>
        <v>#N/A</v>
      </c>
    </row>
    <row r="53" spans="1:8" ht="15" x14ac:dyDescent="0.25">
      <c r="A53" s="5" t="s">
        <v>413</v>
      </c>
      <c r="B53" s="2" t="s">
        <v>905</v>
      </c>
      <c r="C53" s="3" t="s">
        <v>906</v>
      </c>
      <c r="D53" s="275">
        <f t="shared" ref="D53:E53" si="47">D255</f>
        <v>64.884449375702232</v>
      </c>
      <c r="E53" s="275">
        <f t="shared" si="47"/>
        <v>0</v>
      </c>
      <c r="F53" s="275">
        <f t="shared" ref="F53:G53" si="48">F255</f>
        <v>0</v>
      </c>
      <c r="G53" s="275">
        <f t="shared" si="48"/>
        <v>0</v>
      </c>
      <c r="H53" s="275">
        <f t="shared" ref="H53" si="49">H255</f>
        <v>0</v>
      </c>
    </row>
    <row r="54" spans="1:8" ht="15" x14ac:dyDescent="0.25">
      <c r="A54" s="5" t="s">
        <v>416</v>
      </c>
      <c r="B54" s="2" t="s">
        <v>910</v>
      </c>
      <c r="C54" s="3" t="s">
        <v>906</v>
      </c>
      <c r="D54" s="275">
        <f t="shared" ref="D54:E54" si="50">D262</f>
        <v>32.6577161875</v>
      </c>
      <c r="E54" s="275" t="e">
        <f t="shared" si="50"/>
        <v>#N/A</v>
      </c>
      <c r="F54" s="275" t="e">
        <f t="shared" ref="F54:G54" si="51">F262</f>
        <v>#N/A</v>
      </c>
      <c r="G54" s="275" t="e">
        <f t="shared" si="51"/>
        <v>#N/A</v>
      </c>
      <c r="H54" s="275" t="e">
        <f t="shared" ref="H54" si="52">H262</f>
        <v>#N/A</v>
      </c>
    </row>
    <row r="55" spans="1:8" ht="15" x14ac:dyDescent="0.2">
      <c r="A55" s="5" t="s">
        <v>962</v>
      </c>
      <c r="B55" s="2" t="s">
        <v>6</v>
      </c>
      <c r="C55" s="3" t="s">
        <v>873</v>
      </c>
      <c r="D55" s="275">
        <f t="shared" ref="D55:E55" si="53">D270</f>
        <v>1.0121567283166668</v>
      </c>
      <c r="E55" s="275" t="e">
        <f t="shared" si="53"/>
        <v>#N/A</v>
      </c>
      <c r="F55" s="275" t="e">
        <f t="shared" ref="F55:G55" si="54">F270</f>
        <v>#N/A</v>
      </c>
      <c r="G55" s="275" t="e">
        <f t="shared" si="54"/>
        <v>#N/A</v>
      </c>
      <c r="H55" s="275" t="e">
        <f t="shared" ref="H55" si="55">H270</f>
        <v>#N/A</v>
      </c>
    </row>
    <row r="56" spans="1:8" ht="15" x14ac:dyDescent="0.25">
      <c r="A56" s="5" t="s">
        <v>422</v>
      </c>
      <c r="B56" s="2" t="s">
        <v>913</v>
      </c>
      <c r="C56" s="3" t="s">
        <v>914</v>
      </c>
      <c r="D56" s="277">
        <f t="shared" ref="D56:E56" si="56">D275</f>
        <v>2341.4722042152612</v>
      </c>
      <c r="E56" s="277" t="e">
        <f t="shared" si="56"/>
        <v>#N/A</v>
      </c>
      <c r="F56" s="277" t="e">
        <f t="shared" ref="F56:G56" si="57">F275</f>
        <v>#N/A</v>
      </c>
      <c r="G56" s="277" t="e">
        <f t="shared" si="57"/>
        <v>#N/A</v>
      </c>
      <c r="H56" s="277" t="e">
        <f t="shared" ref="H56" si="58">H275</f>
        <v>#N/A</v>
      </c>
    </row>
    <row r="57" spans="1:8" ht="15" x14ac:dyDescent="0.25">
      <c r="A57" s="5" t="s">
        <v>964</v>
      </c>
      <c r="B57" s="2" t="s">
        <v>963</v>
      </c>
      <c r="C57" s="3" t="s">
        <v>873</v>
      </c>
      <c r="D57" s="277">
        <f t="shared" ref="D57:E57" si="59">D286</f>
        <v>89.355836376249997</v>
      </c>
      <c r="E57" s="277" t="e">
        <f t="shared" si="59"/>
        <v>#N/A</v>
      </c>
      <c r="F57" s="277" t="e">
        <f t="shared" ref="F57:G57" si="60">F286</f>
        <v>#N/A</v>
      </c>
      <c r="G57" s="277" t="e">
        <f t="shared" si="60"/>
        <v>#N/A</v>
      </c>
      <c r="H57" s="277" t="e">
        <f t="shared" ref="H57" si="61">H286</f>
        <v>#N/A</v>
      </c>
    </row>
    <row r="58" spans="1:8" ht="15" x14ac:dyDescent="0.25">
      <c r="A58" s="5" t="s">
        <v>1824</v>
      </c>
      <c r="B58" s="2" t="s">
        <v>1825</v>
      </c>
      <c r="C58" s="3" t="s">
        <v>900</v>
      </c>
      <c r="D58" s="277">
        <f t="shared" ref="D58:E58" si="62">D288</f>
        <v>8.6051500000000001</v>
      </c>
      <c r="E58" s="277" t="e">
        <f t="shared" si="62"/>
        <v>#N/A</v>
      </c>
      <c r="F58" s="277" t="e">
        <f t="shared" ref="F58:G58" si="63">F288</f>
        <v>#N/A</v>
      </c>
      <c r="G58" s="277" t="e">
        <f t="shared" si="63"/>
        <v>#N/A</v>
      </c>
      <c r="H58" s="277" t="e">
        <f t="shared" ref="H58" si="64">H288</f>
        <v>#N/A</v>
      </c>
    </row>
    <row r="59" spans="1:8" ht="15" x14ac:dyDescent="0.25">
      <c r="A59" s="5" t="s">
        <v>1912</v>
      </c>
      <c r="B59" s="2" t="s">
        <v>1923</v>
      </c>
      <c r="C59" s="3" t="s">
        <v>873</v>
      </c>
      <c r="D59" s="277">
        <f t="shared" ref="D59:E59" si="65">D290</f>
        <v>22.055836376250003</v>
      </c>
      <c r="E59" s="277">
        <f t="shared" si="65"/>
        <v>0</v>
      </c>
      <c r="F59" s="277">
        <f t="shared" ref="F59:G59" si="66">F290</f>
        <v>0</v>
      </c>
      <c r="G59" s="277">
        <f t="shared" si="66"/>
        <v>0</v>
      </c>
      <c r="H59" s="277">
        <f t="shared" ref="H59" si="67">H290</f>
        <v>0</v>
      </c>
    </row>
    <row r="60" spans="1:8" ht="14.25" x14ac:dyDescent="0.25">
      <c r="A60" s="5" t="s">
        <v>885</v>
      </c>
      <c r="B60" s="2" t="s">
        <v>943</v>
      </c>
      <c r="C60" s="3" t="s">
        <v>407</v>
      </c>
      <c r="D60" s="278">
        <f t="shared" ref="D60:E60" si="68">D35</f>
        <v>10.87</v>
      </c>
      <c r="E60" s="278">
        <f t="shared" si="68"/>
        <v>0</v>
      </c>
      <c r="F60" s="278">
        <f t="shared" ref="F60:G60" si="69">F35</f>
        <v>0</v>
      </c>
      <c r="G60" s="278">
        <f t="shared" si="69"/>
        <v>0</v>
      </c>
      <c r="H60" s="278">
        <f t="shared" ref="H60" si="70">H35</f>
        <v>0</v>
      </c>
    </row>
    <row r="61" spans="1:8" ht="15" x14ac:dyDescent="0.25">
      <c r="A61" s="13" t="s">
        <v>953</v>
      </c>
      <c r="B61" s="2" t="s">
        <v>955</v>
      </c>
      <c r="C61" s="3" t="s">
        <v>906</v>
      </c>
      <c r="D61" s="278">
        <f t="shared" ref="D61:E62" si="71">D277</f>
        <v>86.598447081882213</v>
      </c>
      <c r="E61" s="278" t="e">
        <f t="shared" si="71"/>
        <v>#N/A</v>
      </c>
      <c r="F61" s="278" t="e">
        <f t="shared" ref="F61:G61" si="72">F277</f>
        <v>#N/A</v>
      </c>
      <c r="G61" s="278" t="e">
        <f t="shared" si="72"/>
        <v>#N/A</v>
      </c>
      <c r="H61" s="278" t="e">
        <f t="shared" ref="H61" si="73">H277</f>
        <v>#N/A</v>
      </c>
    </row>
    <row r="62" spans="1:8" ht="15" x14ac:dyDescent="0.25">
      <c r="A62" s="13" t="s">
        <v>954</v>
      </c>
      <c r="B62" s="2" t="s">
        <v>956</v>
      </c>
      <c r="C62" s="3" t="s">
        <v>906</v>
      </c>
      <c r="D62" s="278">
        <f t="shared" si="71"/>
        <v>53.35473385555435</v>
      </c>
      <c r="E62" s="278" t="e">
        <f t="shared" si="71"/>
        <v>#N/A</v>
      </c>
      <c r="F62" s="278" t="e">
        <f t="shared" ref="F62:G62" si="74">F278</f>
        <v>#N/A</v>
      </c>
      <c r="G62" s="278" t="e">
        <f t="shared" si="74"/>
        <v>#N/A</v>
      </c>
      <c r="H62" s="278" t="e">
        <f t="shared" ref="H62" si="75">H278</f>
        <v>#N/A</v>
      </c>
    </row>
    <row r="63" spans="1:8" ht="15" x14ac:dyDescent="0.25">
      <c r="A63" s="13" t="s">
        <v>417</v>
      </c>
      <c r="B63" s="2" t="s">
        <v>911</v>
      </c>
      <c r="C63" s="3" t="s">
        <v>906</v>
      </c>
      <c r="D63" s="278">
        <f t="shared" ref="D63:E63" si="76">D280</f>
        <v>22.286985529104165</v>
      </c>
      <c r="E63" s="278" t="e">
        <f t="shared" si="76"/>
        <v>#N/A</v>
      </c>
      <c r="F63" s="278" t="e">
        <f t="shared" ref="F63:G63" si="77">F280</f>
        <v>#N/A</v>
      </c>
      <c r="G63" s="278" t="e">
        <f t="shared" si="77"/>
        <v>#N/A</v>
      </c>
      <c r="H63" s="278" t="e">
        <f t="shared" ref="H63" si="78">H280</f>
        <v>#N/A</v>
      </c>
    </row>
    <row r="64" spans="1:8" ht="14.25" x14ac:dyDescent="0.25">
      <c r="A64" s="13" t="s">
        <v>415</v>
      </c>
      <c r="B64" s="2" t="s">
        <v>908</v>
      </c>
      <c r="C64" s="3" t="s">
        <v>407</v>
      </c>
      <c r="D64" s="278">
        <f t="shared" ref="D64:E64" si="79">D282</f>
        <v>5.0148377038958811</v>
      </c>
      <c r="E64" s="278" t="e">
        <f t="shared" si="79"/>
        <v>#N/A</v>
      </c>
      <c r="F64" s="278" t="e">
        <f t="shared" ref="F64:G64" si="80">F282</f>
        <v>#N/A</v>
      </c>
      <c r="G64" s="278" t="e">
        <f t="shared" si="80"/>
        <v>#N/A</v>
      </c>
      <c r="H64" s="278" t="e">
        <f t="shared" ref="H64" si="81">H282</f>
        <v>#N/A</v>
      </c>
    </row>
    <row r="65" spans="1:8" ht="14.25" x14ac:dyDescent="0.25">
      <c r="A65" s="13" t="s">
        <v>418</v>
      </c>
      <c r="B65" s="2" t="s">
        <v>912</v>
      </c>
      <c r="C65" s="3" t="s">
        <v>407</v>
      </c>
      <c r="D65" s="278">
        <f t="shared" ref="D65:E65" si="82">D284</f>
        <v>2.644283789768167</v>
      </c>
      <c r="E65" s="278" t="e">
        <f t="shared" si="82"/>
        <v>#N/A</v>
      </c>
      <c r="F65" s="278" t="e">
        <f t="shared" ref="F65:G65" si="83">F284</f>
        <v>#N/A</v>
      </c>
      <c r="G65" s="278" t="e">
        <f t="shared" si="83"/>
        <v>#N/A</v>
      </c>
      <c r="H65" s="278" t="e">
        <f t="shared" ref="H65" si="84">H284</f>
        <v>#N/A</v>
      </c>
    </row>
    <row r="66" spans="1:8" x14ac:dyDescent="0.2">
      <c r="C66" s="3"/>
      <c r="D66" s="12"/>
      <c r="E66" s="12"/>
      <c r="F66" s="12"/>
      <c r="G66" s="12"/>
      <c r="H66" s="12"/>
    </row>
    <row r="67" spans="1:8" x14ac:dyDescent="0.2">
      <c r="A67" s="66" t="s">
        <v>2531</v>
      </c>
    </row>
    <row r="68" spans="1:8" hidden="1" x14ac:dyDescent="0.2">
      <c r="A68" s="16" t="s">
        <v>409</v>
      </c>
      <c r="C68" s="3"/>
    </row>
    <row r="69" spans="1:8" ht="14.25" hidden="1" x14ac:dyDescent="0.25">
      <c r="A69" s="5" t="s">
        <v>2507</v>
      </c>
      <c r="B69" s="2" t="s">
        <v>2313</v>
      </c>
      <c r="C69" s="3" t="s">
        <v>407</v>
      </c>
      <c r="D69" s="2">
        <f t="shared" ref="D69:E69" si="85">D13</f>
        <v>0.24</v>
      </c>
      <c r="E69" s="2" t="e">
        <f t="shared" si="85"/>
        <v>#N/A</v>
      </c>
      <c r="F69" s="2" t="e">
        <f t="shared" ref="F69:G69" si="86">F13</f>
        <v>#N/A</v>
      </c>
      <c r="G69" s="2" t="e">
        <f t="shared" si="86"/>
        <v>#N/A</v>
      </c>
      <c r="H69" s="2" t="e">
        <f t="shared" ref="H69" si="87">H13</f>
        <v>#N/A</v>
      </c>
    </row>
    <row r="70" spans="1:8" ht="15" hidden="1" x14ac:dyDescent="0.25">
      <c r="A70" s="5" t="s">
        <v>2508</v>
      </c>
      <c r="B70" s="2" t="s">
        <v>2314</v>
      </c>
      <c r="C70" s="3" t="s">
        <v>407</v>
      </c>
      <c r="D70" s="12">
        <f t="shared" ref="D70:E70" si="88">D31</f>
        <v>0.51500000000000001</v>
      </c>
      <c r="E70" s="12">
        <f t="shared" si="88"/>
        <v>0</v>
      </c>
      <c r="F70" s="12">
        <f t="shared" ref="F70:G70" si="89">F31</f>
        <v>0</v>
      </c>
      <c r="G70" s="12">
        <f t="shared" si="89"/>
        <v>0</v>
      </c>
      <c r="H70" s="12">
        <f t="shared" ref="H70" si="90">H31</f>
        <v>0</v>
      </c>
    </row>
    <row r="71" spans="1:8" ht="15" hidden="1" x14ac:dyDescent="0.25">
      <c r="A71" s="5" t="s">
        <v>2517</v>
      </c>
      <c r="B71" s="2" t="s">
        <v>2315</v>
      </c>
      <c r="C71" s="3" t="s">
        <v>407</v>
      </c>
      <c r="D71" s="12">
        <f t="shared" ref="D71:E71" si="91">D35</f>
        <v>10.87</v>
      </c>
      <c r="E71" s="12">
        <f t="shared" si="91"/>
        <v>0</v>
      </c>
      <c r="F71" s="12">
        <f t="shared" ref="F71:G71" si="92">F35</f>
        <v>0</v>
      </c>
      <c r="G71" s="12">
        <f t="shared" si="92"/>
        <v>0</v>
      </c>
      <c r="H71" s="12">
        <f t="shared" ref="H71" si="93">H35</f>
        <v>0</v>
      </c>
    </row>
    <row r="72" spans="1:8" ht="15" hidden="1" x14ac:dyDescent="0.25">
      <c r="A72" s="5" t="s">
        <v>2518</v>
      </c>
      <c r="B72" s="2" t="s">
        <v>2316</v>
      </c>
      <c r="C72" s="3" t="s">
        <v>407</v>
      </c>
      <c r="D72" s="12">
        <f t="shared" ref="D72:E72" si="94">D33</f>
        <v>0.51500000000000001</v>
      </c>
      <c r="E72" s="12">
        <f t="shared" si="94"/>
        <v>0</v>
      </c>
      <c r="F72" s="12">
        <f t="shared" ref="F72:G72" si="95">F33</f>
        <v>0</v>
      </c>
      <c r="G72" s="12">
        <f t="shared" si="95"/>
        <v>0</v>
      </c>
      <c r="H72" s="12">
        <f t="shared" ref="H72" si="96">H33</f>
        <v>0</v>
      </c>
    </row>
    <row r="73" spans="1:8" ht="14.25" hidden="1" x14ac:dyDescent="0.25">
      <c r="A73" s="37" t="s">
        <v>2347</v>
      </c>
      <c r="B73" s="40" t="s">
        <v>2346</v>
      </c>
      <c r="C73" s="41" t="s">
        <v>407</v>
      </c>
      <c r="D73" s="56">
        <f t="shared" ref="D73:E73" si="97">SUM(D69:D72)</f>
        <v>12.14</v>
      </c>
      <c r="E73" s="56" t="e">
        <f t="shared" si="97"/>
        <v>#N/A</v>
      </c>
      <c r="F73" s="56" t="e">
        <f t="shared" ref="F73:G73" si="98">SUM(F69:F72)</f>
        <v>#N/A</v>
      </c>
      <c r="G73" s="56" t="e">
        <f t="shared" si="98"/>
        <v>#N/A</v>
      </c>
      <c r="H73" s="56" t="e">
        <f t="shared" ref="H73" si="99">SUM(H69:H72)</f>
        <v>#N/A</v>
      </c>
    </row>
    <row r="74" spans="1:8" hidden="1" x14ac:dyDescent="0.2">
      <c r="C74" s="3"/>
      <c r="D74" s="12"/>
      <c r="E74" s="12"/>
      <c r="F74" s="12"/>
      <c r="G74" s="12"/>
      <c r="H74" s="12"/>
    </row>
    <row r="75" spans="1:8" hidden="1" x14ac:dyDescent="0.2">
      <c r="A75" s="16" t="s">
        <v>2267</v>
      </c>
      <c r="C75" s="3"/>
      <c r="D75" s="12"/>
      <c r="E75" s="12"/>
      <c r="F75" s="12"/>
      <c r="G75" s="12"/>
      <c r="H75" s="12"/>
    </row>
    <row r="76" spans="1:8" ht="15" hidden="1" x14ac:dyDescent="0.25">
      <c r="A76" s="5" t="s">
        <v>2519</v>
      </c>
      <c r="B76" s="2" t="s">
        <v>2486</v>
      </c>
      <c r="C76" s="3" t="s">
        <v>407</v>
      </c>
      <c r="D76" s="12">
        <f t="shared" ref="D76:E76" si="100">D11</f>
        <v>10</v>
      </c>
      <c r="E76" s="12" t="e">
        <f t="shared" si="100"/>
        <v>#N/A</v>
      </c>
      <c r="F76" s="12" t="e">
        <f t="shared" ref="F76:G76" si="101">F11</f>
        <v>#N/A</v>
      </c>
      <c r="G76" s="12" t="e">
        <f t="shared" si="101"/>
        <v>#N/A</v>
      </c>
      <c r="H76" s="12" t="e">
        <f t="shared" ref="H76" si="102">H11</f>
        <v>#N/A</v>
      </c>
    </row>
    <row r="77" spans="1:8" ht="15" hidden="1" x14ac:dyDescent="0.25">
      <c r="A77" s="5" t="s">
        <v>2520</v>
      </c>
      <c r="B77" s="2" t="s">
        <v>2309</v>
      </c>
      <c r="C77" s="3" t="s">
        <v>407</v>
      </c>
      <c r="D77" s="12">
        <f t="shared" ref="D77:E77" si="103">D32</f>
        <v>8.01</v>
      </c>
      <c r="E77" s="12">
        <f t="shared" si="103"/>
        <v>0</v>
      </c>
      <c r="F77" s="12">
        <f t="shared" ref="F77:G77" si="104">F32</f>
        <v>0</v>
      </c>
      <c r="G77" s="12">
        <f t="shared" si="104"/>
        <v>0</v>
      </c>
      <c r="H77" s="12">
        <f t="shared" ref="H77" si="105">H32</f>
        <v>0</v>
      </c>
    </row>
    <row r="78" spans="1:8" ht="15" hidden="1" x14ac:dyDescent="0.25">
      <c r="A78" s="5" t="s">
        <v>2521</v>
      </c>
      <c r="B78" s="2" t="s">
        <v>2310</v>
      </c>
      <c r="C78" s="3" t="s">
        <v>407</v>
      </c>
      <c r="D78" s="12">
        <f t="shared" ref="D78:E78" si="106">D30</f>
        <v>0.29499999999999998</v>
      </c>
      <c r="E78" s="12">
        <f t="shared" si="106"/>
        <v>0</v>
      </c>
      <c r="F78" s="12">
        <f t="shared" ref="F78:G78" si="107">F30</f>
        <v>0</v>
      </c>
      <c r="G78" s="12">
        <f t="shared" si="107"/>
        <v>0</v>
      </c>
      <c r="H78" s="12">
        <f t="shared" ref="H78" si="108">H30</f>
        <v>0</v>
      </c>
    </row>
    <row r="79" spans="1:8" ht="15" hidden="1" x14ac:dyDescent="0.25">
      <c r="A79" s="5" t="s">
        <v>2522</v>
      </c>
      <c r="B79" s="2" t="s">
        <v>2311</v>
      </c>
      <c r="C79" s="3" t="s">
        <v>407</v>
      </c>
      <c r="D79" s="12">
        <f t="shared" ref="D79:E79" si="109">D34</f>
        <v>8.01</v>
      </c>
      <c r="E79" s="12">
        <f t="shared" si="109"/>
        <v>0</v>
      </c>
      <c r="F79" s="12">
        <f t="shared" ref="F79:G79" si="110">F34</f>
        <v>0</v>
      </c>
      <c r="G79" s="12">
        <f t="shared" si="110"/>
        <v>0</v>
      </c>
      <c r="H79" s="12">
        <f t="shared" ref="H79" si="111">H34</f>
        <v>0</v>
      </c>
    </row>
    <row r="80" spans="1:8" hidden="1" x14ac:dyDescent="0.2">
      <c r="C80" s="3"/>
    </row>
    <row r="81" spans="1:8" hidden="1" x14ac:dyDescent="0.2">
      <c r="C81" s="3"/>
      <c r="D81" s="12"/>
      <c r="E81" s="12"/>
      <c r="F81" s="12"/>
      <c r="G81" s="12"/>
      <c r="H81" s="12"/>
    </row>
    <row r="82" spans="1:8" hidden="1" x14ac:dyDescent="0.2">
      <c r="A82" s="16" t="s">
        <v>2265</v>
      </c>
      <c r="C82" s="3"/>
      <c r="D82" s="12"/>
      <c r="E82" s="12"/>
      <c r="F82" s="12"/>
      <c r="G82" s="12"/>
      <c r="H82" s="12"/>
    </row>
    <row r="83" spans="1:8" ht="15" hidden="1" x14ac:dyDescent="0.25">
      <c r="A83" s="5" t="s">
        <v>2523</v>
      </c>
      <c r="B83" s="2" t="s">
        <v>2303</v>
      </c>
      <c r="C83" s="3" t="s">
        <v>900</v>
      </c>
      <c r="D83" s="12">
        <f t="shared" ref="D83:E83" si="112">D10</f>
        <v>4.4800000000000004</v>
      </c>
      <c r="E83" s="12" t="e">
        <f t="shared" si="112"/>
        <v>#N/A</v>
      </c>
      <c r="F83" s="12" t="e">
        <f t="shared" ref="F83:G83" si="113">F10</f>
        <v>#N/A</v>
      </c>
      <c r="G83" s="12" t="e">
        <f t="shared" si="113"/>
        <v>#N/A</v>
      </c>
      <c r="H83" s="12" t="e">
        <f t="shared" ref="H83" si="114">H10</f>
        <v>#N/A</v>
      </c>
    </row>
    <row r="84" spans="1:8" ht="15" hidden="1" x14ac:dyDescent="0.25">
      <c r="A84" s="5" t="s">
        <v>2512</v>
      </c>
      <c r="B84" s="2" t="s">
        <v>2304</v>
      </c>
      <c r="C84" s="3" t="s">
        <v>900</v>
      </c>
      <c r="D84" s="12">
        <f t="shared" ref="D84:E84" si="115">D36</f>
        <v>4.1251499999999997</v>
      </c>
      <c r="E84" s="12">
        <f t="shared" si="115"/>
        <v>0</v>
      </c>
      <c r="F84" s="12">
        <f t="shared" ref="F84:G84" si="116">F36</f>
        <v>0</v>
      </c>
      <c r="G84" s="12">
        <f t="shared" si="116"/>
        <v>0</v>
      </c>
      <c r="H84" s="12">
        <f t="shared" ref="H84" si="117">H36</f>
        <v>0</v>
      </c>
    </row>
    <row r="85" spans="1:8" ht="15" hidden="1" x14ac:dyDescent="0.25">
      <c r="A85" s="5" t="s">
        <v>2524</v>
      </c>
      <c r="B85" s="2" t="s">
        <v>2305</v>
      </c>
      <c r="C85" s="3" t="s">
        <v>900</v>
      </c>
      <c r="D85" s="12">
        <f t="shared" ref="D85:E86" si="118">D37</f>
        <v>3.2066499999999998</v>
      </c>
      <c r="E85" s="12">
        <f t="shared" si="118"/>
        <v>0</v>
      </c>
      <c r="F85" s="12">
        <f t="shared" ref="F85:G85" si="119">F37</f>
        <v>0</v>
      </c>
      <c r="G85" s="12">
        <f t="shared" si="119"/>
        <v>0</v>
      </c>
      <c r="H85" s="12">
        <f t="shared" ref="H85" si="120">H37</f>
        <v>0</v>
      </c>
    </row>
    <row r="86" spans="1:8" ht="15" hidden="1" x14ac:dyDescent="0.25">
      <c r="A86" s="5" t="s">
        <v>2525</v>
      </c>
      <c r="B86" s="2" t="s">
        <v>2306</v>
      </c>
      <c r="C86" s="3" t="s">
        <v>900</v>
      </c>
      <c r="D86" s="12">
        <f t="shared" si="118"/>
        <v>4.1251499999999997</v>
      </c>
      <c r="E86" s="12">
        <f t="shared" si="118"/>
        <v>0</v>
      </c>
      <c r="F86" s="12">
        <f t="shared" ref="F86:G86" si="121">F38</f>
        <v>0</v>
      </c>
      <c r="G86" s="12">
        <f t="shared" si="121"/>
        <v>0</v>
      </c>
      <c r="H86" s="12">
        <f t="shared" ref="H86" si="122">H38</f>
        <v>0</v>
      </c>
    </row>
    <row r="87" spans="1:8" ht="15" hidden="1" x14ac:dyDescent="0.25">
      <c r="A87" s="37" t="s">
        <v>2345</v>
      </c>
      <c r="B87" s="40" t="s">
        <v>2344</v>
      </c>
      <c r="C87" s="41" t="s">
        <v>2068</v>
      </c>
      <c r="D87" s="56">
        <f t="shared" ref="D87:E87" si="123">SUM(D83:D86)</f>
        <v>15.93695</v>
      </c>
      <c r="E87" s="56" t="e">
        <f t="shared" si="123"/>
        <v>#N/A</v>
      </c>
      <c r="F87" s="56" t="e">
        <f t="shared" ref="F87:G87" si="124">SUM(F83:F86)</f>
        <v>#N/A</v>
      </c>
      <c r="G87" s="56" t="e">
        <f t="shared" si="124"/>
        <v>#N/A</v>
      </c>
      <c r="H87" s="56" t="e">
        <f t="shared" ref="H87" si="125">SUM(H83:H86)</f>
        <v>#N/A</v>
      </c>
    </row>
    <row r="88" spans="1:8" hidden="1" x14ac:dyDescent="0.2">
      <c r="C88" s="3"/>
      <c r="D88" s="12"/>
      <c r="E88" s="12"/>
      <c r="F88" s="12"/>
      <c r="G88" s="12"/>
      <c r="H88" s="12"/>
    </row>
    <row r="89" spans="1:8" hidden="1" x14ac:dyDescent="0.2">
      <c r="A89" s="16" t="s">
        <v>2292</v>
      </c>
      <c r="C89" s="3"/>
      <c r="D89" s="12"/>
      <c r="E89" s="12"/>
      <c r="F89" s="12"/>
      <c r="G89" s="12"/>
      <c r="H89" s="12"/>
    </row>
    <row r="90" spans="1:8" ht="14.25" hidden="1" x14ac:dyDescent="0.25">
      <c r="A90" s="5" t="s">
        <v>2523</v>
      </c>
      <c r="B90" s="2" t="s">
        <v>1686</v>
      </c>
      <c r="C90" s="3" t="s">
        <v>407</v>
      </c>
      <c r="D90" s="12">
        <f t="shared" ref="D90:E90" si="126">D25</f>
        <v>0.63400000000000001</v>
      </c>
      <c r="E90" s="12" t="e">
        <f t="shared" si="126"/>
        <v>#N/A</v>
      </c>
      <c r="F90" s="12" t="e">
        <f t="shared" ref="F90:G90" si="127">F25</f>
        <v>#N/A</v>
      </c>
      <c r="G90" s="12" t="e">
        <f t="shared" si="127"/>
        <v>#N/A</v>
      </c>
      <c r="H90" s="12" t="e">
        <f t="shared" ref="H90" si="128">H25</f>
        <v>#N/A</v>
      </c>
    </row>
    <row r="91" spans="1:8" ht="15" hidden="1" x14ac:dyDescent="0.25">
      <c r="A91" s="5" t="s">
        <v>2512</v>
      </c>
      <c r="B91" s="2" t="s">
        <v>1687</v>
      </c>
      <c r="C91" s="3" t="s">
        <v>407</v>
      </c>
      <c r="D91" s="12">
        <f t="shared" ref="D91:E91" si="129">D69+D70/2</f>
        <v>0.4975</v>
      </c>
      <c r="E91" s="12" t="e">
        <f t="shared" si="129"/>
        <v>#N/A</v>
      </c>
      <c r="F91" s="12" t="e">
        <f t="shared" ref="F91:G91" si="130">F69+F70/2</f>
        <v>#N/A</v>
      </c>
      <c r="G91" s="12" t="e">
        <f t="shared" si="130"/>
        <v>#N/A</v>
      </c>
      <c r="H91" s="12" t="e">
        <f t="shared" ref="H91" si="131">H69+H70/2</f>
        <v>#N/A</v>
      </c>
    </row>
    <row r="92" spans="1:8" ht="15" hidden="1" x14ac:dyDescent="0.25">
      <c r="A92" s="5" t="s">
        <v>2524</v>
      </c>
      <c r="B92" s="2" t="s">
        <v>1688</v>
      </c>
      <c r="C92" s="3" t="s">
        <v>407</v>
      </c>
      <c r="D92" s="12">
        <f t="shared" ref="D92:E92" si="132">D69+D70+D71/2</f>
        <v>6.1899999999999995</v>
      </c>
      <c r="E92" s="12" t="e">
        <f t="shared" si="132"/>
        <v>#N/A</v>
      </c>
      <c r="F92" s="12" t="e">
        <f t="shared" ref="F92:G92" si="133">F69+F70+F71/2</f>
        <v>#N/A</v>
      </c>
      <c r="G92" s="12" t="e">
        <f t="shared" si="133"/>
        <v>#N/A</v>
      </c>
      <c r="H92" s="12" t="e">
        <f t="shared" ref="H92" si="134">H69+H70+H71/2</f>
        <v>#N/A</v>
      </c>
    </row>
    <row r="93" spans="1:8" ht="15" hidden="1" x14ac:dyDescent="0.25">
      <c r="A93" s="5" t="s">
        <v>2525</v>
      </c>
      <c r="B93" s="2" t="s">
        <v>1689</v>
      </c>
      <c r="C93" s="3" t="s">
        <v>407</v>
      </c>
      <c r="D93" s="2">
        <f t="shared" ref="D93:E93" si="135">D69+D70+D71+D72/2</f>
        <v>11.8825</v>
      </c>
      <c r="E93" s="2" t="e">
        <f t="shared" si="135"/>
        <v>#N/A</v>
      </c>
      <c r="F93" s="2" t="e">
        <f t="shared" ref="F93:G93" si="136">F69+F70+F71+F72/2</f>
        <v>#N/A</v>
      </c>
      <c r="G93" s="2" t="e">
        <f t="shared" si="136"/>
        <v>#N/A</v>
      </c>
      <c r="H93" s="2" t="e">
        <f t="shared" ref="H93" si="137">H69+H70+H71+H72/2</f>
        <v>#N/A</v>
      </c>
    </row>
    <row r="94" spans="1:8" hidden="1" x14ac:dyDescent="0.2">
      <c r="C94" s="3"/>
      <c r="D94" s="12"/>
      <c r="E94" s="12"/>
      <c r="F94" s="12"/>
      <c r="G94" s="12"/>
      <c r="H94" s="12"/>
    </row>
    <row r="95" spans="1:8" hidden="1" x14ac:dyDescent="0.2">
      <c r="A95" s="16" t="s">
        <v>2293</v>
      </c>
      <c r="C95" s="3"/>
      <c r="D95" s="12"/>
      <c r="E95" s="12"/>
      <c r="F95" s="12"/>
      <c r="G95" s="12"/>
      <c r="H95" s="12"/>
    </row>
    <row r="96" spans="1:8" ht="15" hidden="1" x14ac:dyDescent="0.25">
      <c r="A96" s="5" t="s">
        <v>2523</v>
      </c>
      <c r="B96" s="2" t="s">
        <v>2318</v>
      </c>
      <c r="C96" s="3" t="s">
        <v>906</v>
      </c>
      <c r="D96" s="10">
        <f t="shared" ref="D96:E99" si="138">D83*D90</f>
        <v>2.8403200000000002</v>
      </c>
      <c r="E96" s="10" t="e">
        <f t="shared" si="138"/>
        <v>#N/A</v>
      </c>
      <c r="F96" s="10" t="e">
        <f t="shared" ref="F96:G96" si="139">F83*F90</f>
        <v>#N/A</v>
      </c>
      <c r="G96" s="10" t="e">
        <f t="shared" si="139"/>
        <v>#N/A</v>
      </c>
      <c r="H96" s="10" t="e">
        <f t="shared" ref="H96" si="140">H83*H90</f>
        <v>#N/A</v>
      </c>
    </row>
    <row r="97" spans="1:8" ht="15" hidden="1" x14ac:dyDescent="0.25">
      <c r="A97" s="5" t="s">
        <v>2512</v>
      </c>
      <c r="B97" s="2" t="s">
        <v>2319</v>
      </c>
      <c r="C97" s="3" t="s">
        <v>906</v>
      </c>
      <c r="D97" s="10">
        <f t="shared" si="138"/>
        <v>2.0522621249999999</v>
      </c>
      <c r="E97" s="10" t="e">
        <f t="shared" si="138"/>
        <v>#N/A</v>
      </c>
      <c r="F97" s="10" t="e">
        <f t="shared" ref="F97:G97" si="141">F84*F91</f>
        <v>#N/A</v>
      </c>
      <c r="G97" s="10" t="e">
        <f t="shared" si="141"/>
        <v>#N/A</v>
      </c>
      <c r="H97" s="10" t="e">
        <f t="shared" ref="H97" si="142">H84*H91</f>
        <v>#N/A</v>
      </c>
    </row>
    <row r="98" spans="1:8" ht="15" hidden="1" x14ac:dyDescent="0.25">
      <c r="A98" s="5" t="s">
        <v>2524</v>
      </c>
      <c r="B98" s="2" t="s">
        <v>2320</v>
      </c>
      <c r="C98" s="3" t="s">
        <v>2263</v>
      </c>
      <c r="D98" s="10">
        <f t="shared" si="138"/>
        <v>19.849163499999996</v>
      </c>
      <c r="E98" s="10" t="e">
        <f t="shared" si="138"/>
        <v>#N/A</v>
      </c>
      <c r="F98" s="10" t="e">
        <f t="shared" ref="F98:G98" si="143">F85*F92</f>
        <v>#N/A</v>
      </c>
      <c r="G98" s="10" t="e">
        <f t="shared" si="143"/>
        <v>#N/A</v>
      </c>
      <c r="H98" s="10" t="e">
        <f t="shared" ref="H98" si="144">H85*H92</f>
        <v>#N/A</v>
      </c>
    </row>
    <row r="99" spans="1:8" ht="15" hidden="1" x14ac:dyDescent="0.25">
      <c r="A99" s="5" t="s">
        <v>2525</v>
      </c>
      <c r="B99" s="2" t="s">
        <v>2321</v>
      </c>
      <c r="C99" s="3" t="s">
        <v>2263</v>
      </c>
      <c r="D99" s="10">
        <f t="shared" si="138"/>
        <v>49.017094874999998</v>
      </c>
      <c r="E99" s="10" t="e">
        <f t="shared" si="138"/>
        <v>#N/A</v>
      </c>
      <c r="F99" s="10" t="e">
        <f t="shared" ref="F99:G99" si="145">F86*F93</f>
        <v>#N/A</v>
      </c>
      <c r="G99" s="10" t="e">
        <f t="shared" si="145"/>
        <v>#N/A</v>
      </c>
      <c r="H99" s="10" t="e">
        <f t="shared" ref="H99" si="146">H86*H93</f>
        <v>#N/A</v>
      </c>
    </row>
    <row r="100" spans="1:8" ht="15" hidden="1" x14ac:dyDescent="0.2">
      <c r="A100" s="5" t="s">
        <v>2266</v>
      </c>
      <c r="B100" s="2" t="s">
        <v>2290</v>
      </c>
      <c r="C100" s="3" t="s">
        <v>2263</v>
      </c>
      <c r="D100" s="63">
        <f t="shared" ref="D100:E100" si="147">SUM(D96:D99)</f>
        <v>73.758840499999991</v>
      </c>
      <c r="E100" s="63" t="e">
        <f t="shared" si="147"/>
        <v>#N/A</v>
      </c>
      <c r="F100" s="63" t="e">
        <f t="shared" ref="F100:G100" si="148">SUM(F96:F99)</f>
        <v>#N/A</v>
      </c>
      <c r="G100" s="63" t="e">
        <f t="shared" si="148"/>
        <v>#N/A</v>
      </c>
      <c r="H100" s="63" t="e">
        <f t="shared" ref="H100" si="149">SUM(H96:H99)</f>
        <v>#N/A</v>
      </c>
    </row>
    <row r="101" spans="1:8" hidden="1" x14ac:dyDescent="0.2"/>
    <row r="102" spans="1:8" ht="14.25" hidden="1" x14ac:dyDescent="0.25">
      <c r="A102" s="37" t="s">
        <v>2387</v>
      </c>
      <c r="B102" s="40" t="s">
        <v>1777</v>
      </c>
      <c r="C102" s="41" t="s">
        <v>407</v>
      </c>
      <c r="D102" s="56">
        <f t="shared" ref="D102:E102" si="150">D100/D87</f>
        <v>4.6281653955116875</v>
      </c>
      <c r="E102" s="56" t="e">
        <f t="shared" si="150"/>
        <v>#N/A</v>
      </c>
      <c r="F102" s="56" t="e">
        <f t="shared" ref="F102:G102" si="151">F100/F87</f>
        <v>#N/A</v>
      </c>
      <c r="G102" s="56" t="e">
        <f t="shared" si="151"/>
        <v>#N/A</v>
      </c>
      <c r="H102" s="56" t="e">
        <f t="shared" ref="H102" si="152">H100/H87</f>
        <v>#N/A</v>
      </c>
    </row>
    <row r="103" spans="1:8" ht="14.25" hidden="1" x14ac:dyDescent="0.25">
      <c r="A103" s="13" t="s">
        <v>2388</v>
      </c>
      <c r="B103" s="14" t="s">
        <v>2264</v>
      </c>
      <c r="C103" s="3" t="s">
        <v>407</v>
      </c>
      <c r="D103" s="12">
        <f t="shared" ref="D103:E103" si="153">D73-D102</f>
        <v>7.5118346044883131</v>
      </c>
      <c r="E103" s="12" t="e">
        <f t="shared" si="153"/>
        <v>#N/A</v>
      </c>
      <c r="F103" s="12" t="e">
        <f t="shared" ref="F103:G103" si="154">F73-F102</f>
        <v>#N/A</v>
      </c>
      <c r="G103" s="12" t="e">
        <f t="shared" si="154"/>
        <v>#N/A</v>
      </c>
      <c r="H103" s="12" t="e">
        <f t="shared" ref="H103" si="155">H73-H102</f>
        <v>#N/A</v>
      </c>
    </row>
    <row r="104" spans="1:8" hidden="1" x14ac:dyDescent="0.2"/>
    <row r="105" spans="1:8" hidden="1" x14ac:dyDescent="0.2">
      <c r="A105" s="16" t="s">
        <v>2328</v>
      </c>
    </row>
    <row r="106" spans="1:8" ht="15" hidden="1" x14ac:dyDescent="0.25">
      <c r="A106" s="5" t="s">
        <v>2523</v>
      </c>
      <c r="B106" s="2" t="s">
        <v>947</v>
      </c>
      <c r="C106" s="3" t="s">
        <v>873</v>
      </c>
      <c r="D106" s="10">
        <f t="shared" ref="D106:E106" si="156">D19</f>
        <v>2.27</v>
      </c>
      <c r="E106" s="10" t="e">
        <f t="shared" si="156"/>
        <v>#N/A</v>
      </c>
      <c r="F106" s="10" t="e">
        <f t="shared" ref="F106:G106" si="157">F19</f>
        <v>#N/A</v>
      </c>
      <c r="G106" s="10" t="e">
        <f t="shared" si="157"/>
        <v>#N/A</v>
      </c>
      <c r="H106" s="10" t="e">
        <f t="shared" ref="H106" si="158">H19</f>
        <v>#N/A</v>
      </c>
    </row>
    <row r="107" spans="1:8" ht="15" hidden="1" x14ac:dyDescent="0.25">
      <c r="A107" s="5" t="s">
        <v>2512</v>
      </c>
      <c r="B107" s="2" t="s">
        <v>1720</v>
      </c>
      <c r="C107" s="3" t="s">
        <v>873</v>
      </c>
      <c r="D107" s="10">
        <f t="shared" ref="D107:E109" si="159">(D77*D70^3)/12</f>
        <v>9.1174409062500003E-2</v>
      </c>
      <c r="E107" s="10">
        <f t="shared" si="159"/>
        <v>0</v>
      </c>
      <c r="F107" s="10">
        <f t="shared" ref="F107:G107" si="160">(F77*F70^3)/12</f>
        <v>0</v>
      </c>
      <c r="G107" s="10">
        <f t="shared" si="160"/>
        <v>0</v>
      </c>
      <c r="H107" s="10">
        <f t="shared" ref="H107" si="161">(H77*H70^3)/12</f>
        <v>0</v>
      </c>
    </row>
    <row r="108" spans="1:8" ht="15" hidden="1" x14ac:dyDescent="0.25">
      <c r="A108" s="5" t="s">
        <v>2524</v>
      </c>
      <c r="B108" s="2" t="s">
        <v>1721</v>
      </c>
      <c r="C108" s="3" t="s">
        <v>873</v>
      </c>
      <c r="D108" s="10">
        <f t="shared" si="159"/>
        <v>31.573985282083328</v>
      </c>
      <c r="E108" s="10">
        <f t="shared" si="159"/>
        <v>0</v>
      </c>
      <c r="F108" s="10">
        <f t="shared" ref="F108:G108" si="162">(F78*F71^3)/12</f>
        <v>0</v>
      </c>
      <c r="G108" s="10">
        <f t="shared" si="162"/>
        <v>0</v>
      </c>
      <c r="H108" s="10">
        <f t="shared" ref="H108" si="163">(H78*H71^3)/12</f>
        <v>0</v>
      </c>
    </row>
    <row r="109" spans="1:8" ht="15" hidden="1" x14ac:dyDescent="0.25">
      <c r="A109" s="5" t="s">
        <v>2525</v>
      </c>
      <c r="B109" s="2" t="s">
        <v>1722</v>
      </c>
      <c r="C109" s="3" t="s">
        <v>873</v>
      </c>
      <c r="D109" s="10">
        <f t="shared" si="159"/>
        <v>9.1174409062500003E-2</v>
      </c>
      <c r="E109" s="10">
        <f t="shared" si="159"/>
        <v>0</v>
      </c>
      <c r="F109" s="10">
        <f t="shared" ref="F109:G109" si="164">(F79*F72^3)/12</f>
        <v>0</v>
      </c>
      <c r="G109" s="10">
        <f t="shared" si="164"/>
        <v>0</v>
      </c>
      <c r="H109" s="10">
        <f t="shared" ref="H109" si="165">(H79*H72^3)/12</f>
        <v>0</v>
      </c>
    </row>
    <row r="110" spans="1:8" ht="15" hidden="1" x14ac:dyDescent="0.25">
      <c r="A110" s="5" t="s">
        <v>2266</v>
      </c>
      <c r="B110" s="34" t="s">
        <v>2298</v>
      </c>
      <c r="C110" s="3" t="s">
        <v>873</v>
      </c>
      <c r="D110" s="63">
        <f t="shared" ref="D110:E110" si="166">SUM(D106:D109)</f>
        <v>34.026334100208331</v>
      </c>
      <c r="E110" s="63" t="e">
        <f t="shared" si="166"/>
        <v>#N/A</v>
      </c>
      <c r="F110" s="63" t="e">
        <f t="shared" ref="F110:G110" si="167">SUM(F106:F109)</f>
        <v>#N/A</v>
      </c>
      <c r="G110" s="63" t="e">
        <f t="shared" si="167"/>
        <v>#N/A</v>
      </c>
      <c r="H110" s="63" t="e">
        <f t="shared" ref="H110" si="168">SUM(H106:H109)</f>
        <v>#N/A</v>
      </c>
    </row>
    <row r="111" spans="1:8" hidden="1" x14ac:dyDescent="0.2"/>
    <row r="112" spans="1:8" ht="14.25" hidden="1" x14ac:dyDescent="0.25">
      <c r="A112" s="16" t="s">
        <v>2323</v>
      </c>
    </row>
    <row r="113" spans="1:8" ht="14.25" hidden="1" x14ac:dyDescent="0.25">
      <c r="A113" s="5" t="s">
        <v>2523</v>
      </c>
      <c r="B113" s="2" t="s">
        <v>1704</v>
      </c>
      <c r="C113" s="3" t="s">
        <v>407</v>
      </c>
      <c r="D113" s="10">
        <f t="shared" ref="D113:E116" si="169">D$102-D90</f>
        <v>3.9941653955116876</v>
      </c>
      <c r="E113" s="10" t="e">
        <f t="shared" si="169"/>
        <v>#N/A</v>
      </c>
      <c r="F113" s="10" t="e">
        <f t="shared" ref="F113:G113" si="170">F$102-F90</f>
        <v>#N/A</v>
      </c>
      <c r="G113" s="10" t="e">
        <f t="shared" si="170"/>
        <v>#N/A</v>
      </c>
      <c r="H113" s="10" t="e">
        <f t="shared" ref="H113" si="171">H$102-H90</f>
        <v>#N/A</v>
      </c>
    </row>
    <row r="114" spans="1:8" ht="15" hidden="1" x14ac:dyDescent="0.25">
      <c r="A114" s="5" t="s">
        <v>2512</v>
      </c>
      <c r="B114" s="2" t="s">
        <v>1705</v>
      </c>
      <c r="C114" s="3" t="s">
        <v>407</v>
      </c>
      <c r="D114" s="10">
        <f t="shared" si="169"/>
        <v>4.1306653955116879</v>
      </c>
      <c r="E114" s="10" t="e">
        <f t="shared" si="169"/>
        <v>#N/A</v>
      </c>
      <c r="F114" s="10" t="e">
        <f t="shared" ref="F114:G114" si="172">F$102-F91</f>
        <v>#N/A</v>
      </c>
      <c r="G114" s="10" t="e">
        <f t="shared" si="172"/>
        <v>#N/A</v>
      </c>
      <c r="H114" s="10" t="e">
        <f t="shared" ref="H114" si="173">H$102-H91</f>
        <v>#N/A</v>
      </c>
    </row>
    <row r="115" spans="1:8" ht="15" hidden="1" x14ac:dyDescent="0.25">
      <c r="A115" s="5" t="s">
        <v>2524</v>
      </c>
      <c r="B115" s="2" t="s">
        <v>1706</v>
      </c>
      <c r="C115" s="3" t="s">
        <v>407</v>
      </c>
      <c r="D115" s="10">
        <f t="shared" si="169"/>
        <v>-1.561834604488312</v>
      </c>
      <c r="E115" s="10" t="e">
        <f t="shared" si="169"/>
        <v>#N/A</v>
      </c>
      <c r="F115" s="10" t="e">
        <f t="shared" ref="F115:G115" si="174">F$102-F92</f>
        <v>#N/A</v>
      </c>
      <c r="G115" s="10" t="e">
        <f t="shared" si="174"/>
        <v>#N/A</v>
      </c>
      <c r="H115" s="10" t="e">
        <f t="shared" ref="H115" si="175">H$102-H92</f>
        <v>#N/A</v>
      </c>
    </row>
    <row r="116" spans="1:8" ht="15" hidden="1" x14ac:dyDescent="0.25">
      <c r="A116" s="5" t="s">
        <v>2525</v>
      </c>
      <c r="B116" s="2" t="s">
        <v>1707</v>
      </c>
      <c r="C116" s="3" t="s">
        <v>407</v>
      </c>
      <c r="D116" s="10">
        <f t="shared" si="169"/>
        <v>-7.2543346044883128</v>
      </c>
      <c r="E116" s="10" t="e">
        <f t="shared" si="169"/>
        <v>#N/A</v>
      </c>
      <c r="F116" s="10" t="e">
        <f t="shared" ref="F116:G116" si="176">F$102-F93</f>
        <v>#N/A</v>
      </c>
      <c r="G116" s="10" t="e">
        <f t="shared" si="176"/>
        <v>#N/A</v>
      </c>
      <c r="H116" s="10" t="e">
        <f t="shared" ref="H116" si="177">H$102-H93</f>
        <v>#N/A</v>
      </c>
    </row>
    <row r="117" spans="1:8" hidden="1" x14ac:dyDescent="0.2"/>
    <row r="118" spans="1:8" hidden="1" x14ac:dyDescent="0.2">
      <c r="A118" s="16" t="s">
        <v>2330</v>
      </c>
      <c r="D118" s="4"/>
      <c r="E118" s="4"/>
      <c r="F118" s="4"/>
      <c r="G118" s="4"/>
      <c r="H118" s="4"/>
    </row>
    <row r="119" spans="1:8" ht="15.75" hidden="1" x14ac:dyDescent="0.25">
      <c r="A119" s="5" t="s">
        <v>2523</v>
      </c>
      <c r="B119" s="2" t="s">
        <v>2336</v>
      </c>
      <c r="C119" s="3" t="s">
        <v>873</v>
      </c>
      <c r="D119" s="10">
        <f t="shared" ref="D119:E122" si="178">D83*D113^2</f>
        <v>71.471040286029606</v>
      </c>
      <c r="E119" s="10" t="e">
        <f t="shared" si="178"/>
        <v>#N/A</v>
      </c>
      <c r="F119" s="10" t="e">
        <f t="shared" ref="F119:G119" si="179">F83*F113^2</f>
        <v>#N/A</v>
      </c>
      <c r="G119" s="10" t="e">
        <f t="shared" si="179"/>
        <v>#N/A</v>
      </c>
      <c r="H119" s="10" t="e">
        <f t="shared" ref="H119" si="180">H83*H113^2</f>
        <v>#N/A</v>
      </c>
    </row>
    <row r="120" spans="1:8" ht="15.75" hidden="1" x14ac:dyDescent="0.25">
      <c r="A120" s="5" t="s">
        <v>2512</v>
      </c>
      <c r="B120" s="2" t="s">
        <v>2335</v>
      </c>
      <c r="C120" s="3" t="s">
        <v>873</v>
      </c>
      <c r="D120" s="10">
        <f t="shared" si="178"/>
        <v>70.384945374412084</v>
      </c>
      <c r="E120" s="10" t="e">
        <f t="shared" si="178"/>
        <v>#N/A</v>
      </c>
      <c r="F120" s="10" t="e">
        <f t="shared" ref="F120:G120" si="181">F84*F114^2</f>
        <v>#N/A</v>
      </c>
      <c r="G120" s="10" t="e">
        <f t="shared" si="181"/>
        <v>#N/A</v>
      </c>
      <c r="H120" s="10" t="e">
        <f t="shared" ref="H120" si="182">H84*H114^2</f>
        <v>#N/A</v>
      </c>
    </row>
    <row r="121" spans="1:8" ht="15.75" hidden="1" x14ac:dyDescent="0.25">
      <c r="A121" s="5" t="s">
        <v>2524</v>
      </c>
      <c r="B121" s="2" t="s">
        <v>2334</v>
      </c>
      <c r="C121" s="3" t="s">
        <v>873</v>
      </c>
      <c r="D121" s="10">
        <f t="shared" si="178"/>
        <v>7.8220689884432364</v>
      </c>
      <c r="E121" s="10" t="e">
        <f t="shared" si="178"/>
        <v>#N/A</v>
      </c>
      <c r="F121" s="10" t="e">
        <f t="shared" ref="F121:G121" si="183">F85*F115^2</f>
        <v>#N/A</v>
      </c>
      <c r="G121" s="10" t="e">
        <f t="shared" si="183"/>
        <v>#N/A</v>
      </c>
      <c r="H121" s="10" t="e">
        <f t="shared" ref="H121" si="184">H85*H115^2</f>
        <v>#N/A</v>
      </c>
    </row>
    <row r="122" spans="1:8" ht="15.75" hidden="1" x14ac:dyDescent="0.25">
      <c r="A122" s="5" t="s">
        <v>2525</v>
      </c>
      <c r="B122" s="2" t="s">
        <v>2333</v>
      </c>
      <c r="C122" s="3" t="s">
        <v>873</v>
      </c>
      <c r="D122" s="10">
        <f t="shared" si="178"/>
        <v>217.08754734032408</v>
      </c>
      <c r="E122" s="10" t="e">
        <f t="shared" si="178"/>
        <v>#N/A</v>
      </c>
      <c r="F122" s="10" t="e">
        <f t="shared" ref="F122:G122" si="185">F86*F116^2</f>
        <v>#N/A</v>
      </c>
      <c r="G122" s="10" t="e">
        <f t="shared" si="185"/>
        <v>#N/A</v>
      </c>
      <c r="H122" s="10" t="e">
        <f t="shared" ref="H122" si="186">H86*H116^2</f>
        <v>#N/A</v>
      </c>
    </row>
    <row r="123" spans="1:8" ht="15" hidden="1" x14ac:dyDescent="0.2">
      <c r="A123" s="5" t="s">
        <v>2266</v>
      </c>
      <c r="B123" s="2" t="s">
        <v>2329</v>
      </c>
      <c r="C123" s="3" t="s">
        <v>873</v>
      </c>
      <c r="D123" s="63">
        <f t="shared" ref="D123:E123" si="187">SUM(D119:D122)</f>
        <v>366.76560198920902</v>
      </c>
      <c r="E123" s="63" t="e">
        <f t="shared" si="187"/>
        <v>#N/A</v>
      </c>
      <c r="F123" s="63" t="e">
        <f t="shared" ref="F123:G123" si="188">SUM(F119:F122)</f>
        <v>#N/A</v>
      </c>
      <c r="G123" s="63" t="e">
        <f t="shared" si="188"/>
        <v>#N/A</v>
      </c>
      <c r="H123" s="63" t="e">
        <f t="shared" ref="H123" si="189">SUM(H119:H122)</f>
        <v>#N/A</v>
      </c>
    </row>
    <row r="124" spans="1:8" hidden="1" x14ac:dyDescent="0.2"/>
    <row r="125" spans="1:8" hidden="1" x14ac:dyDescent="0.2">
      <c r="A125" s="16" t="s">
        <v>2348</v>
      </c>
    </row>
    <row r="126" spans="1:8" ht="15.75" hidden="1" x14ac:dyDescent="0.25">
      <c r="A126" s="5" t="s">
        <v>2523</v>
      </c>
      <c r="B126" s="2" t="s">
        <v>2331</v>
      </c>
      <c r="C126" s="3" t="s">
        <v>873</v>
      </c>
      <c r="D126" s="10">
        <f t="shared" ref="D126:E129" si="190">D106+D119</f>
        <v>73.741040286029602</v>
      </c>
      <c r="E126" s="10" t="e">
        <f t="shared" si="190"/>
        <v>#N/A</v>
      </c>
      <c r="F126" s="10" t="e">
        <f t="shared" ref="F126:G126" si="191">F106+F119</f>
        <v>#N/A</v>
      </c>
      <c r="G126" s="10" t="e">
        <f t="shared" si="191"/>
        <v>#N/A</v>
      </c>
      <c r="H126" s="10" t="e">
        <f t="shared" ref="H126" si="192">H106+H119</f>
        <v>#N/A</v>
      </c>
    </row>
    <row r="127" spans="1:8" ht="15.75" hidden="1" x14ac:dyDescent="0.25">
      <c r="A127" s="5" t="s">
        <v>2512</v>
      </c>
      <c r="B127" s="2" t="s">
        <v>2340</v>
      </c>
      <c r="C127" s="3" t="s">
        <v>873</v>
      </c>
      <c r="D127" s="10">
        <f t="shared" si="190"/>
        <v>70.476119783474587</v>
      </c>
      <c r="E127" s="10" t="e">
        <f t="shared" si="190"/>
        <v>#N/A</v>
      </c>
      <c r="F127" s="10" t="e">
        <f t="shared" ref="F127:G127" si="193">F107+F120</f>
        <v>#N/A</v>
      </c>
      <c r="G127" s="10" t="e">
        <f t="shared" si="193"/>
        <v>#N/A</v>
      </c>
      <c r="H127" s="10" t="e">
        <f t="shared" ref="H127" si="194">H107+H120</f>
        <v>#N/A</v>
      </c>
    </row>
    <row r="128" spans="1:8" ht="15.75" hidden="1" x14ac:dyDescent="0.25">
      <c r="A128" s="5" t="s">
        <v>2524</v>
      </c>
      <c r="B128" s="2" t="s">
        <v>2339</v>
      </c>
      <c r="C128" s="3" t="s">
        <v>873</v>
      </c>
      <c r="D128" s="10">
        <f t="shared" si="190"/>
        <v>39.396054270526562</v>
      </c>
      <c r="E128" s="10" t="e">
        <f t="shared" si="190"/>
        <v>#N/A</v>
      </c>
      <c r="F128" s="10" t="e">
        <f t="shared" ref="F128:G128" si="195">F108+F121</f>
        <v>#N/A</v>
      </c>
      <c r="G128" s="10" t="e">
        <f t="shared" si="195"/>
        <v>#N/A</v>
      </c>
      <c r="H128" s="10" t="e">
        <f t="shared" ref="H128" si="196">H108+H121</f>
        <v>#N/A</v>
      </c>
    </row>
    <row r="129" spans="1:8" ht="15.75" hidden="1" x14ac:dyDescent="0.25">
      <c r="A129" s="5" t="s">
        <v>2525</v>
      </c>
      <c r="B129" s="2" t="s">
        <v>2338</v>
      </c>
      <c r="C129" s="3" t="s">
        <v>873</v>
      </c>
      <c r="D129" s="10">
        <f t="shared" si="190"/>
        <v>217.17872174938657</v>
      </c>
      <c r="E129" s="10" t="e">
        <f t="shared" si="190"/>
        <v>#N/A</v>
      </c>
      <c r="F129" s="10" t="e">
        <f t="shared" ref="F129:G129" si="197">F109+F122</f>
        <v>#N/A</v>
      </c>
      <c r="G129" s="10" t="e">
        <f t="shared" si="197"/>
        <v>#N/A</v>
      </c>
      <c r="H129" s="10" t="e">
        <f t="shared" ref="H129" si="198">H109+H122</f>
        <v>#N/A</v>
      </c>
    </row>
    <row r="130" spans="1:8" ht="15.75" hidden="1" x14ac:dyDescent="0.25">
      <c r="A130" s="37" t="s">
        <v>2341</v>
      </c>
      <c r="B130" s="40" t="s">
        <v>2342</v>
      </c>
      <c r="C130" s="41" t="s">
        <v>2343</v>
      </c>
      <c r="D130" s="65">
        <f t="shared" ref="D130:E130" si="199">SUM(D126:D129)</f>
        <v>400.79193608941733</v>
      </c>
      <c r="E130" s="65" t="e">
        <f t="shared" si="199"/>
        <v>#N/A</v>
      </c>
      <c r="F130" s="65" t="e">
        <f t="shared" ref="F130:G130" si="200">SUM(F126:F129)</f>
        <v>#N/A</v>
      </c>
      <c r="G130" s="65" t="e">
        <f t="shared" si="200"/>
        <v>#N/A</v>
      </c>
      <c r="H130" s="65" t="e">
        <f t="shared" ref="H130" si="201">SUM(H126:H129)</f>
        <v>#N/A</v>
      </c>
    </row>
    <row r="131" spans="1:8" hidden="1" x14ac:dyDescent="0.2"/>
    <row r="132" spans="1:8" hidden="1" x14ac:dyDescent="0.2">
      <c r="A132" s="16" t="s">
        <v>2349</v>
      </c>
    </row>
    <row r="133" spans="1:8" ht="15" hidden="1" x14ac:dyDescent="0.25">
      <c r="A133" s="5" t="s">
        <v>2523</v>
      </c>
      <c r="B133" s="2" t="s">
        <v>950</v>
      </c>
      <c r="C133" s="3" t="s">
        <v>873</v>
      </c>
      <c r="D133" s="10">
        <f t="shared" ref="D133:E133" si="202">D15</f>
        <v>67.3</v>
      </c>
      <c r="E133" s="10" t="e">
        <f t="shared" si="202"/>
        <v>#N/A</v>
      </c>
      <c r="F133" s="10" t="e">
        <f t="shared" ref="F133:G133" si="203">F15</f>
        <v>#N/A</v>
      </c>
      <c r="G133" s="10" t="e">
        <f t="shared" si="203"/>
        <v>#N/A</v>
      </c>
      <c r="H133" s="10" t="e">
        <f t="shared" ref="H133" si="204">H15</f>
        <v>#N/A</v>
      </c>
    </row>
    <row r="134" spans="1:8" ht="15" hidden="1" x14ac:dyDescent="0.25">
      <c r="A134" s="5" t="s">
        <v>2512</v>
      </c>
      <c r="B134" s="2" t="s">
        <v>2494</v>
      </c>
      <c r="C134" s="3" t="s">
        <v>873</v>
      </c>
      <c r="D134" s="10">
        <f t="shared" ref="D134:E134" si="205">(D31*D32^3)/12</f>
        <v>22.055836376250003</v>
      </c>
      <c r="E134" s="10">
        <f t="shared" si="205"/>
        <v>0</v>
      </c>
      <c r="F134" s="10">
        <f t="shared" ref="F134:G134" si="206">(F31*F32^3)/12</f>
        <v>0</v>
      </c>
      <c r="G134" s="10">
        <f t="shared" si="206"/>
        <v>0</v>
      </c>
      <c r="H134" s="10">
        <f t="shared" ref="H134" si="207">(H31*H32^3)/12</f>
        <v>0</v>
      </c>
    </row>
    <row r="135" spans="1:8" ht="15" hidden="1" x14ac:dyDescent="0.25">
      <c r="A135" s="5" t="s">
        <v>2524</v>
      </c>
      <c r="B135" s="2" t="s">
        <v>2496</v>
      </c>
      <c r="C135" s="3" t="s">
        <v>873</v>
      </c>
      <c r="D135" s="10">
        <f t="shared" ref="D135:E135" si="208">(D35*D30^3)/12</f>
        <v>2.325489302083333E-2</v>
      </c>
      <c r="E135" s="10">
        <f t="shared" si="208"/>
        <v>0</v>
      </c>
      <c r="F135" s="10">
        <f t="shared" ref="F135:G135" si="209">(F35*F30^3)/12</f>
        <v>0</v>
      </c>
      <c r="G135" s="10">
        <f t="shared" si="209"/>
        <v>0</v>
      </c>
      <c r="H135" s="10">
        <f t="shared" ref="H135" si="210">(H35*H30^3)/12</f>
        <v>0</v>
      </c>
    </row>
    <row r="136" spans="1:8" ht="15" hidden="1" x14ac:dyDescent="0.25">
      <c r="A136" s="5" t="s">
        <v>2525</v>
      </c>
      <c r="B136" s="2" t="s">
        <v>2497</v>
      </c>
      <c r="C136" s="3" t="s">
        <v>873</v>
      </c>
      <c r="D136" s="10">
        <f t="shared" ref="D136:E136" si="211">(D33*D34^3)/12</f>
        <v>22.055836376250003</v>
      </c>
      <c r="E136" s="10">
        <f t="shared" si="211"/>
        <v>0</v>
      </c>
      <c r="F136" s="10">
        <f t="shared" ref="F136:G136" si="212">(F33*F34^3)/12</f>
        <v>0</v>
      </c>
      <c r="G136" s="10">
        <f t="shared" si="212"/>
        <v>0</v>
      </c>
      <c r="H136" s="10">
        <f t="shared" ref="H136" si="213">(H33*H34^3)/12</f>
        <v>0</v>
      </c>
    </row>
    <row r="137" spans="1:8" ht="15" hidden="1" x14ac:dyDescent="0.25">
      <c r="A137" s="37" t="s">
        <v>2350</v>
      </c>
      <c r="B137" s="40" t="s">
        <v>2498</v>
      </c>
      <c r="C137" s="41" t="s">
        <v>2343</v>
      </c>
      <c r="D137" s="55">
        <f t="shared" ref="D137:E137" si="214">SUM(D133:D136)</f>
        <v>111.43492764552083</v>
      </c>
      <c r="E137" s="55" t="e">
        <f t="shared" si="214"/>
        <v>#N/A</v>
      </c>
      <c r="F137" s="55" t="e">
        <f t="shared" ref="F137:G137" si="215">SUM(F133:F136)</f>
        <v>#N/A</v>
      </c>
      <c r="G137" s="55" t="e">
        <f t="shared" si="215"/>
        <v>#N/A</v>
      </c>
      <c r="H137" s="55" t="e">
        <f t="shared" ref="H137" si="216">SUM(H133:H136)</f>
        <v>#N/A</v>
      </c>
    </row>
    <row r="138" spans="1:8" hidden="1" x14ac:dyDescent="0.2"/>
    <row r="139" spans="1:8" ht="14.25" hidden="1" x14ac:dyDescent="0.25">
      <c r="A139" s="13" t="s">
        <v>2351</v>
      </c>
      <c r="B139" s="14" t="s">
        <v>2284</v>
      </c>
      <c r="C139" s="3" t="s">
        <v>407</v>
      </c>
      <c r="D139" s="28">
        <f t="shared" ref="D139:E139" si="217">MAX(0.5*D76,0.5*D77,0.5*D78,0.5*D79)</f>
        <v>5</v>
      </c>
      <c r="E139" s="28" t="e">
        <f t="shared" si="217"/>
        <v>#N/A</v>
      </c>
      <c r="F139" s="28" t="e">
        <f t="shared" ref="F139:G139" si="218">MAX(0.5*F76,0.5*F77,0.5*F78,0.5*F79)</f>
        <v>#N/A</v>
      </c>
      <c r="G139" s="28" t="e">
        <f t="shared" si="218"/>
        <v>#N/A</v>
      </c>
      <c r="H139" s="28" t="e">
        <f t="shared" ref="H139" si="219">MAX(0.5*H76,0.5*H77,0.5*H78,0.5*H79)</f>
        <v>#N/A</v>
      </c>
    </row>
    <row r="140" spans="1:8" hidden="1" x14ac:dyDescent="0.2"/>
    <row r="141" spans="1:8" hidden="1" x14ac:dyDescent="0.2">
      <c r="A141" s="16" t="s">
        <v>2369</v>
      </c>
    </row>
    <row r="142" spans="1:8" hidden="1" x14ac:dyDescent="0.2">
      <c r="A142" s="45" t="s">
        <v>2371</v>
      </c>
      <c r="D142" s="4"/>
      <c r="E142" s="4"/>
      <c r="F142" s="4"/>
      <c r="G142" s="4"/>
      <c r="H142" s="4"/>
    </row>
    <row r="143" spans="1:8" hidden="1" x14ac:dyDescent="0.2">
      <c r="A143" s="5" t="s">
        <v>2370</v>
      </c>
      <c r="D143" s="2">
        <v>0</v>
      </c>
      <c r="E143" s="2">
        <v>0</v>
      </c>
      <c r="F143" s="2">
        <v>0</v>
      </c>
      <c r="G143" s="2">
        <v>0</v>
      </c>
      <c r="H143" s="2">
        <v>0</v>
      </c>
    </row>
    <row r="144" spans="1:8" ht="15" hidden="1" x14ac:dyDescent="0.2">
      <c r="A144" s="5" t="s">
        <v>2523</v>
      </c>
      <c r="C144" s="3" t="s">
        <v>900</v>
      </c>
      <c r="D144" s="12">
        <f t="shared" ref="D144:E147" si="220">-D83</f>
        <v>-4.4800000000000004</v>
      </c>
      <c r="E144" s="12" t="e">
        <f t="shared" si="220"/>
        <v>#N/A</v>
      </c>
      <c r="F144" s="12" t="e">
        <f t="shared" ref="F144:G144" si="221">-F83</f>
        <v>#N/A</v>
      </c>
      <c r="G144" s="12" t="e">
        <f t="shared" si="221"/>
        <v>#N/A</v>
      </c>
      <c r="H144" s="12" t="e">
        <f t="shared" ref="H144" si="222">-H83</f>
        <v>#N/A</v>
      </c>
    </row>
    <row r="145" spans="1:8" ht="15" hidden="1" x14ac:dyDescent="0.2">
      <c r="A145" s="5" t="s">
        <v>2512</v>
      </c>
      <c r="C145" s="3" t="s">
        <v>900</v>
      </c>
      <c r="D145" s="12">
        <f t="shared" si="220"/>
        <v>-4.1251499999999997</v>
      </c>
      <c r="E145" s="12">
        <f t="shared" si="220"/>
        <v>0</v>
      </c>
      <c r="F145" s="12">
        <f t="shared" ref="F145:G145" si="223">-F84</f>
        <v>0</v>
      </c>
      <c r="G145" s="12">
        <f t="shared" si="223"/>
        <v>0</v>
      </c>
      <c r="H145" s="12">
        <f t="shared" ref="H145" si="224">-H84</f>
        <v>0</v>
      </c>
    </row>
    <row r="146" spans="1:8" ht="15" hidden="1" x14ac:dyDescent="0.2">
      <c r="A146" s="5" t="s">
        <v>2524</v>
      </c>
      <c r="C146" s="3" t="s">
        <v>900</v>
      </c>
      <c r="D146" s="12">
        <f t="shared" si="220"/>
        <v>-3.2066499999999998</v>
      </c>
      <c r="E146" s="12">
        <f t="shared" si="220"/>
        <v>0</v>
      </c>
      <c r="F146" s="12">
        <f t="shared" ref="F146:G146" si="225">-F85</f>
        <v>0</v>
      </c>
      <c r="G146" s="12">
        <f t="shared" si="225"/>
        <v>0</v>
      </c>
      <c r="H146" s="12">
        <f t="shared" ref="H146" si="226">-H85</f>
        <v>0</v>
      </c>
    </row>
    <row r="147" spans="1:8" ht="15" hidden="1" x14ac:dyDescent="0.2">
      <c r="A147" s="5" t="s">
        <v>2525</v>
      </c>
      <c r="C147" s="3" t="s">
        <v>900</v>
      </c>
      <c r="D147" s="12">
        <f t="shared" si="220"/>
        <v>-4.1251499999999997</v>
      </c>
      <c r="E147" s="12">
        <f t="shared" si="220"/>
        <v>0</v>
      </c>
      <c r="F147" s="12">
        <f t="shared" ref="F147:G147" si="227">-F86</f>
        <v>0</v>
      </c>
      <c r="G147" s="12">
        <f t="shared" si="227"/>
        <v>0</v>
      </c>
      <c r="H147" s="12">
        <f t="shared" ref="H147" si="228">-H86</f>
        <v>0</v>
      </c>
    </row>
    <row r="148" spans="1:8" hidden="1" x14ac:dyDescent="0.2"/>
    <row r="149" spans="1:8" hidden="1" x14ac:dyDescent="0.2">
      <c r="A149" s="45" t="s">
        <v>2374</v>
      </c>
    </row>
    <row r="150" spans="1:8" ht="15" hidden="1" x14ac:dyDescent="0.25">
      <c r="A150" s="5" t="s">
        <v>2373</v>
      </c>
      <c r="B150" s="2" t="s">
        <v>2372</v>
      </c>
      <c r="C150" s="3" t="s">
        <v>900</v>
      </c>
      <c r="D150" s="12">
        <f t="shared" ref="D150:E150" si="229">D87/2</f>
        <v>7.9684749999999998</v>
      </c>
      <c r="E150" s="12" t="e">
        <f t="shared" si="229"/>
        <v>#N/A</v>
      </c>
      <c r="F150" s="12" t="e">
        <f t="shared" ref="F150:G150" si="230">F87/2</f>
        <v>#N/A</v>
      </c>
      <c r="G150" s="12" t="e">
        <f t="shared" si="230"/>
        <v>#N/A</v>
      </c>
      <c r="H150" s="12" t="e">
        <f t="shared" ref="H150" si="231">H87/2</f>
        <v>#N/A</v>
      </c>
    </row>
    <row r="151" spans="1:8" ht="15" hidden="1" x14ac:dyDescent="0.2">
      <c r="A151" s="5" t="s">
        <v>2523</v>
      </c>
      <c r="B151" s="2" t="s">
        <v>2375</v>
      </c>
      <c r="C151" s="3" t="s">
        <v>900</v>
      </c>
      <c r="D151" s="12">
        <f t="shared" ref="D151:E154" si="232">D150+D144</f>
        <v>3.4884749999999993</v>
      </c>
      <c r="E151" s="12" t="e">
        <f t="shared" si="232"/>
        <v>#N/A</v>
      </c>
      <c r="F151" s="12" t="e">
        <f t="shared" ref="F151:G151" si="233">F150+F144</f>
        <v>#N/A</v>
      </c>
      <c r="G151" s="12" t="e">
        <f t="shared" si="233"/>
        <v>#N/A</v>
      </c>
      <c r="H151" s="12" t="e">
        <f t="shared" ref="H151" si="234">H150+H144</f>
        <v>#N/A</v>
      </c>
    </row>
    <row r="152" spans="1:8" ht="15" hidden="1" x14ac:dyDescent="0.2">
      <c r="A152" s="5" t="s">
        <v>2512</v>
      </c>
      <c r="B152" s="2" t="s">
        <v>2376</v>
      </c>
      <c r="C152" s="3" t="s">
        <v>900</v>
      </c>
      <c r="D152" s="12">
        <f t="shared" si="232"/>
        <v>-0.63667500000000032</v>
      </c>
      <c r="E152" s="12" t="e">
        <f t="shared" si="232"/>
        <v>#N/A</v>
      </c>
      <c r="F152" s="12" t="e">
        <f t="shared" ref="F152:G152" si="235">F151+F145</f>
        <v>#N/A</v>
      </c>
      <c r="G152" s="12" t="e">
        <f t="shared" si="235"/>
        <v>#N/A</v>
      </c>
      <c r="H152" s="12" t="e">
        <f t="shared" ref="H152" si="236">H151+H145</f>
        <v>#N/A</v>
      </c>
    </row>
    <row r="153" spans="1:8" ht="15" hidden="1" x14ac:dyDescent="0.2">
      <c r="A153" s="5" t="s">
        <v>2524</v>
      </c>
      <c r="B153" s="2" t="s">
        <v>2377</v>
      </c>
      <c r="C153" s="3" t="s">
        <v>900</v>
      </c>
      <c r="D153" s="12">
        <f t="shared" si="232"/>
        <v>-3.8433250000000001</v>
      </c>
      <c r="E153" s="12" t="e">
        <f t="shared" si="232"/>
        <v>#N/A</v>
      </c>
      <c r="F153" s="12" t="e">
        <f t="shared" ref="F153:G153" si="237">F152+F146</f>
        <v>#N/A</v>
      </c>
      <c r="G153" s="12" t="e">
        <f t="shared" si="237"/>
        <v>#N/A</v>
      </c>
      <c r="H153" s="12" t="e">
        <f t="shared" ref="H153" si="238">H152+H146</f>
        <v>#N/A</v>
      </c>
    </row>
    <row r="154" spans="1:8" ht="15" hidden="1" x14ac:dyDescent="0.2">
      <c r="A154" s="5" t="s">
        <v>2525</v>
      </c>
      <c r="B154" s="2" t="s">
        <v>2378</v>
      </c>
      <c r="C154" s="3" t="s">
        <v>900</v>
      </c>
      <c r="D154" s="12">
        <f t="shared" si="232"/>
        <v>-7.9684749999999998</v>
      </c>
      <c r="E154" s="12" t="e">
        <f t="shared" si="232"/>
        <v>#N/A</v>
      </c>
      <c r="F154" s="12" t="e">
        <f t="shared" ref="F154:G154" si="239">F153+F147</f>
        <v>#N/A</v>
      </c>
      <c r="G154" s="12" t="e">
        <f t="shared" si="239"/>
        <v>#N/A</v>
      </c>
      <c r="H154" s="12" t="e">
        <f t="shared" ref="H154" si="240">H153+H147</f>
        <v>#N/A</v>
      </c>
    </row>
    <row r="155" spans="1:8" hidden="1" x14ac:dyDescent="0.2"/>
    <row r="156" spans="1:8" hidden="1" x14ac:dyDescent="0.2">
      <c r="A156" s="45" t="s">
        <v>2385</v>
      </c>
    </row>
    <row r="157" spans="1:8" hidden="1" x14ac:dyDescent="0.2">
      <c r="A157" s="5" t="s">
        <v>2523</v>
      </c>
      <c r="B157" s="2" t="s">
        <v>2380</v>
      </c>
      <c r="C157" s="3" t="s">
        <v>407</v>
      </c>
      <c r="D157" s="12">
        <f t="shared" ref="D157:E157" si="241">IF(D76=0,0,D150/D76)</f>
        <v>0.79684749999999993</v>
      </c>
      <c r="E157" s="12" t="e">
        <f t="shared" si="241"/>
        <v>#N/A</v>
      </c>
      <c r="F157" s="12" t="e">
        <f t="shared" ref="F157:G157" si="242">IF(F76=0,0,F150/F76)</f>
        <v>#N/A</v>
      </c>
      <c r="G157" s="12" t="e">
        <f t="shared" si="242"/>
        <v>#N/A</v>
      </c>
      <c r="H157" s="12" t="e">
        <f t="shared" ref="H157" si="243">IF(H76=0,0,H150/H76)</f>
        <v>#N/A</v>
      </c>
    </row>
    <row r="158" spans="1:8" hidden="1" x14ac:dyDescent="0.2">
      <c r="A158" s="5" t="s">
        <v>2512</v>
      </c>
      <c r="B158" s="2" t="s">
        <v>2381</v>
      </c>
      <c r="C158" s="3" t="s">
        <v>407</v>
      </c>
      <c r="D158" s="12">
        <f t="shared" ref="D158:E160" si="244">IF(D77=0,0,D151/D77)</f>
        <v>0.43551498127340815</v>
      </c>
      <c r="E158" s="12">
        <f t="shared" si="244"/>
        <v>0</v>
      </c>
      <c r="F158" s="12">
        <f t="shared" ref="F158:G158" si="245">IF(F77=0,0,F151/F77)</f>
        <v>0</v>
      </c>
      <c r="G158" s="12">
        <f t="shared" si="245"/>
        <v>0</v>
      </c>
      <c r="H158" s="12">
        <f t="shared" ref="H158" si="246">IF(H77=0,0,H151/H77)</f>
        <v>0</v>
      </c>
    </row>
    <row r="159" spans="1:8" hidden="1" x14ac:dyDescent="0.2">
      <c r="A159" s="5" t="s">
        <v>2524</v>
      </c>
      <c r="B159" s="2" t="s">
        <v>2382</v>
      </c>
      <c r="C159" s="3" t="s">
        <v>407</v>
      </c>
      <c r="D159" s="12">
        <f t="shared" si="244"/>
        <v>-2.1582203389830519</v>
      </c>
      <c r="E159" s="12">
        <f t="shared" si="244"/>
        <v>0</v>
      </c>
      <c r="F159" s="12">
        <f t="shared" ref="F159:G159" si="247">IF(F78=0,0,F152/F78)</f>
        <v>0</v>
      </c>
      <c r="G159" s="12">
        <f t="shared" si="247"/>
        <v>0</v>
      </c>
      <c r="H159" s="12">
        <f t="shared" ref="H159" si="248">IF(H78=0,0,H152/H78)</f>
        <v>0</v>
      </c>
    </row>
    <row r="160" spans="1:8" hidden="1" x14ac:dyDescent="0.2">
      <c r="A160" s="5" t="s">
        <v>2525</v>
      </c>
      <c r="B160" s="2" t="s">
        <v>2383</v>
      </c>
      <c r="C160" s="3" t="s">
        <v>407</v>
      </c>
      <c r="D160" s="12">
        <f t="shared" si="244"/>
        <v>-0.47981585518102376</v>
      </c>
      <c r="E160" s="12">
        <f t="shared" si="244"/>
        <v>0</v>
      </c>
      <c r="F160" s="12">
        <f t="shared" ref="F160:G160" si="249">IF(F79=0,0,F153/F79)</f>
        <v>0</v>
      </c>
      <c r="G160" s="12">
        <f t="shared" si="249"/>
        <v>0</v>
      </c>
      <c r="H160" s="12">
        <f t="shared" ref="H160" si="250">IF(H79=0,0,H153/H79)</f>
        <v>0</v>
      </c>
    </row>
    <row r="161" spans="1:8" hidden="1" x14ac:dyDescent="0.2"/>
    <row r="162" spans="1:8" hidden="1" x14ac:dyDescent="0.2">
      <c r="A162" s="45" t="s">
        <v>2397</v>
      </c>
      <c r="D162" s="4" t="s">
        <v>2268</v>
      </c>
      <c r="E162" s="4" t="s">
        <v>2268</v>
      </c>
      <c r="F162" s="4" t="s">
        <v>2268</v>
      </c>
      <c r="G162" s="4" t="s">
        <v>2268</v>
      </c>
      <c r="H162" s="4" t="s">
        <v>2268</v>
      </c>
    </row>
    <row r="163" spans="1:8" hidden="1" x14ac:dyDescent="0.2">
      <c r="B163" s="2" t="s">
        <v>2390</v>
      </c>
      <c r="C163" s="3" t="s">
        <v>407</v>
      </c>
      <c r="D163" s="12">
        <f t="shared" ref="D163:E163" si="251">D157</f>
        <v>0.79684749999999993</v>
      </c>
      <c r="E163" s="12" t="e">
        <f t="shared" si="251"/>
        <v>#N/A</v>
      </c>
      <c r="F163" s="12" t="e">
        <f t="shared" ref="F163:G163" si="252">F157</f>
        <v>#N/A</v>
      </c>
      <c r="G163" s="12" t="e">
        <f t="shared" si="252"/>
        <v>#N/A</v>
      </c>
      <c r="H163" s="12" t="e">
        <f t="shared" ref="H163" si="253">H157</f>
        <v>#N/A</v>
      </c>
    </row>
    <row r="164" spans="1:8" hidden="1" x14ac:dyDescent="0.2">
      <c r="B164" s="2" t="s">
        <v>2391</v>
      </c>
      <c r="C164" s="3" t="s">
        <v>407</v>
      </c>
      <c r="D164" s="12">
        <f t="shared" ref="D164:E164" si="254">D69+D158</f>
        <v>0.67551498127340814</v>
      </c>
      <c r="E164" s="12" t="e">
        <f t="shared" si="254"/>
        <v>#N/A</v>
      </c>
      <c r="F164" s="12" t="e">
        <f t="shared" ref="F164:G164" si="255">F69+F158</f>
        <v>#N/A</v>
      </c>
      <c r="G164" s="12" t="e">
        <f t="shared" si="255"/>
        <v>#N/A</v>
      </c>
      <c r="H164" s="12" t="e">
        <f t="shared" ref="H164" si="256">H69+H158</f>
        <v>#N/A</v>
      </c>
    </row>
    <row r="165" spans="1:8" hidden="1" x14ac:dyDescent="0.2">
      <c r="B165" s="2" t="s">
        <v>2392</v>
      </c>
      <c r="C165" s="3" t="s">
        <v>407</v>
      </c>
      <c r="D165" s="12">
        <f t="shared" ref="D165:E165" si="257">D69+D70+D159</f>
        <v>-1.403220338983052</v>
      </c>
      <c r="E165" s="12" t="e">
        <f t="shared" si="257"/>
        <v>#N/A</v>
      </c>
      <c r="F165" s="12" t="e">
        <f t="shared" ref="F165:G165" si="258">F69+F70+F159</f>
        <v>#N/A</v>
      </c>
      <c r="G165" s="12" t="e">
        <f t="shared" si="258"/>
        <v>#N/A</v>
      </c>
      <c r="H165" s="12" t="e">
        <f t="shared" ref="H165" si="259">H69+H70+H159</f>
        <v>#N/A</v>
      </c>
    </row>
    <row r="166" spans="1:8" hidden="1" x14ac:dyDescent="0.2">
      <c r="B166" s="2" t="s">
        <v>2393</v>
      </c>
      <c r="C166" s="3" t="s">
        <v>407</v>
      </c>
      <c r="D166" s="12">
        <f t="shared" ref="D166:E166" si="260">D69+D70+D71+D160</f>
        <v>11.145184144818977</v>
      </c>
      <c r="E166" s="12" t="e">
        <f t="shared" si="260"/>
        <v>#N/A</v>
      </c>
      <c r="F166" s="12" t="e">
        <f t="shared" ref="F166:G166" si="261">F69+F70+F71+F160</f>
        <v>#N/A</v>
      </c>
      <c r="G166" s="12" t="e">
        <f t="shared" si="261"/>
        <v>#N/A</v>
      </c>
      <c r="H166" s="12" t="e">
        <f t="shared" ref="H166" si="262">H69+H70+H71+H160</f>
        <v>#N/A</v>
      </c>
    </row>
    <row r="167" spans="1:8" hidden="1" x14ac:dyDescent="0.2"/>
    <row r="168" spans="1:8" ht="14.25" hidden="1" x14ac:dyDescent="0.25">
      <c r="A168" s="37" t="s">
        <v>2386</v>
      </c>
      <c r="B168" s="40" t="s">
        <v>1774</v>
      </c>
      <c r="C168" s="3" t="s">
        <v>407</v>
      </c>
      <c r="D168" s="56">
        <f>IF(D151&lt;0,D163,IF(D152&lt;0,D164,IF(D153&lt;0,D165,IF(D154&lt;0,D166,IF(#REF!&lt;0,#REF!)))))</f>
        <v>0.67551498127340814</v>
      </c>
      <c r="E168" s="56" t="e">
        <f>IF(E151&lt;0,E163,IF(E152&lt;0,E164,IF(E153&lt;0,E165,IF(E154&lt;0,E166,IF(#REF!&lt;0,#REF!)))))</f>
        <v>#N/A</v>
      </c>
      <c r="F168" s="56" t="e">
        <f>IF(F151&lt;0,F163,IF(F152&lt;0,F164,IF(F153&lt;0,F165,IF(F154&lt;0,F166,IF(#REF!&lt;0,#REF!)))))</f>
        <v>#N/A</v>
      </c>
      <c r="G168" s="56" t="e">
        <f>IF(G151&lt;0,G163,IF(G152&lt;0,G164,IF(G153&lt;0,G165,IF(G154&lt;0,G166,IF(#REF!&lt;0,#REF!)))))</f>
        <v>#N/A</v>
      </c>
      <c r="H168" s="56" t="e">
        <f>IF(H151&lt;0,H163,IF(H152&lt;0,H164,IF(H153&lt;0,H165,IF(H154&lt;0,H166,IF(#REF!&lt;0,#REF!)))))</f>
        <v>#N/A</v>
      </c>
    </row>
    <row r="169" spans="1:8" ht="14.25" hidden="1" x14ac:dyDescent="0.25">
      <c r="A169" s="13" t="s">
        <v>2395</v>
      </c>
      <c r="B169" s="14" t="s">
        <v>2396</v>
      </c>
      <c r="C169" s="3" t="s">
        <v>407</v>
      </c>
      <c r="D169" s="12">
        <f t="shared" ref="D169:E169" si="263">D73-D168</f>
        <v>11.464485018726592</v>
      </c>
      <c r="E169" s="12" t="e">
        <f t="shared" si="263"/>
        <v>#N/A</v>
      </c>
      <c r="F169" s="12" t="e">
        <f t="shared" ref="F169:G169" si="264">F73-F168</f>
        <v>#N/A</v>
      </c>
      <c r="G169" s="12" t="e">
        <f t="shared" si="264"/>
        <v>#N/A</v>
      </c>
      <c r="H169" s="12" t="e">
        <f t="shared" ref="H169" si="265">H73-H168</f>
        <v>#N/A</v>
      </c>
    </row>
    <row r="170" spans="1:8" hidden="1" x14ac:dyDescent="0.2"/>
    <row r="171" spans="1:8" hidden="1" x14ac:dyDescent="0.2">
      <c r="A171" s="16" t="s">
        <v>413</v>
      </c>
    </row>
    <row r="172" spans="1:8" hidden="1" x14ac:dyDescent="0.2">
      <c r="A172" s="45" t="s">
        <v>2389</v>
      </c>
    </row>
    <row r="173" spans="1:8" hidden="1" x14ac:dyDescent="0.2">
      <c r="A173" s="5" t="s">
        <v>2526</v>
      </c>
      <c r="B173" s="2" t="s">
        <v>2269</v>
      </c>
      <c r="C173" s="2" t="s">
        <v>407</v>
      </c>
      <c r="D173" s="2">
        <f t="shared" ref="D173:E173" si="266">D90</f>
        <v>0.63400000000000001</v>
      </c>
      <c r="E173" s="2" t="e">
        <f t="shared" si="266"/>
        <v>#N/A</v>
      </c>
      <c r="F173" s="2" t="e">
        <f t="shared" ref="F173:G173" si="267">F90</f>
        <v>#N/A</v>
      </c>
      <c r="G173" s="2" t="e">
        <f t="shared" si="267"/>
        <v>#N/A</v>
      </c>
      <c r="H173" s="2" t="e">
        <f t="shared" ref="H173" si="268">H90</f>
        <v>#N/A</v>
      </c>
    </row>
    <row r="174" spans="1:8" hidden="1" x14ac:dyDescent="0.2">
      <c r="A174" s="5" t="s">
        <v>2270</v>
      </c>
      <c r="B174" s="2" t="s">
        <v>2270</v>
      </c>
      <c r="C174" s="2" t="s">
        <v>407</v>
      </c>
      <c r="D174" s="12">
        <f t="shared" ref="D174:E174" si="269">D69</f>
        <v>0.24</v>
      </c>
      <c r="E174" s="12" t="e">
        <f t="shared" si="269"/>
        <v>#N/A</v>
      </c>
      <c r="F174" s="12" t="e">
        <f t="shared" ref="F174:G174" si="270">F69</f>
        <v>#N/A</v>
      </c>
      <c r="G174" s="12" t="e">
        <f t="shared" si="270"/>
        <v>#N/A</v>
      </c>
      <c r="H174" s="12" t="e">
        <f t="shared" ref="H174" si="271">H69</f>
        <v>#N/A</v>
      </c>
    </row>
    <row r="175" spans="1:8" hidden="1" x14ac:dyDescent="0.2">
      <c r="A175" s="5" t="s">
        <v>2527</v>
      </c>
      <c r="B175" s="2" t="s">
        <v>2271</v>
      </c>
      <c r="C175" s="2" t="s">
        <v>407</v>
      </c>
      <c r="D175" s="2">
        <f t="shared" ref="D175:E175" si="272">D91</f>
        <v>0.4975</v>
      </c>
      <c r="E175" s="2" t="e">
        <f t="shared" si="272"/>
        <v>#N/A</v>
      </c>
      <c r="F175" s="2" t="e">
        <f t="shared" ref="F175:G175" si="273">F91</f>
        <v>#N/A</v>
      </c>
      <c r="G175" s="2" t="e">
        <f t="shared" si="273"/>
        <v>#N/A</v>
      </c>
      <c r="H175" s="2" t="e">
        <f t="shared" ref="H175" si="274">H91</f>
        <v>#N/A</v>
      </c>
    </row>
    <row r="176" spans="1:8" hidden="1" x14ac:dyDescent="0.2">
      <c r="A176" s="5" t="s">
        <v>2272</v>
      </c>
      <c r="B176" s="2" t="s">
        <v>2272</v>
      </c>
      <c r="C176" s="2" t="s">
        <v>407</v>
      </c>
      <c r="D176" s="12">
        <f t="shared" ref="D176:E176" si="275">D174+D70</f>
        <v>0.755</v>
      </c>
      <c r="E176" s="12" t="e">
        <f t="shared" si="275"/>
        <v>#N/A</v>
      </c>
      <c r="F176" s="12" t="e">
        <f t="shared" ref="F176:G176" si="276">F174+F70</f>
        <v>#N/A</v>
      </c>
      <c r="G176" s="12" t="e">
        <f t="shared" si="276"/>
        <v>#N/A</v>
      </c>
      <c r="H176" s="12" t="e">
        <f t="shared" ref="H176" si="277">H174+H70</f>
        <v>#N/A</v>
      </c>
    </row>
    <row r="177" spans="1:8" hidden="1" x14ac:dyDescent="0.2">
      <c r="A177" s="5" t="s">
        <v>2528</v>
      </c>
      <c r="B177" s="2" t="s">
        <v>2273</v>
      </c>
      <c r="C177" s="2" t="s">
        <v>407</v>
      </c>
      <c r="D177" s="2">
        <f t="shared" ref="D177:E177" si="278">D92</f>
        <v>6.1899999999999995</v>
      </c>
      <c r="E177" s="2" t="e">
        <f t="shared" si="278"/>
        <v>#N/A</v>
      </c>
      <c r="F177" s="2" t="e">
        <f t="shared" ref="F177:G177" si="279">F92</f>
        <v>#N/A</v>
      </c>
      <c r="G177" s="2" t="e">
        <f t="shared" si="279"/>
        <v>#N/A</v>
      </c>
      <c r="H177" s="2" t="e">
        <f t="shared" ref="H177" si="280">H92</f>
        <v>#N/A</v>
      </c>
    </row>
    <row r="178" spans="1:8" hidden="1" x14ac:dyDescent="0.2">
      <c r="A178" s="5" t="s">
        <v>2274</v>
      </c>
      <c r="B178" s="2" t="s">
        <v>2274</v>
      </c>
      <c r="C178" s="2" t="s">
        <v>407</v>
      </c>
      <c r="D178" s="12">
        <f t="shared" ref="D178:E178" si="281">D176+D71</f>
        <v>11.625</v>
      </c>
      <c r="E178" s="12" t="e">
        <f t="shared" si="281"/>
        <v>#N/A</v>
      </c>
      <c r="F178" s="12" t="e">
        <f t="shared" ref="F178:G178" si="282">F176+F71</f>
        <v>#N/A</v>
      </c>
      <c r="G178" s="12" t="e">
        <f t="shared" si="282"/>
        <v>#N/A</v>
      </c>
      <c r="H178" s="12" t="e">
        <f t="shared" ref="H178" si="283">H176+H71</f>
        <v>#N/A</v>
      </c>
    </row>
    <row r="179" spans="1:8" hidden="1" x14ac:dyDescent="0.2">
      <c r="A179" s="5" t="s">
        <v>2529</v>
      </c>
      <c r="B179" s="2" t="s">
        <v>2275</v>
      </c>
      <c r="C179" s="2" t="s">
        <v>407</v>
      </c>
      <c r="D179" s="2">
        <f t="shared" ref="D179:E179" si="284">D93</f>
        <v>11.8825</v>
      </c>
      <c r="E179" s="2" t="e">
        <f t="shared" si="284"/>
        <v>#N/A</v>
      </c>
      <c r="F179" s="2" t="e">
        <f t="shared" ref="F179:G179" si="285">F93</f>
        <v>#N/A</v>
      </c>
      <c r="G179" s="2" t="e">
        <f t="shared" si="285"/>
        <v>#N/A</v>
      </c>
      <c r="H179" s="2" t="e">
        <f t="shared" ref="H179" si="286">H93</f>
        <v>#N/A</v>
      </c>
    </row>
    <row r="180" spans="1:8" hidden="1" x14ac:dyDescent="0.2">
      <c r="A180" s="5" t="s">
        <v>2276</v>
      </c>
      <c r="B180" s="2" t="s">
        <v>2276</v>
      </c>
      <c r="C180" s="2" t="s">
        <v>407</v>
      </c>
      <c r="D180" s="12">
        <f t="shared" ref="D180:E180" si="287">D178+D72</f>
        <v>12.14</v>
      </c>
      <c r="E180" s="12" t="e">
        <f t="shared" si="287"/>
        <v>#N/A</v>
      </c>
      <c r="F180" s="12" t="e">
        <f t="shared" ref="F180:G180" si="288">F178+F72</f>
        <v>#N/A</v>
      </c>
      <c r="G180" s="12" t="e">
        <f t="shared" si="288"/>
        <v>#N/A</v>
      </c>
      <c r="H180" s="12" t="e">
        <f t="shared" ref="H180" si="289">H178+H72</f>
        <v>#N/A</v>
      </c>
    </row>
    <row r="181" spans="1:8" hidden="1" x14ac:dyDescent="0.2"/>
    <row r="182" spans="1:8" hidden="1" x14ac:dyDescent="0.2">
      <c r="A182" s="45" t="s">
        <v>2402</v>
      </c>
    </row>
    <row r="183" spans="1:8" hidden="1" x14ac:dyDescent="0.2">
      <c r="A183" s="5" t="s">
        <v>2526</v>
      </c>
      <c r="B183" s="2" t="s">
        <v>2269</v>
      </c>
      <c r="C183" s="2" t="s">
        <v>407</v>
      </c>
      <c r="D183" s="12">
        <f t="shared" ref="D183:E190" si="290">D$168-D173</f>
        <v>4.1514981273408136E-2</v>
      </c>
      <c r="E183" s="12" t="e">
        <f t="shared" si="290"/>
        <v>#N/A</v>
      </c>
      <c r="F183" s="12" t="e">
        <f t="shared" ref="F183:G183" si="291">F$168-F173</f>
        <v>#N/A</v>
      </c>
      <c r="G183" s="12" t="e">
        <f t="shared" si="291"/>
        <v>#N/A</v>
      </c>
      <c r="H183" s="12" t="e">
        <f t="shared" ref="H183" si="292">H$168-H173</f>
        <v>#N/A</v>
      </c>
    </row>
    <row r="184" spans="1:8" hidden="1" x14ac:dyDescent="0.2">
      <c r="A184" s="5" t="s">
        <v>2270</v>
      </c>
      <c r="B184" s="2" t="s">
        <v>2270</v>
      </c>
      <c r="C184" s="2" t="s">
        <v>407</v>
      </c>
      <c r="D184" s="12">
        <f t="shared" si="290"/>
        <v>0.43551498127340815</v>
      </c>
      <c r="E184" s="12" t="e">
        <f t="shared" si="290"/>
        <v>#N/A</v>
      </c>
      <c r="F184" s="12" t="e">
        <f t="shared" ref="F184:G184" si="293">F$168-F174</f>
        <v>#N/A</v>
      </c>
      <c r="G184" s="12" t="e">
        <f t="shared" si="293"/>
        <v>#N/A</v>
      </c>
      <c r="H184" s="12" t="e">
        <f t="shared" ref="H184" si="294">H$168-H174</f>
        <v>#N/A</v>
      </c>
    </row>
    <row r="185" spans="1:8" hidden="1" x14ac:dyDescent="0.2">
      <c r="A185" s="5" t="s">
        <v>2527</v>
      </c>
      <c r="B185" s="2" t="s">
        <v>2271</v>
      </c>
      <c r="C185" s="2" t="s">
        <v>407</v>
      </c>
      <c r="D185" s="12">
        <f t="shared" si="290"/>
        <v>0.17801498127340815</v>
      </c>
      <c r="E185" s="12" t="e">
        <f t="shared" si="290"/>
        <v>#N/A</v>
      </c>
      <c r="F185" s="12" t="e">
        <f t="shared" ref="F185:G185" si="295">F$168-F175</f>
        <v>#N/A</v>
      </c>
      <c r="G185" s="12" t="e">
        <f t="shared" si="295"/>
        <v>#N/A</v>
      </c>
      <c r="H185" s="12" t="e">
        <f t="shared" ref="H185" si="296">H$168-H175</f>
        <v>#N/A</v>
      </c>
    </row>
    <row r="186" spans="1:8" hidden="1" x14ac:dyDescent="0.2">
      <c r="A186" s="5" t="s">
        <v>2272</v>
      </c>
      <c r="B186" s="2" t="s">
        <v>2272</v>
      </c>
      <c r="C186" s="2" t="s">
        <v>407</v>
      </c>
      <c r="D186" s="12">
        <f t="shared" si="290"/>
        <v>-7.9485018726591861E-2</v>
      </c>
      <c r="E186" s="12" t="e">
        <f t="shared" si="290"/>
        <v>#N/A</v>
      </c>
      <c r="F186" s="12" t="e">
        <f t="shared" ref="F186:G186" si="297">F$168-F176</f>
        <v>#N/A</v>
      </c>
      <c r="G186" s="12" t="e">
        <f t="shared" si="297"/>
        <v>#N/A</v>
      </c>
      <c r="H186" s="12" t="e">
        <f t="shared" ref="H186" si="298">H$168-H176</f>
        <v>#N/A</v>
      </c>
    </row>
    <row r="187" spans="1:8" hidden="1" x14ac:dyDescent="0.2">
      <c r="A187" s="5" t="s">
        <v>2528</v>
      </c>
      <c r="B187" s="2" t="s">
        <v>2273</v>
      </c>
      <c r="C187" s="2" t="s">
        <v>407</v>
      </c>
      <c r="D187" s="12">
        <f t="shared" si="290"/>
        <v>-5.5144850187265915</v>
      </c>
      <c r="E187" s="12" t="e">
        <f t="shared" si="290"/>
        <v>#N/A</v>
      </c>
      <c r="F187" s="12" t="e">
        <f t="shared" ref="F187:G187" si="299">F$168-F177</f>
        <v>#N/A</v>
      </c>
      <c r="G187" s="12" t="e">
        <f t="shared" si="299"/>
        <v>#N/A</v>
      </c>
      <c r="H187" s="12" t="e">
        <f t="shared" ref="H187" si="300">H$168-H177</f>
        <v>#N/A</v>
      </c>
    </row>
    <row r="188" spans="1:8" hidden="1" x14ac:dyDescent="0.2">
      <c r="A188" s="5" t="s">
        <v>2274</v>
      </c>
      <c r="B188" s="2" t="s">
        <v>2274</v>
      </c>
      <c r="C188" s="2" t="s">
        <v>407</v>
      </c>
      <c r="D188" s="12">
        <f t="shared" si="290"/>
        <v>-10.949485018726591</v>
      </c>
      <c r="E188" s="12" t="e">
        <f t="shared" si="290"/>
        <v>#N/A</v>
      </c>
      <c r="F188" s="12" t="e">
        <f t="shared" ref="F188:G188" si="301">F$168-F178</f>
        <v>#N/A</v>
      </c>
      <c r="G188" s="12" t="e">
        <f t="shared" si="301"/>
        <v>#N/A</v>
      </c>
      <c r="H188" s="12" t="e">
        <f t="shared" ref="H188" si="302">H$168-H178</f>
        <v>#N/A</v>
      </c>
    </row>
    <row r="189" spans="1:8" hidden="1" x14ac:dyDescent="0.2">
      <c r="A189" s="5" t="s">
        <v>2529</v>
      </c>
      <c r="B189" s="2" t="s">
        <v>2275</v>
      </c>
      <c r="C189" s="2" t="s">
        <v>407</v>
      </c>
      <c r="D189" s="12">
        <f t="shared" si="290"/>
        <v>-11.206985018726591</v>
      </c>
      <c r="E189" s="12" t="e">
        <f t="shared" si="290"/>
        <v>#N/A</v>
      </c>
      <c r="F189" s="12" t="e">
        <f t="shared" ref="F189:G189" si="303">F$168-F179</f>
        <v>#N/A</v>
      </c>
      <c r="G189" s="12" t="e">
        <f t="shared" si="303"/>
        <v>#N/A</v>
      </c>
      <c r="H189" s="12" t="e">
        <f t="shared" ref="H189" si="304">H$168-H179</f>
        <v>#N/A</v>
      </c>
    </row>
    <row r="190" spans="1:8" hidden="1" x14ac:dyDescent="0.2">
      <c r="A190" s="5" t="s">
        <v>2276</v>
      </c>
      <c r="B190" s="2" t="s">
        <v>2276</v>
      </c>
      <c r="C190" s="2" t="s">
        <v>407</v>
      </c>
      <c r="D190" s="12">
        <f t="shared" si="290"/>
        <v>-11.464485018726592</v>
      </c>
      <c r="E190" s="12" t="e">
        <f t="shared" si="290"/>
        <v>#N/A</v>
      </c>
      <c r="F190" s="12" t="e">
        <f t="shared" ref="F190:G190" si="305">F$168-F180</f>
        <v>#N/A</v>
      </c>
      <c r="G190" s="12" t="e">
        <f t="shared" si="305"/>
        <v>#N/A</v>
      </c>
      <c r="H190" s="12" t="e">
        <f t="shared" ref="H190" si="306">H$168-H180</f>
        <v>#N/A</v>
      </c>
    </row>
    <row r="191" spans="1:8" hidden="1" x14ac:dyDescent="0.2"/>
    <row r="192" spans="1:8" hidden="1" x14ac:dyDescent="0.2">
      <c r="A192" s="45" t="s">
        <v>2403</v>
      </c>
    </row>
    <row r="193" spans="1:8" hidden="1" x14ac:dyDescent="0.2">
      <c r="A193" s="5" t="s">
        <v>2526</v>
      </c>
      <c r="B193" s="2" t="s">
        <v>2269</v>
      </c>
      <c r="C193" s="2" t="s">
        <v>407</v>
      </c>
      <c r="D193" s="12">
        <f t="shared" ref="D193:E200" si="307">D183/2</f>
        <v>2.0757490636704068E-2</v>
      </c>
      <c r="E193" s="12" t="e">
        <f t="shared" si="307"/>
        <v>#N/A</v>
      </c>
      <c r="F193" s="12" t="e">
        <f t="shared" ref="F193:G193" si="308">F183/2</f>
        <v>#N/A</v>
      </c>
      <c r="G193" s="12" t="e">
        <f t="shared" si="308"/>
        <v>#N/A</v>
      </c>
      <c r="H193" s="12" t="e">
        <f t="shared" ref="H193" si="309">H183/2</f>
        <v>#N/A</v>
      </c>
    </row>
    <row r="194" spans="1:8" hidden="1" x14ac:dyDescent="0.2">
      <c r="A194" s="5" t="s">
        <v>2270</v>
      </c>
      <c r="B194" s="2" t="s">
        <v>2270</v>
      </c>
      <c r="C194" s="2" t="s">
        <v>407</v>
      </c>
      <c r="D194" s="12">
        <f t="shared" si="307"/>
        <v>0.21775749063670408</v>
      </c>
      <c r="E194" s="12" t="e">
        <f t="shared" si="307"/>
        <v>#N/A</v>
      </c>
      <c r="F194" s="12" t="e">
        <f t="shared" ref="F194:G194" si="310">F184/2</f>
        <v>#N/A</v>
      </c>
      <c r="G194" s="12" t="e">
        <f t="shared" si="310"/>
        <v>#N/A</v>
      </c>
      <c r="H194" s="12" t="e">
        <f t="shared" ref="H194" si="311">H184/2</f>
        <v>#N/A</v>
      </c>
    </row>
    <row r="195" spans="1:8" hidden="1" x14ac:dyDescent="0.2">
      <c r="A195" s="5" t="s">
        <v>2527</v>
      </c>
      <c r="B195" s="2" t="s">
        <v>2271</v>
      </c>
      <c r="C195" s="2" t="s">
        <v>407</v>
      </c>
      <c r="D195" s="12">
        <f t="shared" si="307"/>
        <v>8.9007490636704073E-2</v>
      </c>
      <c r="E195" s="12" t="e">
        <f t="shared" si="307"/>
        <v>#N/A</v>
      </c>
      <c r="F195" s="12" t="e">
        <f t="shared" ref="F195:G195" si="312">F185/2</f>
        <v>#N/A</v>
      </c>
      <c r="G195" s="12" t="e">
        <f t="shared" si="312"/>
        <v>#N/A</v>
      </c>
      <c r="H195" s="12" t="e">
        <f t="shared" ref="H195" si="313">H185/2</f>
        <v>#N/A</v>
      </c>
    </row>
    <row r="196" spans="1:8" hidden="1" x14ac:dyDescent="0.2">
      <c r="A196" s="5" t="s">
        <v>2272</v>
      </c>
      <c r="B196" s="2" t="s">
        <v>2272</v>
      </c>
      <c r="C196" s="2" t="s">
        <v>407</v>
      </c>
      <c r="D196" s="12">
        <f t="shared" si="307"/>
        <v>-3.974250936329593E-2</v>
      </c>
      <c r="E196" s="12" t="e">
        <f t="shared" si="307"/>
        <v>#N/A</v>
      </c>
      <c r="F196" s="12" t="e">
        <f t="shared" ref="F196:G196" si="314">F186/2</f>
        <v>#N/A</v>
      </c>
      <c r="G196" s="12" t="e">
        <f t="shared" si="314"/>
        <v>#N/A</v>
      </c>
      <c r="H196" s="12" t="e">
        <f t="shared" ref="H196" si="315">H186/2</f>
        <v>#N/A</v>
      </c>
    </row>
    <row r="197" spans="1:8" hidden="1" x14ac:dyDescent="0.2">
      <c r="A197" s="5" t="s">
        <v>2528</v>
      </c>
      <c r="B197" s="2" t="s">
        <v>2273</v>
      </c>
      <c r="C197" s="2" t="s">
        <v>407</v>
      </c>
      <c r="D197" s="12">
        <f t="shared" si="307"/>
        <v>-2.7572425093632957</v>
      </c>
      <c r="E197" s="12" t="e">
        <f t="shared" si="307"/>
        <v>#N/A</v>
      </c>
      <c r="F197" s="12" t="e">
        <f t="shared" ref="F197:G197" si="316">F187/2</f>
        <v>#N/A</v>
      </c>
      <c r="G197" s="12" t="e">
        <f t="shared" si="316"/>
        <v>#N/A</v>
      </c>
      <c r="H197" s="12" t="e">
        <f t="shared" ref="H197" si="317">H187/2</f>
        <v>#N/A</v>
      </c>
    </row>
    <row r="198" spans="1:8" hidden="1" x14ac:dyDescent="0.2">
      <c r="A198" s="5" t="s">
        <v>2274</v>
      </c>
      <c r="B198" s="2" t="s">
        <v>2274</v>
      </c>
      <c r="C198" s="2" t="s">
        <v>407</v>
      </c>
      <c r="D198" s="12">
        <f t="shared" si="307"/>
        <v>-5.4747425093632955</v>
      </c>
      <c r="E198" s="12" t="e">
        <f t="shared" si="307"/>
        <v>#N/A</v>
      </c>
      <c r="F198" s="12" t="e">
        <f t="shared" ref="F198:G198" si="318">F188/2</f>
        <v>#N/A</v>
      </c>
      <c r="G198" s="12" t="e">
        <f t="shared" si="318"/>
        <v>#N/A</v>
      </c>
      <c r="H198" s="12" t="e">
        <f t="shared" ref="H198" si="319">H188/2</f>
        <v>#N/A</v>
      </c>
    </row>
    <row r="199" spans="1:8" hidden="1" x14ac:dyDescent="0.2">
      <c r="A199" s="5" t="s">
        <v>2529</v>
      </c>
      <c r="B199" s="2" t="s">
        <v>2275</v>
      </c>
      <c r="C199" s="2" t="s">
        <v>407</v>
      </c>
      <c r="D199" s="12">
        <f t="shared" si="307"/>
        <v>-5.6034925093632957</v>
      </c>
      <c r="E199" s="12" t="e">
        <f t="shared" si="307"/>
        <v>#N/A</v>
      </c>
      <c r="F199" s="12" t="e">
        <f t="shared" ref="F199:G199" si="320">F189/2</f>
        <v>#N/A</v>
      </c>
      <c r="G199" s="12" t="e">
        <f t="shared" si="320"/>
        <v>#N/A</v>
      </c>
      <c r="H199" s="12" t="e">
        <f t="shared" ref="H199" si="321">H189/2</f>
        <v>#N/A</v>
      </c>
    </row>
    <row r="200" spans="1:8" hidden="1" x14ac:dyDescent="0.2">
      <c r="A200" s="5" t="s">
        <v>2276</v>
      </c>
      <c r="B200" s="2" t="s">
        <v>2276</v>
      </c>
      <c r="C200" s="2" t="s">
        <v>407</v>
      </c>
      <c r="D200" s="12">
        <f t="shared" si="307"/>
        <v>-5.7322425093632958</v>
      </c>
      <c r="E200" s="12" t="e">
        <f t="shared" si="307"/>
        <v>#N/A</v>
      </c>
      <c r="F200" s="12" t="e">
        <f t="shared" ref="F200:G200" si="322">F190/2</f>
        <v>#N/A</v>
      </c>
      <c r="G200" s="12" t="e">
        <f t="shared" si="322"/>
        <v>#N/A</v>
      </c>
      <c r="H200" s="12" t="e">
        <f t="shared" ref="H200" si="323">H190/2</f>
        <v>#N/A</v>
      </c>
    </row>
    <row r="201" spans="1:8" hidden="1" x14ac:dyDescent="0.2"/>
    <row r="202" spans="1:8" hidden="1" x14ac:dyDescent="0.2">
      <c r="A202" s="45" t="s">
        <v>2404</v>
      </c>
    </row>
    <row r="203" spans="1:8" hidden="1" x14ac:dyDescent="0.2">
      <c r="A203" s="5" t="s">
        <v>2526</v>
      </c>
      <c r="B203" s="2" t="s">
        <v>2269</v>
      </c>
      <c r="C203" s="2" t="s">
        <v>407</v>
      </c>
      <c r="D203" s="12">
        <f t="shared" ref="D203:E203" si="324">D76</f>
        <v>10</v>
      </c>
      <c r="E203" s="12" t="e">
        <f t="shared" si="324"/>
        <v>#N/A</v>
      </c>
      <c r="F203" s="12" t="e">
        <f t="shared" ref="F203:G203" si="325">F76</f>
        <v>#N/A</v>
      </c>
      <c r="G203" s="12" t="e">
        <f t="shared" si="325"/>
        <v>#N/A</v>
      </c>
      <c r="H203" s="12" t="e">
        <f t="shared" ref="H203" si="326">H76</f>
        <v>#N/A</v>
      </c>
    </row>
    <row r="204" spans="1:8" hidden="1" x14ac:dyDescent="0.2">
      <c r="A204" s="5" t="s">
        <v>2270</v>
      </c>
      <c r="B204" s="2" t="s">
        <v>2270</v>
      </c>
      <c r="C204" s="2" t="s">
        <v>407</v>
      </c>
      <c r="D204" s="12">
        <f t="shared" ref="D204:E204" si="327">D203</f>
        <v>10</v>
      </c>
      <c r="E204" s="12" t="e">
        <f t="shared" si="327"/>
        <v>#N/A</v>
      </c>
      <c r="F204" s="12" t="e">
        <f t="shared" ref="F204:G204" si="328">F203</f>
        <v>#N/A</v>
      </c>
      <c r="G204" s="12" t="e">
        <f t="shared" si="328"/>
        <v>#N/A</v>
      </c>
      <c r="H204" s="12" t="e">
        <f t="shared" ref="H204" si="329">H203</f>
        <v>#N/A</v>
      </c>
    </row>
    <row r="205" spans="1:8" hidden="1" x14ac:dyDescent="0.2">
      <c r="A205" s="5" t="s">
        <v>2527</v>
      </c>
      <c r="B205" s="2" t="s">
        <v>2271</v>
      </c>
      <c r="C205" s="2" t="s">
        <v>407</v>
      </c>
      <c r="D205" s="12">
        <f t="shared" ref="D205:E205" si="330">D77</f>
        <v>8.01</v>
      </c>
      <c r="E205" s="12">
        <f t="shared" si="330"/>
        <v>0</v>
      </c>
      <c r="F205" s="12">
        <f t="shared" ref="F205:G205" si="331">F77</f>
        <v>0</v>
      </c>
      <c r="G205" s="12">
        <f t="shared" si="331"/>
        <v>0</v>
      </c>
      <c r="H205" s="12">
        <f t="shared" ref="H205" si="332">H77</f>
        <v>0</v>
      </c>
    </row>
    <row r="206" spans="1:8" hidden="1" x14ac:dyDescent="0.2">
      <c r="A206" s="5" t="s">
        <v>2272</v>
      </c>
      <c r="B206" s="2" t="s">
        <v>2272</v>
      </c>
      <c r="C206" s="2" t="s">
        <v>407</v>
      </c>
      <c r="D206" s="12">
        <f t="shared" ref="D206:E206" si="333">D205</f>
        <v>8.01</v>
      </c>
      <c r="E206" s="12">
        <f t="shared" si="333"/>
        <v>0</v>
      </c>
      <c r="F206" s="12">
        <f t="shared" ref="F206:G206" si="334">F205</f>
        <v>0</v>
      </c>
      <c r="G206" s="12">
        <f t="shared" si="334"/>
        <v>0</v>
      </c>
      <c r="H206" s="12">
        <f t="shared" ref="H206" si="335">H205</f>
        <v>0</v>
      </c>
    </row>
    <row r="207" spans="1:8" hidden="1" x14ac:dyDescent="0.2">
      <c r="A207" s="5" t="s">
        <v>2528</v>
      </c>
      <c r="B207" s="2" t="s">
        <v>2273</v>
      </c>
      <c r="C207" s="2" t="s">
        <v>407</v>
      </c>
      <c r="D207" s="12">
        <f t="shared" ref="D207:E207" si="336">D78</f>
        <v>0.29499999999999998</v>
      </c>
      <c r="E207" s="12">
        <f t="shared" si="336"/>
        <v>0</v>
      </c>
      <c r="F207" s="12">
        <f t="shared" ref="F207:G207" si="337">F78</f>
        <v>0</v>
      </c>
      <c r="G207" s="12">
        <f t="shared" si="337"/>
        <v>0</v>
      </c>
      <c r="H207" s="12">
        <f t="shared" ref="H207" si="338">H78</f>
        <v>0</v>
      </c>
    </row>
    <row r="208" spans="1:8" hidden="1" x14ac:dyDescent="0.2">
      <c r="A208" s="5" t="s">
        <v>2274</v>
      </c>
      <c r="B208" s="2" t="s">
        <v>2274</v>
      </c>
      <c r="C208" s="2" t="s">
        <v>407</v>
      </c>
      <c r="D208" s="12">
        <f t="shared" ref="D208:E208" si="339">D207</f>
        <v>0.29499999999999998</v>
      </c>
      <c r="E208" s="12">
        <f t="shared" si="339"/>
        <v>0</v>
      </c>
      <c r="F208" s="12">
        <f t="shared" ref="F208:G208" si="340">F207</f>
        <v>0</v>
      </c>
      <c r="G208" s="12">
        <f t="shared" si="340"/>
        <v>0</v>
      </c>
      <c r="H208" s="12">
        <f t="shared" ref="H208" si="341">H207</f>
        <v>0</v>
      </c>
    </row>
    <row r="209" spans="1:8" hidden="1" x14ac:dyDescent="0.2">
      <c r="A209" s="5" t="s">
        <v>2529</v>
      </c>
      <c r="B209" s="2" t="s">
        <v>2275</v>
      </c>
      <c r="C209" s="2" t="s">
        <v>407</v>
      </c>
      <c r="D209" s="12">
        <f t="shared" ref="D209:E209" si="342">D79</f>
        <v>8.01</v>
      </c>
      <c r="E209" s="12">
        <f t="shared" si="342"/>
        <v>0</v>
      </c>
      <c r="F209" s="12">
        <f t="shared" ref="F209:G209" si="343">F79</f>
        <v>0</v>
      </c>
      <c r="G209" s="12">
        <f t="shared" si="343"/>
        <v>0</v>
      </c>
      <c r="H209" s="12">
        <f t="shared" ref="H209" si="344">H79</f>
        <v>0</v>
      </c>
    </row>
    <row r="210" spans="1:8" hidden="1" x14ac:dyDescent="0.2">
      <c r="A210" s="5" t="s">
        <v>2276</v>
      </c>
      <c r="B210" s="2" t="s">
        <v>2276</v>
      </c>
      <c r="C210" s="2" t="s">
        <v>407</v>
      </c>
      <c r="D210" s="12">
        <f t="shared" ref="D210:E210" si="345">D209</f>
        <v>8.01</v>
      </c>
      <c r="E210" s="12">
        <f t="shared" si="345"/>
        <v>0</v>
      </c>
      <c r="F210" s="12">
        <f t="shared" ref="F210:G210" si="346">F209</f>
        <v>0</v>
      </c>
      <c r="G210" s="12">
        <f t="shared" si="346"/>
        <v>0</v>
      </c>
      <c r="H210" s="12">
        <f t="shared" ref="H210" si="347">H209</f>
        <v>0</v>
      </c>
    </row>
    <row r="211" spans="1:8" hidden="1" x14ac:dyDescent="0.2"/>
    <row r="212" spans="1:8" hidden="1" x14ac:dyDescent="0.2">
      <c r="A212" s="45" t="s">
        <v>2405</v>
      </c>
    </row>
    <row r="213" spans="1:8" hidden="1" x14ac:dyDescent="0.2">
      <c r="A213" s="5" t="s">
        <v>2526</v>
      </c>
      <c r="B213" s="2" t="s">
        <v>2269</v>
      </c>
      <c r="C213" s="2" t="s">
        <v>2406</v>
      </c>
      <c r="D213" s="15">
        <f t="shared" ref="D213:E213" si="348">IF(D$168=D163,1,0)</f>
        <v>0</v>
      </c>
      <c r="E213" s="15" t="e">
        <f t="shared" si="348"/>
        <v>#N/A</v>
      </c>
      <c r="F213" s="15" t="e">
        <f t="shared" ref="F213:G213" si="349">IF(F$168=F163,1,0)</f>
        <v>#N/A</v>
      </c>
      <c r="G213" s="15" t="e">
        <f t="shared" si="349"/>
        <v>#N/A</v>
      </c>
      <c r="H213" s="15" t="e">
        <f t="shared" ref="H213" si="350">IF(H$168=H163,1,0)</f>
        <v>#N/A</v>
      </c>
    </row>
    <row r="214" spans="1:8" hidden="1" x14ac:dyDescent="0.2">
      <c r="A214" s="5" t="s">
        <v>2270</v>
      </c>
      <c r="B214" s="2" t="s">
        <v>2270</v>
      </c>
      <c r="C214" s="2" t="s">
        <v>2406</v>
      </c>
      <c r="D214" s="15">
        <f t="shared" ref="D214:E215" si="351">IF(D$168=D163,1,0)</f>
        <v>0</v>
      </c>
      <c r="E214" s="15" t="e">
        <f t="shared" si="351"/>
        <v>#N/A</v>
      </c>
      <c r="F214" s="15" t="e">
        <f t="shared" ref="F214:G214" si="352">IF(F$168=F163,1,0)</f>
        <v>#N/A</v>
      </c>
      <c r="G214" s="15" t="e">
        <f t="shared" si="352"/>
        <v>#N/A</v>
      </c>
      <c r="H214" s="15" t="e">
        <f t="shared" ref="H214" si="353">IF(H$168=H163,1,0)</f>
        <v>#N/A</v>
      </c>
    </row>
    <row r="215" spans="1:8" hidden="1" x14ac:dyDescent="0.2">
      <c r="A215" s="5" t="s">
        <v>2527</v>
      </c>
      <c r="B215" s="2" t="s">
        <v>2271</v>
      </c>
      <c r="C215" s="2" t="s">
        <v>2406</v>
      </c>
      <c r="D215" s="15">
        <f t="shared" si="351"/>
        <v>1</v>
      </c>
      <c r="E215" s="15" t="e">
        <f t="shared" si="351"/>
        <v>#N/A</v>
      </c>
      <c r="F215" s="15" t="e">
        <f t="shared" ref="F215:G215" si="354">IF(F$168=F164,1,0)</f>
        <v>#N/A</v>
      </c>
      <c r="G215" s="15" t="e">
        <f t="shared" si="354"/>
        <v>#N/A</v>
      </c>
      <c r="H215" s="15" t="e">
        <f t="shared" ref="H215" si="355">IF(H$168=H164,1,0)</f>
        <v>#N/A</v>
      </c>
    </row>
    <row r="216" spans="1:8" hidden="1" x14ac:dyDescent="0.2">
      <c r="A216" s="5" t="s">
        <v>2272</v>
      </c>
      <c r="B216" s="2" t="s">
        <v>2272</v>
      </c>
      <c r="C216" s="2" t="s">
        <v>2406</v>
      </c>
      <c r="D216" s="15">
        <f t="shared" ref="D216:E217" si="356">IF(D$168=D164,1,0)</f>
        <v>1</v>
      </c>
      <c r="E216" s="15" t="e">
        <f t="shared" si="356"/>
        <v>#N/A</v>
      </c>
      <c r="F216" s="15" t="e">
        <f t="shared" ref="F216:G216" si="357">IF(F$168=F164,1,0)</f>
        <v>#N/A</v>
      </c>
      <c r="G216" s="15" t="e">
        <f t="shared" si="357"/>
        <v>#N/A</v>
      </c>
      <c r="H216" s="15" t="e">
        <f t="shared" ref="H216" si="358">IF(H$168=H164,1,0)</f>
        <v>#N/A</v>
      </c>
    </row>
    <row r="217" spans="1:8" hidden="1" x14ac:dyDescent="0.2">
      <c r="A217" s="5" t="s">
        <v>2528</v>
      </c>
      <c r="B217" s="2" t="s">
        <v>2273</v>
      </c>
      <c r="C217" s="2" t="s">
        <v>2406</v>
      </c>
      <c r="D217" s="15">
        <f t="shared" si="356"/>
        <v>0</v>
      </c>
      <c r="E217" s="15" t="e">
        <f t="shared" si="356"/>
        <v>#N/A</v>
      </c>
      <c r="F217" s="15" t="e">
        <f t="shared" ref="F217:G217" si="359">IF(F$168=F165,1,0)</f>
        <v>#N/A</v>
      </c>
      <c r="G217" s="15" t="e">
        <f t="shared" si="359"/>
        <v>#N/A</v>
      </c>
      <c r="H217" s="15" t="e">
        <f t="shared" ref="H217" si="360">IF(H$168=H165,1,0)</f>
        <v>#N/A</v>
      </c>
    </row>
    <row r="218" spans="1:8" hidden="1" x14ac:dyDescent="0.2">
      <c r="A218" s="5" t="s">
        <v>2274</v>
      </c>
      <c r="B218" s="2" t="s">
        <v>2274</v>
      </c>
      <c r="C218" s="2" t="s">
        <v>2406</v>
      </c>
      <c r="D218" s="15">
        <f t="shared" ref="D218:E219" si="361">IF(D$168=D165,1,0)</f>
        <v>0</v>
      </c>
      <c r="E218" s="15" t="e">
        <f t="shared" si="361"/>
        <v>#N/A</v>
      </c>
      <c r="F218" s="15" t="e">
        <f t="shared" ref="F218:G218" si="362">IF(F$168=F165,1,0)</f>
        <v>#N/A</v>
      </c>
      <c r="G218" s="15" t="e">
        <f t="shared" si="362"/>
        <v>#N/A</v>
      </c>
      <c r="H218" s="15" t="e">
        <f t="shared" ref="H218" si="363">IF(H$168=H165,1,0)</f>
        <v>#N/A</v>
      </c>
    </row>
    <row r="219" spans="1:8" hidden="1" x14ac:dyDescent="0.2">
      <c r="A219" s="5" t="s">
        <v>2529</v>
      </c>
      <c r="B219" s="2" t="s">
        <v>2275</v>
      </c>
      <c r="C219" s="2" t="s">
        <v>2406</v>
      </c>
      <c r="D219" s="15">
        <f t="shared" si="361"/>
        <v>0</v>
      </c>
      <c r="E219" s="15" t="e">
        <f t="shared" si="361"/>
        <v>#N/A</v>
      </c>
      <c r="F219" s="15" t="e">
        <f t="shared" ref="F219:G219" si="364">IF(F$168=F166,1,0)</f>
        <v>#N/A</v>
      </c>
      <c r="G219" s="15" t="e">
        <f t="shared" si="364"/>
        <v>#N/A</v>
      </c>
      <c r="H219" s="15" t="e">
        <f t="shared" ref="H219" si="365">IF(H$168=H166,1,0)</f>
        <v>#N/A</v>
      </c>
    </row>
    <row r="220" spans="1:8" hidden="1" x14ac:dyDescent="0.2">
      <c r="A220" s="5" t="s">
        <v>2276</v>
      </c>
      <c r="B220" s="2" t="s">
        <v>2276</v>
      </c>
      <c r="C220" s="2" t="s">
        <v>2406</v>
      </c>
      <c r="D220" s="15">
        <f t="shared" ref="D220:E220" si="366">IF(D$168=D166,1,0)</f>
        <v>0</v>
      </c>
      <c r="E220" s="15" t="e">
        <f t="shared" si="366"/>
        <v>#N/A</v>
      </c>
      <c r="F220" s="15" t="e">
        <f t="shared" ref="F220:G220" si="367">IF(F$168=F166,1,0)</f>
        <v>#N/A</v>
      </c>
      <c r="G220" s="15" t="e">
        <f t="shared" si="367"/>
        <v>#N/A</v>
      </c>
      <c r="H220" s="15" t="e">
        <f t="shared" ref="H220" si="368">IF(H$168=H166,1,0)</f>
        <v>#N/A</v>
      </c>
    </row>
    <row r="221" spans="1:8" hidden="1" x14ac:dyDescent="0.2"/>
    <row r="222" spans="1:8" hidden="1" x14ac:dyDescent="0.2">
      <c r="A222" s="45" t="s">
        <v>2410</v>
      </c>
    </row>
    <row r="223" spans="1:8" ht="15" hidden="1" x14ac:dyDescent="0.25">
      <c r="A223" s="5" t="s">
        <v>2526</v>
      </c>
      <c r="B223" s="2" t="s">
        <v>2411</v>
      </c>
      <c r="C223" s="3" t="s">
        <v>900</v>
      </c>
      <c r="D223" s="2">
        <f t="shared" ref="D223:E223" si="369">IF(D213=0,D83,ABS(D168*D203))</f>
        <v>4.4800000000000004</v>
      </c>
      <c r="E223" s="2" t="e">
        <f t="shared" si="369"/>
        <v>#N/A</v>
      </c>
      <c r="F223" s="2" t="e">
        <f t="shared" ref="F223:G223" si="370">IF(F213=0,F83,ABS(F168*F203))</f>
        <v>#N/A</v>
      </c>
      <c r="G223" s="2" t="e">
        <f t="shared" si="370"/>
        <v>#N/A</v>
      </c>
      <c r="H223" s="2" t="e">
        <f t="shared" ref="H223" si="371">IF(H213=0,H83,ABS(H168*H203))</f>
        <v>#N/A</v>
      </c>
    </row>
    <row r="224" spans="1:8" ht="15" hidden="1" x14ac:dyDescent="0.25">
      <c r="A224" s="5" t="s">
        <v>2270</v>
      </c>
      <c r="B224" s="2" t="s">
        <v>2420</v>
      </c>
      <c r="C224" s="3" t="s">
        <v>900</v>
      </c>
      <c r="D224" s="2">
        <f t="shared" ref="D224:E224" si="372">IF(D214=0,0,ABS(D184*D204))</f>
        <v>0</v>
      </c>
      <c r="E224" s="2" t="e">
        <f t="shared" si="372"/>
        <v>#N/A</v>
      </c>
      <c r="F224" s="2" t="e">
        <f t="shared" ref="F224:G224" si="373">IF(F214=0,0,ABS(F184*F204))</f>
        <v>#N/A</v>
      </c>
      <c r="G224" s="2" t="e">
        <f t="shared" si="373"/>
        <v>#N/A</v>
      </c>
      <c r="H224" s="2" t="e">
        <f t="shared" ref="H224" si="374">IF(H214=0,0,ABS(H184*H204))</f>
        <v>#N/A</v>
      </c>
    </row>
    <row r="225" spans="1:8" ht="15" hidden="1" x14ac:dyDescent="0.25">
      <c r="A225" s="5" t="s">
        <v>2527</v>
      </c>
      <c r="B225" s="2" t="s">
        <v>2412</v>
      </c>
      <c r="C225" s="3" t="s">
        <v>900</v>
      </c>
      <c r="D225" s="2">
        <f t="shared" ref="D225:E225" si="375">IF(D215=0,D84,ABS(D184*D205))</f>
        <v>3.4884749999999993</v>
      </c>
      <c r="E225" s="2" t="e">
        <f t="shared" si="375"/>
        <v>#N/A</v>
      </c>
      <c r="F225" s="2" t="e">
        <f t="shared" ref="F225:G225" si="376">IF(F215=0,F84,ABS(F184*F205))</f>
        <v>#N/A</v>
      </c>
      <c r="G225" s="2" t="e">
        <f t="shared" si="376"/>
        <v>#N/A</v>
      </c>
      <c r="H225" s="2" t="e">
        <f t="shared" ref="H225" si="377">IF(H215=0,H84,ABS(H184*H205))</f>
        <v>#N/A</v>
      </c>
    </row>
    <row r="226" spans="1:8" ht="15" hidden="1" x14ac:dyDescent="0.25">
      <c r="A226" s="5" t="s">
        <v>2272</v>
      </c>
      <c r="B226" s="2" t="s">
        <v>2419</v>
      </c>
      <c r="C226" s="3" t="s">
        <v>900</v>
      </c>
      <c r="D226" s="2">
        <f t="shared" ref="D226:E226" si="378">IF(D216=0,0,ABS(D186*D206))</f>
        <v>0.63667500000000077</v>
      </c>
      <c r="E226" s="2" t="e">
        <f t="shared" si="378"/>
        <v>#N/A</v>
      </c>
      <c r="F226" s="2" t="e">
        <f t="shared" ref="F226:G226" si="379">IF(F216=0,0,ABS(F186*F206))</f>
        <v>#N/A</v>
      </c>
      <c r="G226" s="2" t="e">
        <f t="shared" si="379"/>
        <v>#N/A</v>
      </c>
      <c r="H226" s="2" t="e">
        <f t="shared" ref="H226" si="380">IF(H216=0,0,ABS(H186*H206))</f>
        <v>#N/A</v>
      </c>
    </row>
    <row r="227" spans="1:8" ht="15" hidden="1" x14ac:dyDescent="0.25">
      <c r="A227" s="5" t="s">
        <v>2528</v>
      </c>
      <c r="B227" s="2" t="s">
        <v>2413</v>
      </c>
      <c r="C227" s="3" t="s">
        <v>900</v>
      </c>
      <c r="D227" s="2">
        <f t="shared" ref="D227:E227" si="381">IF(D217=0,D85,ABS(D186*D207))</f>
        <v>3.2066499999999998</v>
      </c>
      <c r="E227" s="2" t="e">
        <f t="shared" si="381"/>
        <v>#N/A</v>
      </c>
      <c r="F227" s="2" t="e">
        <f t="shared" ref="F227:G227" si="382">IF(F217=0,F85,ABS(F186*F207))</f>
        <v>#N/A</v>
      </c>
      <c r="G227" s="2" t="e">
        <f t="shared" si="382"/>
        <v>#N/A</v>
      </c>
      <c r="H227" s="2" t="e">
        <f t="shared" ref="H227" si="383">IF(H217=0,H85,ABS(H186*H207))</f>
        <v>#N/A</v>
      </c>
    </row>
    <row r="228" spans="1:8" ht="15" hidden="1" x14ac:dyDescent="0.25">
      <c r="A228" s="5" t="s">
        <v>2274</v>
      </c>
      <c r="B228" s="2" t="s">
        <v>2418</v>
      </c>
      <c r="C228" s="3" t="s">
        <v>900</v>
      </c>
      <c r="D228" s="2">
        <f t="shared" ref="D228:E228" si="384">IF(D218=0,0,ABS(D188*D208))</f>
        <v>0</v>
      </c>
      <c r="E228" s="2" t="e">
        <f t="shared" si="384"/>
        <v>#N/A</v>
      </c>
      <c r="F228" s="2" t="e">
        <f t="shared" ref="F228:G228" si="385">IF(F218=0,0,ABS(F188*F208))</f>
        <v>#N/A</v>
      </c>
      <c r="G228" s="2" t="e">
        <f t="shared" si="385"/>
        <v>#N/A</v>
      </c>
      <c r="H228" s="2" t="e">
        <f t="shared" ref="H228" si="386">IF(H218=0,0,ABS(H188*H208))</f>
        <v>#N/A</v>
      </c>
    </row>
    <row r="229" spans="1:8" ht="15" hidden="1" x14ac:dyDescent="0.25">
      <c r="A229" s="5" t="s">
        <v>2529</v>
      </c>
      <c r="B229" s="2" t="s">
        <v>2414</v>
      </c>
      <c r="C229" s="3" t="s">
        <v>2407</v>
      </c>
      <c r="D229" s="2">
        <f t="shared" ref="D229:E229" si="387">IF(D219=0,D86,ABS(D188*D209))</f>
        <v>4.1251499999999997</v>
      </c>
      <c r="E229" s="2" t="e">
        <f t="shared" si="387"/>
        <v>#N/A</v>
      </c>
      <c r="F229" s="2" t="e">
        <f t="shared" ref="F229:G229" si="388">IF(F219=0,F86,ABS(F188*F209))</f>
        <v>#N/A</v>
      </c>
      <c r="G229" s="2" t="e">
        <f t="shared" si="388"/>
        <v>#N/A</v>
      </c>
      <c r="H229" s="2" t="e">
        <f t="shared" ref="H229" si="389">IF(H219=0,H86,ABS(H188*H209))</f>
        <v>#N/A</v>
      </c>
    </row>
    <row r="230" spans="1:8" ht="15" hidden="1" x14ac:dyDescent="0.25">
      <c r="A230" s="5" t="s">
        <v>2276</v>
      </c>
      <c r="B230" s="2" t="s">
        <v>2417</v>
      </c>
      <c r="C230" s="3" t="s">
        <v>2407</v>
      </c>
      <c r="D230" s="2">
        <f t="shared" ref="D230:E230" si="390">IF(D220=0,0,ABS(D190*D210))</f>
        <v>0</v>
      </c>
      <c r="E230" s="2" t="e">
        <f t="shared" si="390"/>
        <v>#N/A</v>
      </c>
      <c r="F230" s="2" t="e">
        <f t="shared" ref="F230:G230" si="391">IF(F220=0,0,ABS(F190*F210))</f>
        <v>#N/A</v>
      </c>
      <c r="G230" s="2" t="e">
        <f t="shared" si="391"/>
        <v>#N/A</v>
      </c>
      <c r="H230" s="2" t="e">
        <f t="shared" ref="H230" si="392">IF(H220=0,0,ABS(H190*H210))</f>
        <v>#N/A</v>
      </c>
    </row>
    <row r="231" spans="1:8" hidden="1" x14ac:dyDescent="0.2"/>
    <row r="232" spans="1:8" ht="25.5" hidden="1" x14ac:dyDescent="0.2">
      <c r="A232" s="59" t="s">
        <v>2469</v>
      </c>
    </row>
    <row r="233" spans="1:8" ht="14.25" hidden="1" x14ac:dyDescent="0.25">
      <c r="A233" s="5" t="s">
        <v>2526</v>
      </c>
      <c r="B233" s="2" t="s">
        <v>2421</v>
      </c>
      <c r="C233" s="2" t="s">
        <v>407</v>
      </c>
      <c r="D233" s="12">
        <f t="shared" ref="D233:E233" si="393">IF(D213=0,D183,0.5*D168)</f>
        <v>4.1514981273408136E-2</v>
      </c>
      <c r="E233" s="12" t="e">
        <f t="shared" si="393"/>
        <v>#N/A</v>
      </c>
      <c r="F233" s="12" t="e">
        <f t="shared" ref="F233:G233" si="394">IF(F213=0,F183,0.5*F168)</f>
        <v>#N/A</v>
      </c>
      <c r="G233" s="12" t="e">
        <f t="shared" si="394"/>
        <v>#N/A</v>
      </c>
      <c r="H233" s="12" t="e">
        <f t="shared" ref="H233" si="395">IF(H213=0,H183,0.5*H168)</f>
        <v>#N/A</v>
      </c>
    </row>
    <row r="234" spans="1:8" ht="14.25" hidden="1" x14ac:dyDescent="0.25">
      <c r="A234" s="5" t="s">
        <v>2270</v>
      </c>
      <c r="B234" s="2" t="s">
        <v>2422</v>
      </c>
      <c r="C234" s="2" t="s">
        <v>407</v>
      </c>
      <c r="D234" s="12">
        <f t="shared" ref="D234:E234" si="396">IF(D214=0,0,D194)</f>
        <v>0</v>
      </c>
      <c r="E234" s="12" t="e">
        <f t="shared" si="396"/>
        <v>#N/A</v>
      </c>
      <c r="F234" s="12" t="e">
        <f t="shared" ref="F234:G234" si="397">IF(F214=0,0,F194)</f>
        <v>#N/A</v>
      </c>
      <c r="G234" s="12" t="e">
        <f t="shared" si="397"/>
        <v>#N/A</v>
      </c>
      <c r="H234" s="12" t="e">
        <f t="shared" ref="H234" si="398">IF(H214=0,0,H194)</f>
        <v>#N/A</v>
      </c>
    </row>
    <row r="235" spans="1:8" ht="14.25" hidden="1" x14ac:dyDescent="0.25">
      <c r="A235" s="5" t="s">
        <v>2527</v>
      </c>
      <c r="B235" s="67" t="s">
        <v>2423</v>
      </c>
      <c r="C235" s="2" t="s">
        <v>407</v>
      </c>
      <c r="D235" s="12">
        <f t="shared" ref="D235:E235" si="399">IF(D215=0,D185,D194)</f>
        <v>0.21775749063670408</v>
      </c>
      <c r="E235" s="12" t="e">
        <f t="shared" si="399"/>
        <v>#N/A</v>
      </c>
      <c r="F235" s="12" t="e">
        <f t="shared" ref="F235:G235" si="400">IF(F215=0,F185,F194)</f>
        <v>#N/A</v>
      </c>
      <c r="G235" s="12" t="e">
        <f t="shared" si="400"/>
        <v>#N/A</v>
      </c>
      <c r="H235" s="12" t="e">
        <f t="shared" ref="H235" si="401">IF(H215=0,H185,H194)</f>
        <v>#N/A</v>
      </c>
    </row>
    <row r="236" spans="1:8" ht="14.25" hidden="1" x14ac:dyDescent="0.25">
      <c r="A236" s="5" t="s">
        <v>2272</v>
      </c>
      <c r="B236" s="2" t="s">
        <v>2424</v>
      </c>
      <c r="C236" s="2" t="s">
        <v>407</v>
      </c>
      <c r="D236" s="12">
        <f t="shared" ref="D236:E236" si="402">IF(D216=0,0,D196)</f>
        <v>-3.974250936329593E-2</v>
      </c>
      <c r="E236" s="12" t="e">
        <f t="shared" si="402"/>
        <v>#N/A</v>
      </c>
      <c r="F236" s="12" t="e">
        <f t="shared" ref="F236:G236" si="403">IF(F216=0,0,F196)</f>
        <v>#N/A</v>
      </c>
      <c r="G236" s="12" t="e">
        <f t="shared" si="403"/>
        <v>#N/A</v>
      </c>
      <c r="H236" s="12" t="e">
        <f t="shared" ref="H236" si="404">IF(H216=0,0,H196)</f>
        <v>#N/A</v>
      </c>
    </row>
    <row r="237" spans="1:8" ht="14.25" hidden="1" x14ac:dyDescent="0.25">
      <c r="A237" s="5" t="s">
        <v>2528</v>
      </c>
      <c r="B237" s="2" t="s">
        <v>2425</v>
      </c>
      <c r="C237" s="2" t="s">
        <v>407</v>
      </c>
      <c r="D237" s="12">
        <f t="shared" ref="D237:E237" si="405">IF(D217=0,D187,D196)</f>
        <v>-5.5144850187265915</v>
      </c>
      <c r="E237" s="12" t="e">
        <f t="shared" si="405"/>
        <v>#N/A</v>
      </c>
      <c r="F237" s="12" t="e">
        <f t="shared" ref="F237:G237" si="406">IF(F217=0,F187,F196)</f>
        <v>#N/A</v>
      </c>
      <c r="G237" s="12" t="e">
        <f t="shared" si="406"/>
        <v>#N/A</v>
      </c>
      <c r="H237" s="12" t="e">
        <f t="shared" ref="H237" si="407">IF(H217=0,H187,H196)</f>
        <v>#N/A</v>
      </c>
    </row>
    <row r="238" spans="1:8" ht="14.25" hidden="1" x14ac:dyDescent="0.25">
      <c r="A238" s="5" t="s">
        <v>2274</v>
      </c>
      <c r="B238" s="2" t="s">
        <v>2426</v>
      </c>
      <c r="C238" s="2" t="s">
        <v>407</v>
      </c>
      <c r="D238" s="12">
        <f t="shared" ref="D238:E238" si="408">IF(D218=0,0,D198)</f>
        <v>0</v>
      </c>
      <c r="E238" s="12" t="e">
        <f t="shared" si="408"/>
        <v>#N/A</v>
      </c>
      <c r="F238" s="12" t="e">
        <f t="shared" ref="F238:G238" si="409">IF(F218=0,0,F198)</f>
        <v>#N/A</v>
      </c>
      <c r="G238" s="12" t="e">
        <f t="shared" si="409"/>
        <v>#N/A</v>
      </c>
      <c r="H238" s="12" t="e">
        <f t="shared" ref="H238" si="410">IF(H218=0,0,H198)</f>
        <v>#N/A</v>
      </c>
    </row>
    <row r="239" spans="1:8" ht="14.25" hidden="1" x14ac:dyDescent="0.25">
      <c r="A239" s="5" t="s">
        <v>2529</v>
      </c>
      <c r="B239" s="2" t="s">
        <v>2427</v>
      </c>
      <c r="C239" s="2" t="s">
        <v>407</v>
      </c>
      <c r="D239" s="12">
        <f t="shared" ref="D239:E239" si="411">IF(D219=0,D189,D198)</f>
        <v>-11.206985018726591</v>
      </c>
      <c r="E239" s="12" t="e">
        <f t="shared" si="411"/>
        <v>#N/A</v>
      </c>
      <c r="F239" s="12" t="e">
        <f t="shared" ref="F239:G239" si="412">IF(F219=0,F189,F198)</f>
        <v>#N/A</v>
      </c>
      <c r="G239" s="12" t="e">
        <f t="shared" si="412"/>
        <v>#N/A</v>
      </c>
      <c r="H239" s="12" t="e">
        <f t="shared" ref="H239" si="413">IF(H219=0,H189,H198)</f>
        <v>#N/A</v>
      </c>
    </row>
    <row r="240" spans="1:8" ht="14.25" hidden="1" x14ac:dyDescent="0.25">
      <c r="A240" s="5" t="s">
        <v>2276</v>
      </c>
      <c r="B240" s="2" t="s">
        <v>2428</v>
      </c>
      <c r="C240" s="2" t="s">
        <v>407</v>
      </c>
      <c r="D240" s="12">
        <f t="shared" ref="D240:E240" si="414">IF(D220=0,0,D200)</f>
        <v>0</v>
      </c>
      <c r="E240" s="12" t="e">
        <f t="shared" si="414"/>
        <v>#N/A</v>
      </c>
      <c r="F240" s="12" t="e">
        <f t="shared" ref="F240:G240" si="415">IF(F220=0,0,F200)</f>
        <v>#N/A</v>
      </c>
      <c r="G240" s="12" t="e">
        <f t="shared" si="415"/>
        <v>#N/A</v>
      </c>
      <c r="H240" s="12" t="e">
        <f t="shared" ref="H240" si="416">IF(H220=0,0,H200)</f>
        <v>#N/A</v>
      </c>
    </row>
    <row r="241" spans="1:8" hidden="1" x14ac:dyDescent="0.2"/>
    <row r="242" spans="1:8" ht="25.5" hidden="1" x14ac:dyDescent="0.2">
      <c r="A242" s="59" t="s">
        <v>2468</v>
      </c>
    </row>
    <row r="243" spans="1:8" ht="15" hidden="1" x14ac:dyDescent="0.25">
      <c r="A243" s="5" t="s">
        <v>2526</v>
      </c>
      <c r="B243" s="2" t="s">
        <v>2431</v>
      </c>
      <c r="C243" s="3" t="s">
        <v>906</v>
      </c>
      <c r="D243" s="12">
        <f t="shared" ref="D243:E250" si="417">D223*D233</f>
        <v>0.18598711610486846</v>
      </c>
      <c r="E243" s="12" t="e">
        <f t="shared" si="417"/>
        <v>#N/A</v>
      </c>
      <c r="F243" s="12" t="e">
        <f t="shared" ref="F243:G243" si="418">F223*F233</f>
        <v>#N/A</v>
      </c>
      <c r="G243" s="12" t="e">
        <f t="shared" si="418"/>
        <v>#N/A</v>
      </c>
      <c r="H243" s="12" t="e">
        <f t="shared" ref="H243" si="419">H223*H233</f>
        <v>#N/A</v>
      </c>
    </row>
    <row r="244" spans="1:8" ht="15" hidden="1" x14ac:dyDescent="0.25">
      <c r="A244" s="5" t="s">
        <v>2270</v>
      </c>
      <c r="B244" s="2" t="s">
        <v>2432</v>
      </c>
      <c r="C244" s="3" t="s">
        <v>906</v>
      </c>
      <c r="D244" s="12">
        <f t="shared" si="417"/>
        <v>0</v>
      </c>
      <c r="E244" s="12" t="e">
        <f t="shared" si="417"/>
        <v>#N/A</v>
      </c>
      <c r="F244" s="12" t="e">
        <f t="shared" ref="F244:G244" si="420">F224*F234</f>
        <v>#N/A</v>
      </c>
      <c r="G244" s="12" t="e">
        <f t="shared" si="420"/>
        <v>#N/A</v>
      </c>
      <c r="H244" s="12" t="e">
        <f t="shared" ref="H244" si="421">H224*H234</f>
        <v>#N/A</v>
      </c>
    </row>
    <row r="245" spans="1:8" ht="15" hidden="1" x14ac:dyDescent="0.25">
      <c r="A245" s="5" t="s">
        <v>2527</v>
      </c>
      <c r="B245" s="2" t="s">
        <v>2433</v>
      </c>
      <c r="C245" s="3" t="s">
        <v>2263</v>
      </c>
      <c r="D245" s="12">
        <f t="shared" si="417"/>
        <v>0.75964156214887613</v>
      </c>
      <c r="E245" s="12" t="e">
        <f t="shared" si="417"/>
        <v>#N/A</v>
      </c>
      <c r="F245" s="12" t="e">
        <f t="shared" ref="F245:G245" si="422">F225*F235</f>
        <v>#N/A</v>
      </c>
      <c r="G245" s="12" t="e">
        <f t="shared" si="422"/>
        <v>#N/A</v>
      </c>
      <c r="H245" s="12" t="e">
        <f t="shared" ref="H245" si="423">H225*H235</f>
        <v>#N/A</v>
      </c>
    </row>
    <row r="246" spans="1:8" ht="15" hidden="1" x14ac:dyDescent="0.25">
      <c r="A246" s="5" t="s">
        <v>2272</v>
      </c>
      <c r="B246" s="2" t="s">
        <v>2434</v>
      </c>
      <c r="C246" s="3" t="s">
        <v>2263</v>
      </c>
      <c r="D246" s="12">
        <f t="shared" si="417"/>
        <v>-2.5303062148876468E-2</v>
      </c>
      <c r="E246" s="12" t="e">
        <f t="shared" si="417"/>
        <v>#N/A</v>
      </c>
      <c r="F246" s="12" t="e">
        <f t="shared" ref="F246:G246" si="424">F226*F236</f>
        <v>#N/A</v>
      </c>
      <c r="G246" s="12" t="e">
        <f t="shared" si="424"/>
        <v>#N/A</v>
      </c>
      <c r="H246" s="12" t="e">
        <f t="shared" ref="H246" si="425">H226*H236</f>
        <v>#N/A</v>
      </c>
    </row>
    <row r="247" spans="1:8" ht="15" hidden="1" x14ac:dyDescent="0.25">
      <c r="A247" s="5" t="s">
        <v>2528</v>
      </c>
      <c r="B247" s="2" t="s">
        <v>2435</v>
      </c>
      <c r="C247" s="3" t="s">
        <v>2263</v>
      </c>
      <c r="D247" s="12">
        <f t="shared" si="417"/>
        <v>-17.683023385299624</v>
      </c>
      <c r="E247" s="12" t="e">
        <f t="shared" si="417"/>
        <v>#N/A</v>
      </c>
      <c r="F247" s="12" t="e">
        <f t="shared" ref="F247:G247" si="426">F227*F237</f>
        <v>#N/A</v>
      </c>
      <c r="G247" s="12" t="e">
        <f t="shared" si="426"/>
        <v>#N/A</v>
      </c>
      <c r="H247" s="12" t="e">
        <f t="shared" ref="H247" si="427">H227*H237</f>
        <v>#N/A</v>
      </c>
    </row>
    <row r="248" spans="1:8" ht="15" hidden="1" x14ac:dyDescent="0.25">
      <c r="A248" s="5" t="s">
        <v>2274</v>
      </c>
      <c r="B248" s="2" t="s">
        <v>2436</v>
      </c>
      <c r="C248" s="3" t="s">
        <v>2263</v>
      </c>
      <c r="D248" s="12">
        <f t="shared" si="417"/>
        <v>0</v>
      </c>
      <c r="E248" s="12" t="e">
        <f t="shared" si="417"/>
        <v>#N/A</v>
      </c>
      <c r="F248" s="12" t="e">
        <f t="shared" ref="F248:G248" si="428">F228*F238</f>
        <v>#N/A</v>
      </c>
      <c r="G248" s="12" t="e">
        <f t="shared" si="428"/>
        <v>#N/A</v>
      </c>
      <c r="H248" s="12" t="e">
        <f t="shared" ref="H248" si="429">H228*H238</f>
        <v>#N/A</v>
      </c>
    </row>
    <row r="249" spans="1:8" ht="15" hidden="1" x14ac:dyDescent="0.25">
      <c r="A249" s="5" t="s">
        <v>2529</v>
      </c>
      <c r="B249" s="2" t="s">
        <v>2437</v>
      </c>
      <c r="C249" s="3" t="s">
        <v>2263</v>
      </c>
      <c r="D249" s="12">
        <f t="shared" si="417"/>
        <v>-46.230494249999992</v>
      </c>
      <c r="E249" s="12" t="e">
        <f t="shared" si="417"/>
        <v>#N/A</v>
      </c>
      <c r="F249" s="12" t="e">
        <f t="shared" ref="F249:G249" si="430">F229*F239</f>
        <v>#N/A</v>
      </c>
      <c r="G249" s="12" t="e">
        <f t="shared" si="430"/>
        <v>#N/A</v>
      </c>
      <c r="H249" s="12" t="e">
        <f t="shared" ref="H249" si="431">H229*H239</f>
        <v>#N/A</v>
      </c>
    </row>
    <row r="250" spans="1:8" ht="15" hidden="1" x14ac:dyDescent="0.25">
      <c r="A250" s="5" t="s">
        <v>2276</v>
      </c>
      <c r="B250" s="2" t="s">
        <v>2438</v>
      </c>
      <c r="C250" s="3" t="s">
        <v>2263</v>
      </c>
      <c r="D250" s="12">
        <f t="shared" si="417"/>
        <v>0</v>
      </c>
      <c r="E250" s="12" t="e">
        <f t="shared" si="417"/>
        <v>#N/A</v>
      </c>
      <c r="F250" s="12" t="e">
        <f t="shared" ref="F250:G250" si="432">F230*F240</f>
        <v>#N/A</v>
      </c>
      <c r="G250" s="12" t="e">
        <f t="shared" si="432"/>
        <v>#N/A</v>
      </c>
      <c r="H250" s="12" t="e">
        <f t="shared" ref="H250" si="433">H230*H240</f>
        <v>#N/A</v>
      </c>
    </row>
    <row r="251" spans="1:8" hidden="1" x14ac:dyDescent="0.2"/>
    <row r="252" spans="1:8" ht="15" hidden="1" x14ac:dyDescent="0.25">
      <c r="A252" s="5" t="s">
        <v>2443</v>
      </c>
      <c r="B252" s="2" t="s">
        <v>2441</v>
      </c>
      <c r="C252" s="3" t="s">
        <v>2263</v>
      </c>
      <c r="D252" s="12">
        <f t="shared" ref="D252:E252" si="434">ABS(SUMIF(D243:D250,"&gt;0"))</f>
        <v>0.94562867825374464</v>
      </c>
      <c r="E252" s="12">
        <f t="shared" si="434"/>
        <v>0</v>
      </c>
      <c r="F252" s="12">
        <f t="shared" ref="F252:G252" si="435">ABS(SUMIF(F243:F250,"&gt;0"))</f>
        <v>0</v>
      </c>
      <c r="G252" s="12">
        <f t="shared" si="435"/>
        <v>0</v>
      </c>
      <c r="H252" s="12">
        <f t="shared" ref="H252" si="436">ABS(SUMIF(H243:H250,"&gt;0"))</f>
        <v>0</v>
      </c>
    </row>
    <row r="253" spans="1:8" ht="15" hidden="1" x14ac:dyDescent="0.25">
      <c r="A253" s="5" t="s">
        <v>2444</v>
      </c>
      <c r="B253" s="2" t="s">
        <v>2442</v>
      </c>
      <c r="C253" s="3" t="s">
        <v>2263</v>
      </c>
      <c r="D253" s="12">
        <f t="shared" ref="D253:E253" si="437">ABS(SUMIF(D243:D250,"&lt;0"))</f>
        <v>63.938820697448492</v>
      </c>
      <c r="E253" s="12">
        <f t="shared" si="437"/>
        <v>0</v>
      </c>
      <c r="F253" s="12">
        <f t="shared" ref="F253:G253" si="438">ABS(SUMIF(F243:F250,"&lt;0"))</f>
        <v>0</v>
      </c>
      <c r="G253" s="12">
        <f t="shared" si="438"/>
        <v>0</v>
      </c>
      <c r="H253" s="12">
        <f t="shared" ref="H253" si="439">ABS(SUMIF(H243:H250,"&lt;0"))</f>
        <v>0</v>
      </c>
    </row>
    <row r="254" spans="1:8" hidden="1" x14ac:dyDescent="0.2"/>
    <row r="255" spans="1:8" ht="15" hidden="1" x14ac:dyDescent="0.25">
      <c r="A255" s="37" t="s">
        <v>413</v>
      </c>
      <c r="B255" s="40" t="s">
        <v>2408</v>
      </c>
      <c r="C255" s="41" t="s">
        <v>2409</v>
      </c>
      <c r="D255" s="56">
        <f t="shared" ref="D255:E255" si="440">D252+D253</f>
        <v>64.884449375702232</v>
      </c>
      <c r="E255" s="56">
        <f t="shared" si="440"/>
        <v>0</v>
      </c>
      <c r="F255" s="56">
        <f t="shared" ref="F255:G255" si="441">F252+F253</f>
        <v>0</v>
      </c>
      <c r="G255" s="56">
        <f t="shared" si="441"/>
        <v>0</v>
      </c>
      <c r="H255" s="56">
        <f t="shared" ref="H255" si="442">H252+H253</f>
        <v>0</v>
      </c>
    </row>
    <row r="256" spans="1:8" hidden="1" x14ac:dyDescent="0.2">
      <c r="D256" s="61"/>
      <c r="E256" s="61"/>
      <c r="F256" s="61"/>
      <c r="G256" s="61"/>
      <c r="H256" s="61"/>
    </row>
    <row r="257" spans="1:8" hidden="1" x14ac:dyDescent="0.2">
      <c r="A257" s="16" t="s">
        <v>416</v>
      </c>
      <c r="C257" s="3"/>
    </row>
    <row r="258" spans="1:8" ht="15" hidden="1" x14ac:dyDescent="0.25">
      <c r="A258" s="5" t="s">
        <v>2523</v>
      </c>
      <c r="B258" s="2" t="s">
        <v>2362</v>
      </c>
      <c r="C258" s="3" t="s">
        <v>906</v>
      </c>
      <c r="D258" s="10">
        <f t="shared" ref="D258:E258" si="443">D16</f>
        <v>15.9</v>
      </c>
      <c r="E258" s="10" t="e">
        <f t="shared" si="443"/>
        <v>#N/A</v>
      </c>
      <c r="F258" s="10" t="e">
        <f t="shared" ref="F258:G258" si="444">F16</f>
        <v>#N/A</v>
      </c>
      <c r="G258" s="10" t="e">
        <f t="shared" si="444"/>
        <v>#N/A</v>
      </c>
      <c r="H258" s="10" t="e">
        <f t="shared" ref="H258" si="445">H16</f>
        <v>#N/A</v>
      </c>
    </row>
    <row r="259" spans="1:8" ht="15" hidden="1" x14ac:dyDescent="0.25">
      <c r="A259" s="5" t="s">
        <v>2512</v>
      </c>
      <c r="B259" s="2" t="s">
        <v>2363</v>
      </c>
      <c r="C259" s="3" t="s">
        <v>906</v>
      </c>
      <c r="D259" s="10">
        <f t="shared" ref="D259:E259" si="446">(D31*D32^2)/4</f>
        <v>8.2606128749999996</v>
      </c>
      <c r="E259" s="10">
        <f t="shared" si="446"/>
        <v>0</v>
      </c>
      <c r="F259" s="10">
        <f t="shared" ref="F259:G259" si="447">(F31*F32^2)/4</f>
        <v>0</v>
      </c>
      <c r="G259" s="10">
        <f t="shared" si="447"/>
        <v>0</v>
      </c>
      <c r="H259" s="10">
        <f t="shared" ref="H259" si="448">(H31*H32^2)/4</f>
        <v>0</v>
      </c>
    </row>
    <row r="260" spans="1:8" ht="15" hidden="1" x14ac:dyDescent="0.25">
      <c r="A260" s="5" t="s">
        <v>2524</v>
      </c>
      <c r="B260" s="2" t="s">
        <v>2365</v>
      </c>
      <c r="C260" s="3" t="s">
        <v>2263</v>
      </c>
      <c r="D260" s="10">
        <f t="shared" ref="D260:E260" si="449">(D35*D30^2)/4</f>
        <v>0.23649043749999996</v>
      </c>
      <c r="E260" s="10">
        <f t="shared" si="449"/>
        <v>0</v>
      </c>
      <c r="F260" s="10">
        <f t="shared" ref="F260:G260" si="450">(F35*F30^2)/4</f>
        <v>0</v>
      </c>
      <c r="G260" s="10">
        <f t="shared" si="450"/>
        <v>0</v>
      </c>
      <c r="H260" s="10">
        <f t="shared" ref="H260" si="451">(H35*H30^2)/4</f>
        <v>0</v>
      </c>
    </row>
    <row r="261" spans="1:8" ht="15" hidden="1" x14ac:dyDescent="0.25">
      <c r="A261" s="5" t="s">
        <v>2525</v>
      </c>
      <c r="B261" s="2" t="s">
        <v>2366</v>
      </c>
      <c r="C261" s="3" t="s">
        <v>2263</v>
      </c>
      <c r="D261" s="10">
        <f t="shared" ref="D261:E261" si="452">(D33*D34^2)/4</f>
        <v>8.2606128749999996</v>
      </c>
      <c r="E261" s="10">
        <f t="shared" si="452"/>
        <v>0</v>
      </c>
      <c r="F261" s="10">
        <f t="shared" ref="F261:G261" si="453">(F33*F34^2)/4</f>
        <v>0</v>
      </c>
      <c r="G261" s="10">
        <f t="shared" si="453"/>
        <v>0</v>
      </c>
      <c r="H261" s="10">
        <f t="shared" ref="H261" si="454">(H33*H34^2)/4</f>
        <v>0</v>
      </c>
    </row>
    <row r="262" spans="1:8" ht="15" hidden="1" x14ac:dyDescent="0.25">
      <c r="A262" s="37" t="s">
        <v>2360</v>
      </c>
      <c r="B262" s="40" t="s">
        <v>2361</v>
      </c>
      <c r="C262" s="41" t="s">
        <v>2359</v>
      </c>
      <c r="D262" s="55">
        <f t="shared" ref="D262:E262" si="455">SUM(D258:D261)</f>
        <v>32.6577161875</v>
      </c>
      <c r="E262" s="55" t="e">
        <f t="shared" si="455"/>
        <v>#N/A</v>
      </c>
      <c r="F262" s="55" t="e">
        <f t="shared" ref="F262:G262" si="456">SUM(F258:F261)</f>
        <v>#N/A</v>
      </c>
      <c r="G262" s="55" t="e">
        <f t="shared" si="456"/>
        <v>#N/A</v>
      </c>
      <c r="H262" s="55" t="e">
        <f t="shared" ref="H262" si="457">SUM(H258:H261)</f>
        <v>#N/A</v>
      </c>
    </row>
    <row r="263" spans="1:8" hidden="1" x14ac:dyDescent="0.2"/>
    <row r="264" spans="1:8" hidden="1" x14ac:dyDescent="0.2">
      <c r="A264" s="16" t="s">
        <v>962</v>
      </c>
    </row>
    <row r="265" spans="1:8" ht="15" hidden="1" x14ac:dyDescent="0.25">
      <c r="A265" s="5" t="s">
        <v>2509</v>
      </c>
      <c r="B265" s="2" t="s">
        <v>2352</v>
      </c>
      <c r="C265" s="3" t="s">
        <v>873</v>
      </c>
      <c r="D265" s="12">
        <f t="shared" ref="D265:E265" si="458">(D11*D13^3)/3</f>
        <v>4.6080000000000003E-2</v>
      </c>
      <c r="E265" s="12" t="e">
        <f t="shared" si="458"/>
        <v>#N/A</v>
      </c>
      <c r="F265" s="12" t="e">
        <f t="shared" ref="F265:G265" si="459">(F11*F13^3)/3</f>
        <v>#N/A</v>
      </c>
      <c r="G265" s="12" t="e">
        <f t="shared" si="459"/>
        <v>#N/A</v>
      </c>
      <c r="H265" s="12" t="e">
        <f t="shared" ref="H265" si="460">(H11*H13^3)/3</f>
        <v>#N/A</v>
      </c>
    </row>
    <row r="266" spans="1:8" ht="15" hidden="1" x14ac:dyDescent="0.25">
      <c r="A266" s="5" t="s">
        <v>2515</v>
      </c>
      <c r="B266" s="2" t="s">
        <v>2353</v>
      </c>
      <c r="C266" s="3" t="s">
        <v>873</v>
      </c>
      <c r="D266" s="12">
        <f t="shared" ref="D266:E266" si="461">2*((D12*D14^3)/3)</f>
        <v>0.14366188373333333</v>
      </c>
      <c r="E266" s="12" t="e">
        <f t="shared" si="461"/>
        <v>#N/A</v>
      </c>
      <c r="F266" s="12" t="e">
        <f t="shared" ref="F266:G266" si="462">2*((F12*F14^3)/3)</f>
        <v>#N/A</v>
      </c>
      <c r="G266" s="12" t="e">
        <f t="shared" si="462"/>
        <v>#N/A</v>
      </c>
      <c r="H266" s="12" t="e">
        <f t="shared" ref="H266" si="463">2*((H12*H14^3)/3)</f>
        <v>#N/A</v>
      </c>
    </row>
    <row r="267" spans="1:8" ht="15" hidden="1" x14ac:dyDescent="0.25">
      <c r="A267" s="5" t="s">
        <v>2514</v>
      </c>
      <c r="B267" s="2" t="s">
        <v>2354</v>
      </c>
      <c r="C267" s="3" t="s">
        <v>873</v>
      </c>
      <c r="D267" s="12">
        <f t="shared" ref="D267:E267" si="464">(D32*D31^3)/3</f>
        <v>0.36469763625000001</v>
      </c>
      <c r="E267" s="12">
        <f t="shared" si="464"/>
        <v>0</v>
      </c>
      <c r="F267" s="12">
        <f t="shared" ref="F267:G267" si="465">(F32*F31^3)/3</f>
        <v>0</v>
      </c>
      <c r="G267" s="12">
        <f t="shared" si="465"/>
        <v>0</v>
      </c>
      <c r="H267" s="12">
        <f t="shared" ref="H267" si="466">(H32*H31^3)/3</f>
        <v>0</v>
      </c>
    </row>
    <row r="268" spans="1:8" ht="15" hidden="1" x14ac:dyDescent="0.25">
      <c r="A268" s="5" t="s">
        <v>2513</v>
      </c>
      <c r="B268" s="2" t="s">
        <v>2355</v>
      </c>
      <c r="C268" s="3" t="s">
        <v>873</v>
      </c>
      <c r="D268" s="12">
        <f t="shared" ref="D268:E268" si="467">(D35*D30^3)/3</f>
        <v>9.3019572083333321E-2</v>
      </c>
      <c r="E268" s="12">
        <f t="shared" si="467"/>
        <v>0</v>
      </c>
      <c r="F268" s="12">
        <f t="shared" ref="F268:G268" si="468">(F35*F30^3)/3</f>
        <v>0</v>
      </c>
      <c r="G268" s="12">
        <f t="shared" si="468"/>
        <v>0</v>
      </c>
      <c r="H268" s="12">
        <f t="shared" ref="H268" si="469">(H35*H30^3)/3</f>
        <v>0</v>
      </c>
    </row>
    <row r="269" spans="1:8" ht="15" hidden="1" x14ac:dyDescent="0.25">
      <c r="A269" s="5" t="s">
        <v>2510</v>
      </c>
      <c r="B269" s="2" t="s">
        <v>2356</v>
      </c>
      <c r="C269" s="3" t="s">
        <v>873</v>
      </c>
      <c r="D269" s="12">
        <f t="shared" ref="D269:E269" si="470">(D34*D33^3)/3</f>
        <v>0.36469763625000001</v>
      </c>
      <c r="E269" s="12">
        <f t="shared" si="470"/>
        <v>0</v>
      </c>
      <c r="F269" s="12">
        <f t="shared" ref="F269:G269" si="471">(F34*F33^3)/3</f>
        <v>0</v>
      </c>
      <c r="G269" s="12">
        <f t="shared" si="471"/>
        <v>0</v>
      </c>
      <c r="H269" s="12">
        <f t="shared" ref="H269" si="472">(H34*H33^3)/3</f>
        <v>0</v>
      </c>
    </row>
    <row r="270" spans="1:8" ht="15" hidden="1" x14ac:dyDescent="0.2">
      <c r="A270" s="37" t="s">
        <v>2358</v>
      </c>
      <c r="B270" s="40" t="s">
        <v>2357</v>
      </c>
      <c r="C270" s="41" t="s">
        <v>2343</v>
      </c>
      <c r="D270" s="55">
        <f t="shared" ref="D270:E270" si="473">SUM(D265:D269)</f>
        <v>1.0121567283166668</v>
      </c>
      <c r="E270" s="55" t="e">
        <f t="shared" si="473"/>
        <v>#N/A</v>
      </c>
      <c r="F270" s="55" t="e">
        <f t="shared" ref="F270:G270" si="474">SUM(F265:F269)</f>
        <v>#N/A</v>
      </c>
      <c r="G270" s="55" t="e">
        <f t="shared" si="474"/>
        <v>#N/A</v>
      </c>
      <c r="H270" s="55" t="e">
        <f t="shared" ref="H270" si="475">SUM(H265:H269)</f>
        <v>#N/A</v>
      </c>
    </row>
    <row r="271" spans="1:8" hidden="1" x14ac:dyDescent="0.2"/>
    <row r="272" spans="1:8" hidden="1" x14ac:dyDescent="0.2">
      <c r="A272" s="66" t="s">
        <v>422</v>
      </c>
    </row>
    <row r="273" spans="1:8" ht="14.25" hidden="1" x14ac:dyDescent="0.25">
      <c r="B273" s="2" t="s">
        <v>916</v>
      </c>
      <c r="C273" s="2" t="s">
        <v>407</v>
      </c>
      <c r="D273" s="2">
        <f t="shared" ref="D273:E273" si="476">D73-(D69+D70+D72)/2</f>
        <v>11.505000000000001</v>
      </c>
      <c r="E273" s="2" t="e">
        <f t="shared" si="476"/>
        <v>#N/A</v>
      </c>
      <c r="F273" s="2" t="e">
        <f t="shared" ref="F273:G273" si="477">F73-(F69+F70+F72)/2</f>
        <v>#N/A</v>
      </c>
      <c r="G273" s="2" t="e">
        <f t="shared" si="477"/>
        <v>#N/A</v>
      </c>
      <c r="H273" s="2" t="e">
        <f t="shared" ref="H273" si="478">H73-(H69+H70+H72)/2</f>
        <v>#N/A</v>
      </c>
    </row>
    <row r="274" spans="1:8" hidden="1" x14ac:dyDescent="0.2">
      <c r="B274" s="2" t="s">
        <v>1918</v>
      </c>
      <c r="D274" s="12">
        <f t="shared" ref="D274:E274" si="479">1/((D286/D290)+1)</f>
        <v>0.19796701576545608</v>
      </c>
      <c r="E274" s="12" t="e">
        <f t="shared" si="479"/>
        <v>#N/A</v>
      </c>
      <c r="F274" s="12" t="e">
        <f t="shared" ref="F274:G274" si="480">1/((F286/F290)+1)</f>
        <v>#N/A</v>
      </c>
      <c r="G274" s="12" t="e">
        <f t="shared" si="480"/>
        <v>#N/A</v>
      </c>
      <c r="H274" s="12" t="e">
        <f t="shared" ref="H274" si="481">1/((H286/H290)+1)</f>
        <v>#N/A</v>
      </c>
    </row>
    <row r="275" spans="1:8" ht="15" hidden="1" x14ac:dyDescent="0.25">
      <c r="A275" s="37" t="s">
        <v>422</v>
      </c>
      <c r="B275" s="40" t="s">
        <v>2367</v>
      </c>
      <c r="C275" s="41" t="s">
        <v>2368</v>
      </c>
      <c r="D275" s="55">
        <f t="shared" ref="D275:E275" si="482">D286*D274*D273^2</f>
        <v>2341.4722042152612</v>
      </c>
      <c r="E275" s="55" t="e">
        <f t="shared" si="482"/>
        <v>#N/A</v>
      </c>
      <c r="F275" s="55" t="e">
        <f t="shared" ref="F275:G275" si="483">F286*F274*F273^2</f>
        <v>#N/A</v>
      </c>
      <c r="G275" s="55" t="e">
        <f t="shared" si="483"/>
        <v>#N/A</v>
      </c>
      <c r="H275" s="55" t="e">
        <f t="shared" ref="H275" si="484">H286*H274*H273^2</f>
        <v>#N/A</v>
      </c>
    </row>
    <row r="276" spans="1:8" hidden="1" x14ac:dyDescent="0.2"/>
    <row r="277" spans="1:8" ht="15" hidden="1" x14ac:dyDescent="0.25">
      <c r="A277" s="13" t="s">
        <v>953</v>
      </c>
      <c r="B277" s="2" t="s">
        <v>955</v>
      </c>
      <c r="C277" s="3" t="s">
        <v>2263</v>
      </c>
      <c r="D277" s="6">
        <f t="shared" ref="D277:E277" si="485">D130/D102</f>
        <v>86.598447081882213</v>
      </c>
      <c r="E277" s="6" t="e">
        <f t="shared" si="485"/>
        <v>#N/A</v>
      </c>
      <c r="F277" s="6" t="e">
        <f t="shared" ref="F277:G277" si="486">F130/F102</f>
        <v>#N/A</v>
      </c>
      <c r="G277" s="6" t="e">
        <f t="shared" si="486"/>
        <v>#N/A</v>
      </c>
      <c r="H277" s="6" t="e">
        <f t="shared" ref="H277" si="487">H130/H102</f>
        <v>#N/A</v>
      </c>
    </row>
    <row r="278" spans="1:8" ht="15" hidden="1" x14ac:dyDescent="0.25">
      <c r="A278" s="13" t="s">
        <v>954</v>
      </c>
      <c r="B278" s="2" t="s">
        <v>956</v>
      </c>
      <c r="C278" s="3" t="s">
        <v>906</v>
      </c>
      <c r="D278" s="6">
        <f t="shared" ref="D278:E278" si="488">D130/D103</f>
        <v>53.35473385555435</v>
      </c>
      <c r="E278" s="6" t="e">
        <f t="shared" si="488"/>
        <v>#N/A</v>
      </c>
      <c r="F278" s="6" t="e">
        <f t="shared" ref="F278:G278" si="489">F130/F103</f>
        <v>#N/A</v>
      </c>
      <c r="G278" s="6" t="e">
        <f t="shared" si="489"/>
        <v>#N/A</v>
      </c>
      <c r="H278" s="6" t="e">
        <f t="shared" ref="H278" si="490">H130/H103</f>
        <v>#N/A</v>
      </c>
    </row>
    <row r="279" spans="1:8" hidden="1" x14ac:dyDescent="0.2"/>
    <row r="280" spans="1:8" ht="15" hidden="1" x14ac:dyDescent="0.25">
      <c r="A280" s="13" t="s">
        <v>417</v>
      </c>
      <c r="B280" s="2" t="s">
        <v>911</v>
      </c>
      <c r="C280" s="3" t="s">
        <v>2263</v>
      </c>
      <c r="D280" s="6">
        <f t="shared" ref="D280:E280" si="491">D137/D139</f>
        <v>22.286985529104165</v>
      </c>
      <c r="E280" s="6" t="e">
        <f t="shared" si="491"/>
        <v>#N/A</v>
      </c>
      <c r="F280" s="6" t="e">
        <f t="shared" ref="F280:G280" si="492">F137/F139</f>
        <v>#N/A</v>
      </c>
      <c r="G280" s="6" t="e">
        <f t="shared" si="492"/>
        <v>#N/A</v>
      </c>
      <c r="H280" s="6" t="e">
        <f t="shared" ref="H280" si="493">H137/H139</f>
        <v>#N/A</v>
      </c>
    </row>
    <row r="281" spans="1:8" hidden="1" x14ac:dyDescent="0.2"/>
    <row r="282" spans="1:8" ht="14.25" hidden="1" x14ac:dyDescent="0.25">
      <c r="A282" s="13" t="s">
        <v>415</v>
      </c>
      <c r="B282" s="2" t="s">
        <v>908</v>
      </c>
      <c r="C282" s="3" t="s">
        <v>407</v>
      </c>
      <c r="D282" s="6">
        <f t="shared" ref="D282:E282" si="494">SQRT(D130/D87)</f>
        <v>5.0148377038958811</v>
      </c>
      <c r="E282" s="6" t="e">
        <f t="shared" si="494"/>
        <v>#N/A</v>
      </c>
      <c r="F282" s="6" t="e">
        <f t="shared" ref="F282:G282" si="495">SQRT(F130/F87)</f>
        <v>#N/A</v>
      </c>
      <c r="G282" s="6" t="e">
        <f t="shared" si="495"/>
        <v>#N/A</v>
      </c>
      <c r="H282" s="6" t="e">
        <f t="shared" ref="H282" si="496">SQRT(H130/H87)</f>
        <v>#N/A</v>
      </c>
    </row>
    <row r="283" spans="1:8" hidden="1" x14ac:dyDescent="0.2"/>
    <row r="284" spans="1:8" ht="14.25" hidden="1" x14ac:dyDescent="0.25">
      <c r="A284" s="13" t="s">
        <v>418</v>
      </c>
      <c r="B284" s="2" t="s">
        <v>912</v>
      </c>
      <c r="C284" s="3" t="s">
        <v>407</v>
      </c>
      <c r="D284" s="6">
        <f t="shared" ref="D284:E284" si="497">SQRT(D137/D87)</f>
        <v>2.644283789768167</v>
      </c>
      <c r="E284" s="6" t="e">
        <f t="shared" si="497"/>
        <v>#N/A</v>
      </c>
      <c r="F284" s="6" t="e">
        <f t="shared" ref="F284:G284" si="498">SQRT(F137/F87)</f>
        <v>#N/A</v>
      </c>
      <c r="G284" s="6" t="e">
        <f t="shared" si="498"/>
        <v>#N/A</v>
      </c>
      <c r="H284" s="6" t="e">
        <f t="shared" ref="H284" si="499">SQRT(H137/H87)</f>
        <v>#N/A</v>
      </c>
    </row>
    <row r="285" spans="1:8" hidden="1" x14ac:dyDescent="0.2"/>
    <row r="286" spans="1:8" ht="15" hidden="1" x14ac:dyDescent="0.25">
      <c r="A286" s="13" t="s">
        <v>964</v>
      </c>
      <c r="B286" s="2" t="s">
        <v>963</v>
      </c>
      <c r="C286" s="3" t="s">
        <v>873</v>
      </c>
      <c r="D286" s="6">
        <f t="shared" ref="D286:E286" si="500">D133+D134</f>
        <v>89.355836376249997</v>
      </c>
      <c r="E286" s="6" t="e">
        <f t="shared" si="500"/>
        <v>#N/A</v>
      </c>
      <c r="F286" s="6" t="e">
        <f t="shared" ref="F286:G286" si="501">F133+F134</f>
        <v>#N/A</v>
      </c>
      <c r="G286" s="6" t="e">
        <f t="shared" si="501"/>
        <v>#N/A</v>
      </c>
      <c r="H286" s="6" t="e">
        <f t="shared" ref="H286" si="502">H133+H134</f>
        <v>#N/A</v>
      </c>
    </row>
    <row r="287" spans="1:8" hidden="1" x14ac:dyDescent="0.2"/>
    <row r="288" spans="1:8" ht="15" hidden="1" x14ac:dyDescent="0.25">
      <c r="A288" s="13" t="s">
        <v>2285</v>
      </c>
      <c r="B288" s="2" t="s">
        <v>1825</v>
      </c>
      <c r="C288" s="3" t="s">
        <v>900</v>
      </c>
      <c r="D288" s="6">
        <f t="shared" ref="D288:E288" si="503">D83+D84</f>
        <v>8.6051500000000001</v>
      </c>
      <c r="E288" s="6" t="e">
        <f t="shared" si="503"/>
        <v>#N/A</v>
      </c>
      <c r="F288" s="6" t="e">
        <f t="shared" ref="F288:G288" si="504">F83+F84</f>
        <v>#N/A</v>
      </c>
      <c r="G288" s="6" t="e">
        <f t="shared" si="504"/>
        <v>#N/A</v>
      </c>
      <c r="H288" s="6" t="e">
        <f t="shared" ref="H288" si="505">H83+H84</f>
        <v>#N/A</v>
      </c>
    </row>
    <row r="289" spans="1:8" hidden="1" x14ac:dyDescent="0.2"/>
    <row r="290" spans="1:8" ht="15" hidden="1" x14ac:dyDescent="0.25">
      <c r="A290" s="13" t="s">
        <v>1912</v>
      </c>
      <c r="B290" s="2" t="s">
        <v>1923</v>
      </c>
      <c r="C290" s="3" t="s">
        <v>873</v>
      </c>
      <c r="D290" s="6">
        <f t="shared" ref="D290:E290" si="506">D136</f>
        <v>22.055836376250003</v>
      </c>
      <c r="E290" s="6">
        <f t="shared" si="506"/>
        <v>0</v>
      </c>
      <c r="F290" s="6">
        <f t="shared" ref="F290:G290" si="507">F136</f>
        <v>0</v>
      </c>
      <c r="G290" s="6">
        <f t="shared" si="507"/>
        <v>0</v>
      </c>
      <c r="H290" s="6">
        <f t="shared" ref="H290" si="508">H136</f>
        <v>0</v>
      </c>
    </row>
    <row r="292" spans="1:8" x14ac:dyDescent="0.2">
      <c r="A292" s="214" t="s">
        <v>2583</v>
      </c>
      <c r="D292" s="214" t="s">
        <v>2584</v>
      </c>
    </row>
    <row r="294" spans="1:8" x14ac:dyDescent="0.2">
      <c r="A294" s="4"/>
      <c r="B294" s="4"/>
      <c r="C294" s="4"/>
      <c r="D294" s="4"/>
      <c r="E294" s="4"/>
      <c r="F294" s="4"/>
      <c r="G294" s="4"/>
      <c r="H294" s="4"/>
    </row>
    <row r="295" spans="1:8" x14ac:dyDescent="0.2">
      <c r="A295" s="4"/>
      <c r="B295" s="4"/>
      <c r="C295" s="4"/>
      <c r="D295" s="4"/>
      <c r="E295" s="4"/>
      <c r="F295" s="4"/>
      <c r="G295" s="4"/>
      <c r="H295" s="4"/>
    </row>
    <row r="296" spans="1:8" x14ac:dyDescent="0.2">
      <c r="A296" s="4"/>
      <c r="B296" s="4"/>
      <c r="C296" s="4"/>
      <c r="D296" s="4"/>
      <c r="E296" s="4"/>
      <c r="F296" s="4"/>
      <c r="G296" s="4"/>
      <c r="H296" s="4"/>
    </row>
    <row r="297" spans="1:8" x14ac:dyDescent="0.2">
      <c r="A297" s="4"/>
      <c r="B297" s="4"/>
      <c r="C297" s="4"/>
      <c r="D297" s="4"/>
      <c r="E297" s="4"/>
      <c r="F297" s="4"/>
      <c r="G297" s="4"/>
      <c r="H297" s="4"/>
    </row>
    <row r="298" spans="1:8" x14ac:dyDescent="0.2">
      <c r="A298" s="4"/>
      <c r="B298" s="4"/>
      <c r="C298" s="4"/>
      <c r="D298" s="4"/>
      <c r="E298" s="4"/>
      <c r="F298" s="4"/>
      <c r="G298" s="4"/>
      <c r="H298" s="4"/>
    </row>
    <row r="299" spans="1:8" x14ac:dyDescent="0.2">
      <c r="A299" s="4"/>
      <c r="B299" s="4"/>
      <c r="C299" s="4"/>
      <c r="D299" s="4"/>
      <c r="E299" s="4"/>
      <c r="F299" s="4"/>
      <c r="G299" s="4"/>
      <c r="H299" s="4"/>
    </row>
    <row r="300" spans="1:8" x14ac:dyDescent="0.2">
      <c r="A300" s="4"/>
      <c r="B300" s="4"/>
      <c r="C300" s="4"/>
      <c r="D300" s="4"/>
      <c r="E300" s="4"/>
      <c r="F300" s="4"/>
      <c r="G300" s="4"/>
      <c r="H300" s="4"/>
    </row>
    <row r="301" spans="1:8" x14ac:dyDescent="0.2">
      <c r="A301" s="4"/>
      <c r="B301" s="4"/>
      <c r="C301" s="4"/>
      <c r="D301" s="4"/>
      <c r="E301" s="4"/>
      <c r="F301" s="4"/>
      <c r="G301" s="4"/>
      <c r="H301" s="4"/>
    </row>
    <row r="302" spans="1:8" x14ac:dyDescent="0.2">
      <c r="A302" s="4"/>
      <c r="B302" s="4"/>
      <c r="C302" s="4"/>
      <c r="D302" s="4"/>
      <c r="E302" s="4"/>
      <c r="F302" s="4"/>
      <c r="G302" s="4"/>
      <c r="H302" s="4"/>
    </row>
  </sheetData>
  <sheetProtection sheet="1" objects="1" scenarios="1"/>
  <conditionalFormatting sqref="D213:D220">
    <cfRule type="colorScale" priority="1872">
      <colorScale>
        <cfvo type="min"/>
        <cfvo type="max"/>
        <color rgb="FFFCFCFF"/>
        <color rgb="FFF8696B"/>
      </colorScale>
    </cfRule>
  </conditionalFormatting>
  <conditionalFormatting sqref="D233:H240 D243:H250">
    <cfRule type="cellIs" dxfId="1" priority="1" operator="lessThan">
      <formula>0</formula>
    </cfRule>
    <cfRule type="cellIs" dxfId="0" priority="2" operator="greaterThan">
      <formula>0</formula>
    </cfRule>
  </conditionalFormatting>
  <conditionalFormatting sqref="E213:E220">
    <cfRule type="colorScale" priority="12">
      <colorScale>
        <cfvo type="min"/>
        <cfvo type="max"/>
        <color rgb="FFFCFCFF"/>
        <color rgb="FFF8696B"/>
      </colorScale>
    </cfRule>
  </conditionalFormatting>
  <conditionalFormatting sqref="F213:F220">
    <cfRule type="colorScale" priority="9">
      <colorScale>
        <cfvo type="min"/>
        <cfvo type="max"/>
        <color rgb="FFFCFCFF"/>
        <color rgb="FFF8696B"/>
      </colorScale>
    </cfRule>
  </conditionalFormatting>
  <conditionalFormatting sqref="G213:G220">
    <cfRule type="colorScale" priority="6">
      <colorScale>
        <cfvo type="min"/>
        <cfvo type="max"/>
        <color rgb="FFFCFCFF"/>
        <color rgb="FFF8696B"/>
      </colorScale>
    </cfRule>
  </conditionalFormatting>
  <conditionalFormatting sqref="H213:H220">
    <cfRule type="colorScale" priority="3">
      <colorScale>
        <cfvo type="min"/>
        <cfvo type="max"/>
        <color rgb="FFFCFCFF"/>
        <color rgb="FFF8696B"/>
      </colorScale>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'Database v16.0 &amp; v16.0H'!$B$783:$B$854</xm:f>
          </x14:formula1>
          <xm:sqref>D8:H8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sheetPr>
  <dimension ref="A1:Q149"/>
  <sheetViews>
    <sheetView showGridLines="0" workbookViewId="0">
      <selection activeCell="H8" sqref="H8"/>
    </sheetView>
  </sheetViews>
  <sheetFormatPr defaultColWidth="9.140625" defaultRowHeight="12.75" x14ac:dyDescent="0.2"/>
  <cols>
    <col min="1" max="1" width="4.7109375" style="4" customWidth="1"/>
    <col min="2" max="3" width="9.140625" style="2"/>
    <col min="4" max="5" width="16.7109375" style="2" bestFit="1" customWidth="1"/>
    <col min="6" max="13" width="9.140625" style="4"/>
    <col min="14" max="14" width="10" style="4" bestFit="1" customWidth="1"/>
    <col min="15" max="16384" width="9.140625" style="4"/>
  </cols>
  <sheetData>
    <row r="1" spans="1:17" ht="15.75" x14ac:dyDescent="0.25">
      <c r="A1" s="32" t="s">
        <v>2578</v>
      </c>
    </row>
    <row r="2" spans="1:17" ht="15.75" x14ac:dyDescent="0.25">
      <c r="A2" s="32" t="s">
        <v>2112</v>
      </c>
    </row>
    <row r="3" spans="1:17" x14ac:dyDescent="0.2">
      <c r="A3" s="60" t="s">
        <v>2099</v>
      </c>
    </row>
    <row r="4" spans="1:17" x14ac:dyDescent="0.2">
      <c r="A4" s="33" t="s">
        <v>2585</v>
      </c>
    </row>
    <row r="5" spans="1:17" x14ac:dyDescent="0.2">
      <c r="A5" s="4" t="s">
        <v>2060</v>
      </c>
    </row>
    <row r="7" spans="1:17" x14ac:dyDescent="0.2">
      <c r="E7" s="16" t="s">
        <v>2098</v>
      </c>
      <c r="F7" s="48" t="s">
        <v>434</v>
      </c>
      <c r="G7" s="48" t="s">
        <v>435</v>
      </c>
      <c r="H7" s="48">
        <v>1</v>
      </c>
      <c r="I7" s="48">
        <v>2</v>
      </c>
      <c r="J7" s="48">
        <v>3</v>
      </c>
      <c r="K7" s="48">
        <v>4</v>
      </c>
      <c r="L7" s="48">
        <v>5</v>
      </c>
      <c r="M7" s="48">
        <v>6</v>
      </c>
      <c r="N7" s="48">
        <v>7</v>
      </c>
      <c r="O7" s="48">
        <v>8</v>
      </c>
      <c r="P7" s="48">
        <v>9</v>
      </c>
      <c r="Q7" s="48">
        <v>10</v>
      </c>
    </row>
    <row r="8" spans="1:17" ht="15.75" x14ac:dyDescent="0.25">
      <c r="E8" s="5" t="s">
        <v>2104</v>
      </c>
      <c r="F8" s="2" t="s">
        <v>2224</v>
      </c>
      <c r="G8" s="2" t="s">
        <v>873</v>
      </c>
      <c r="H8" s="8"/>
      <c r="I8" s="8">
        <v>120</v>
      </c>
      <c r="J8" s="8">
        <v>150</v>
      </c>
      <c r="K8" s="8">
        <v>200</v>
      </c>
      <c r="L8" s="8">
        <v>300</v>
      </c>
      <c r="M8" s="8">
        <v>300</v>
      </c>
      <c r="N8" s="8">
        <v>400</v>
      </c>
      <c r="O8" s="8">
        <v>500</v>
      </c>
      <c r="P8" s="8">
        <v>1000</v>
      </c>
      <c r="Q8" s="8">
        <v>5000</v>
      </c>
    </row>
    <row r="9" spans="1:17" ht="15.75" x14ac:dyDescent="0.25">
      <c r="E9" s="5" t="s">
        <v>2105</v>
      </c>
      <c r="F9" s="2" t="s">
        <v>2225</v>
      </c>
      <c r="G9" s="2" t="s">
        <v>873</v>
      </c>
      <c r="H9" s="49"/>
      <c r="I9" s="49">
        <v>100</v>
      </c>
      <c r="J9" s="49">
        <v>100</v>
      </c>
      <c r="K9" s="49">
        <v>100</v>
      </c>
      <c r="L9" s="49">
        <v>100</v>
      </c>
      <c r="M9" s="49">
        <v>100</v>
      </c>
      <c r="N9" s="49">
        <v>100</v>
      </c>
      <c r="O9" s="49">
        <v>100</v>
      </c>
      <c r="P9" s="49">
        <v>100</v>
      </c>
      <c r="Q9" s="49">
        <v>100</v>
      </c>
    </row>
    <row r="10" spans="1:17" ht="14.25" x14ac:dyDescent="0.25">
      <c r="E10" s="5" t="s">
        <v>2179</v>
      </c>
      <c r="F10" s="2" t="s">
        <v>2110</v>
      </c>
      <c r="G10" s="2"/>
      <c r="H10" s="1" t="e">
        <f>H8/H9</f>
        <v>#DIV/0!</v>
      </c>
      <c r="I10" s="1">
        <f>I8/I9</f>
        <v>1.2</v>
      </c>
      <c r="J10" s="1">
        <f>J8/J9</f>
        <v>1.5</v>
      </c>
      <c r="K10" s="1">
        <f>K8/K9</f>
        <v>2</v>
      </c>
      <c r="L10" s="1">
        <f>L8/L9</f>
        <v>3</v>
      </c>
      <c r="M10" s="1">
        <f t="shared" ref="M10:Q10" si="0">M8/M9</f>
        <v>3</v>
      </c>
      <c r="N10" s="1">
        <f t="shared" si="0"/>
        <v>4</v>
      </c>
      <c r="O10" s="1">
        <f t="shared" si="0"/>
        <v>5</v>
      </c>
      <c r="P10" s="1">
        <f t="shared" si="0"/>
        <v>10</v>
      </c>
      <c r="Q10" s="1">
        <f t="shared" si="0"/>
        <v>50</v>
      </c>
    </row>
    <row r="11" spans="1:17" x14ac:dyDescent="0.2">
      <c r="E11" s="5" t="s">
        <v>2180</v>
      </c>
      <c r="F11" s="2" t="s">
        <v>3</v>
      </c>
      <c r="G11" s="2" t="s">
        <v>403</v>
      </c>
      <c r="H11" s="8"/>
      <c r="I11" s="8">
        <v>10</v>
      </c>
      <c r="J11" s="8">
        <v>10</v>
      </c>
      <c r="K11" s="8">
        <v>10</v>
      </c>
      <c r="L11" s="8">
        <v>6</v>
      </c>
      <c r="M11" s="8">
        <v>14</v>
      </c>
      <c r="N11" s="8">
        <v>2</v>
      </c>
      <c r="O11" s="8">
        <v>8</v>
      </c>
      <c r="P11" s="8">
        <v>10</v>
      </c>
      <c r="Q11" s="8">
        <v>18</v>
      </c>
    </row>
    <row r="12" spans="1:17" x14ac:dyDescent="0.2">
      <c r="E12" s="5" t="s">
        <v>2106</v>
      </c>
      <c r="F12" s="2" t="s">
        <v>362</v>
      </c>
      <c r="G12" s="2" t="s">
        <v>403</v>
      </c>
      <c r="H12" s="49"/>
      <c r="I12" s="49">
        <v>20</v>
      </c>
      <c r="J12" s="49">
        <v>20</v>
      </c>
      <c r="K12" s="49">
        <v>20</v>
      </c>
      <c r="L12" s="49">
        <v>20</v>
      </c>
      <c r="M12" s="49">
        <v>20</v>
      </c>
      <c r="N12" s="49">
        <v>20</v>
      </c>
      <c r="O12" s="49">
        <v>20</v>
      </c>
      <c r="P12" s="49">
        <v>20</v>
      </c>
      <c r="Q12" s="49">
        <v>20</v>
      </c>
    </row>
    <row r="13" spans="1:17" x14ac:dyDescent="0.2">
      <c r="E13" s="5" t="s">
        <v>2111</v>
      </c>
      <c r="F13" s="2" t="s">
        <v>2096</v>
      </c>
      <c r="H13" s="1" t="e">
        <f t="shared" ref="H13:M13" si="1">H11/H12</f>
        <v>#DIV/0!</v>
      </c>
      <c r="I13" s="1">
        <f t="shared" si="1"/>
        <v>0.5</v>
      </c>
      <c r="J13" s="1">
        <f t="shared" si="1"/>
        <v>0.5</v>
      </c>
      <c r="K13" s="1">
        <f t="shared" si="1"/>
        <v>0.5</v>
      </c>
      <c r="L13" s="1">
        <f t="shared" si="1"/>
        <v>0.3</v>
      </c>
      <c r="M13" s="1">
        <f t="shared" si="1"/>
        <v>0.7</v>
      </c>
      <c r="N13" s="1">
        <f t="shared" ref="N13:Q13" si="2">N11/N12</f>
        <v>0.1</v>
      </c>
      <c r="O13" s="1">
        <f t="shared" si="2"/>
        <v>0.4</v>
      </c>
      <c r="P13" s="1">
        <f t="shared" si="2"/>
        <v>0.5</v>
      </c>
      <c r="Q13" s="1">
        <f t="shared" si="2"/>
        <v>0.9</v>
      </c>
    </row>
    <row r="14" spans="1:17" ht="14.25" x14ac:dyDescent="0.25">
      <c r="E14" s="5" t="s">
        <v>2108</v>
      </c>
      <c r="F14" s="2" t="s">
        <v>2226</v>
      </c>
      <c r="H14" s="43"/>
      <c r="I14" s="43">
        <v>1.018</v>
      </c>
      <c r="J14" s="43">
        <v>1.046</v>
      </c>
      <c r="K14" s="43">
        <v>1.0925</v>
      </c>
      <c r="L14" s="43">
        <v>1.39</v>
      </c>
      <c r="M14" s="43">
        <v>1.046</v>
      </c>
      <c r="N14" s="43">
        <v>1.85</v>
      </c>
      <c r="O14" s="43">
        <v>1.5289999999999999</v>
      </c>
      <c r="P14" s="43">
        <v>1.75</v>
      </c>
      <c r="Q14" s="43">
        <v>1.0620000000000001</v>
      </c>
    </row>
    <row r="15" spans="1:17" ht="14.25" x14ac:dyDescent="0.25">
      <c r="E15" s="5" t="s">
        <v>2107</v>
      </c>
      <c r="F15" s="2" t="s">
        <v>2227</v>
      </c>
      <c r="H15" s="43"/>
      <c r="I15" s="43"/>
      <c r="J15" s="43">
        <v>1.1240000000000001</v>
      </c>
      <c r="K15" s="43">
        <v>1.2410000000000001</v>
      </c>
      <c r="L15" s="43">
        <v>1.653</v>
      </c>
      <c r="M15" s="43">
        <v>1.173</v>
      </c>
      <c r="N15" s="43">
        <v>1.9950000000000001</v>
      </c>
      <c r="O15" s="43">
        <v>1.9890000000000001</v>
      </c>
      <c r="P15" s="43">
        <v>2.5059999999999998</v>
      </c>
      <c r="Q15" s="43">
        <v>1.464</v>
      </c>
    </row>
    <row r="17" spans="2:15" ht="27" x14ac:dyDescent="0.2">
      <c r="B17" s="273" t="s">
        <v>2228</v>
      </c>
      <c r="C17" s="273" t="s">
        <v>2094</v>
      </c>
      <c r="D17" s="274" t="s">
        <v>2229</v>
      </c>
      <c r="E17" s="274" t="s">
        <v>2230</v>
      </c>
      <c r="G17" s="272" t="s">
        <v>2724</v>
      </c>
      <c r="I17" s="272" t="s">
        <v>2724</v>
      </c>
      <c r="L17" s="29" t="s">
        <v>2100</v>
      </c>
      <c r="O17" s="29" t="s">
        <v>2103</v>
      </c>
    </row>
    <row r="18" spans="2:15" x14ac:dyDescent="0.2">
      <c r="B18" s="2">
        <v>1</v>
      </c>
      <c r="C18" s="2">
        <v>0</v>
      </c>
      <c r="D18" s="2">
        <v>1</v>
      </c>
      <c r="E18" s="2">
        <v>1</v>
      </c>
      <c r="L18" s="4" t="s">
        <v>2101</v>
      </c>
      <c r="O18" s="4" t="s">
        <v>2102</v>
      </c>
    </row>
    <row r="19" spans="2:15" x14ac:dyDescent="0.2">
      <c r="B19" s="2">
        <v>1</v>
      </c>
      <c r="C19" s="2">
        <v>0.1</v>
      </c>
      <c r="D19" s="2">
        <v>1</v>
      </c>
      <c r="E19" s="2">
        <v>1</v>
      </c>
    </row>
    <row r="20" spans="2:15" x14ac:dyDescent="0.2">
      <c r="B20" s="2">
        <v>1</v>
      </c>
      <c r="C20" s="2">
        <v>0.2</v>
      </c>
      <c r="D20" s="2">
        <v>1</v>
      </c>
      <c r="E20" s="2">
        <v>1</v>
      </c>
    </row>
    <row r="21" spans="2:15" x14ac:dyDescent="0.2">
      <c r="B21" s="2">
        <v>1</v>
      </c>
      <c r="C21" s="2">
        <v>0.3</v>
      </c>
      <c r="D21" s="2">
        <v>1</v>
      </c>
      <c r="E21" s="2">
        <v>1</v>
      </c>
    </row>
    <row r="22" spans="2:15" x14ac:dyDescent="0.2">
      <c r="B22" s="2">
        <v>1</v>
      </c>
      <c r="C22" s="2">
        <v>0.4</v>
      </c>
      <c r="D22" s="2">
        <v>1</v>
      </c>
      <c r="E22" s="2">
        <v>1</v>
      </c>
    </row>
    <row r="23" spans="2:15" x14ac:dyDescent="0.2">
      <c r="B23" s="2">
        <v>1</v>
      </c>
      <c r="C23" s="2">
        <v>0.5</v>
      </c>
      <c r="D23" s="2">
        <v>1</v>
      </c>
      <c r="E23" s="2">
        <v>1</v>
      </c>
    </row>
    <row r="24" spans="2:15" x14ac:dyDescent="0.2">
      <c r="B24" s="2">
        <v>1</v>
      </c>
      <c r="C24" s="2">
        <v>0.6</v>
      </c>
      <c r="D24" s="2">
        <v>1</v>
      </c>
      <c r="E24" s="2">
        <v>1</v>
      </c>
    </row>
    <row r="25" spans="2:15" x14ac:dyDescent="0.2">
      <c r="B25" s="2">
        <v>1</v>
      </c>
      <c r="C25" s="2">
        <v>0.7</v>
      </c>
      <c r="D25" s="2">
        <v>1</v>
      </c>
      <c r="E25" s="2">
        <v>1</v>
      </c>
    </row>
    <row r="26" spans="2:15" x14ac:dyDescent="0.2">
      <c r="B26" s="2">
        <v>1</v>
      </c>
      <c r="C26" s="2">
        <v>0.8</v>
      </c>
      <c r="D26" s="2">
        <v>1</v>
      </c>
      <c r="E26" s="2">
        <v>1</v>
      </c>
    </row>
    <row r="27" spans="2:15" x14ac:dyDescent="0.2">
      <c r="B27" s="2">
        <v>1</v>
      </c>
      <c r="C27" s="2">
        <v>0.9</v>
      </c>
      <c r="D27" s="2">
        <v>1</v>
      </c>
      <c r="E27" s="2">
        <v>1</v>
      </c>
    </row>
    <row r="28" spans="2:15" x14ac:dyDescent="0.2">
      <c r="B28" s="2">
        <v>1</v>
      </c>
      <c r="C28" s="2">
        <v>1</v>
      </c>
      <c r="D28" s="2">
        <v>1</v>
      </c>
      <c r="E28" s="2">
        <v>1</v>
      </c>
    </row>
    <row r="29" spans="2:15" x14ac:dyDescent="0.2">
      <c r="B29" s="2">
        <v>1.1000000000000001</v>
      </c>
      <c r="C29" s="2">
        <v>0</v>
      </c>
      <c r="D29" s="2">
        <v>1.0488090000000001</v>
      </c>
      <c r="E29" s="2" t="s">
        <v>2095</v>
      </c>
    </row>
    <row r="30" spans="2:15" x14ac:dyDescent="0.2">
      <c r="B30" s="2">
        <v>1.1000000000000001</v>
      </c>
      <c r="C30" s="2">
        <v>0.1</v>
      </c>
      <c r="D30" s="2">
        <v>1.0393399999999999</v>
      </c>
      <c r="E30" s="2" t="s">
        <v>2095</v>
      </c>
    </row>
    <row r="31" spans="2:15" x14ac:dyDescent="0.2">
      <c r="B31" s="2">
        <v>1.1000000000000001</v>
      </c>
      <c r="C31" s="2">
        <v>0.2</v>
      </c>
      <c r="D31" s="2">
        <v>1.03027</v>
      </c>
      <c r="E31" s="2" t="s">
        <v>2095</v>
      </c>
    </row>
    <row r="32" spans="2:15" x14ac:dyDescent="0.2">
      <c r="B32" s="2">
        <v>1.1000000000000001</v>
      </c>
      <c r="C32" s="2">
        <v>0.3</v>
      </c>
      <c r="D32" s="2">
        <v>1.0219910000000001</v>
      </c>
      <c r="E32" s="2" t="s">
        <v>2095</v>
      </c>
    </row>
    <row r="33" spans="2:5" x14ac:dyDescent="0.2">
      <c r="B33" s="2">
        <v>1.1000000000000001</v>
      </c>
      <c r="C33" s="2">
        <v>0.4</v>
      </c>
      <c r="D33" s="2">
        <v>1.0148520000000001</v>
      </c>
      <c r="E33" s="2" t="s">
        <v>2095</v>
      </c>
    </row>
    <row r="34" spans="2:5" x14ac:dyDescent="0.2">
      <c r="B34" s="2">
        <v>1.1000000000000001</v>
      </c>
      <c r="C34" s="2">
        <v>0.5</v>
      </c>
      <c r="D34" s="2">
        <v>1.00911</v>
      </c>
      <c r="E34" s="2" t="s">
        <v>2095</v>
      </c>
    </row>
    <row r="35" spans="2:5" x14ac:dyDescent="0.2">
      <c r="B35" s="2">
        <v>1.1000000000000001</v>
      </c>
      <c r="C35" s="2">
        <v>0.6</v>
      </c>
      <c r="D35" s="2">
        <v>1.0048840000000001</v>
      </c>
      <c r="E35" s="2" t="s">
        <v>2095</v>
      </c>
    </row>
    <row r="36" spans="2:5" x14ac:dyDescent="0.2">
      <c r="B36" s="2">
        <v>1.1000000000000001</v>
      </c>
      <c r="C36" s="2">
        <v>0.7</v>
      </c>
      <c r="D36" s="2">
        <v>1.0021329999999999</v>
      </c>
      <c r="E36" s="2" t="s">
        <v>2095</v>
      </c>
    </row>
    <row r="37" spans="2:5" x14ac:dyDescent="0.2">
      <c r="B37" s="2">
        <v>1.1000000000000001</v>
      </c>
      <c r="C37" s="2">
        <v>0.8</v>
      </c>
      <c r="D37" s="2">
        <v>1.0006470000000001</v>
      </c>
      <c r="E37" s="2" t="s">
        <v>2095</v>
      </c>
    </row>
    <row r="38" spans="2:5" x14ac:dyDescent="0.2">
      <c r="B38" s="2">
        <v>1.1000000000000001</v>
      </c>
      <c r="C38" s="2">
        <v>0.9</v>
      </c>
      <c r="D38" s="2">
        <v>1.0000819999999999</v>
      </c>
      <c r="E38" s="2" t="s">
        <v>2095</v>
      </c>
    </row>
    <row r="39" spans="2:5" x14ac:dyDescent="0.2">
      <c r="B39" s="2">
        <v>1.1000000000000001</v>
      </c>
      <c r="C39" s="2">
        <v>1</v>
      </c>
      <c r="D39" s="2">
        <v>1</v>
      </c>
      <c r="E39" s="2" t="s">
        <v>2095</v>
      </c>
    </row>
    <row r="40" spans="2:5" x14ac:dyDescent="0.2">
      <c r="B40" s="2">
        <v>1.2</v>
      </c>
      <c r="C40" s="2">
        <v>0</v>
      </c>
      <c r="D40" s="2">
        <v>1.095445</v>
      </c>
      <c r="E40" s="2" t="s">
        <v>2095</v>
      </c>
    </row>
    <row r="41" spans="2:5" x14ac:dyDescent="0.2">
      <c r="B41" s="2">
        <v>1.2</v>
      </c>
      <c r="C41" s="2">
        <v>0.1</v>
      </c>
      <c r="D41" s="2">
        <v>1.0772949999999999</v>
      </c>
      <c r="E41" s="2" t="s">
        <v>2095</v>
      </c>
    </row>
    <row r="42" spans="2:5" x14ac:dyDescent="0.2">
      <c r="B42" s="2">
        <v>1.2</v>
      </c>
      <c r="C42" s="2">
        <v>0.2</v>
      </c>
      <c r="D42" s="2">
        <v>1.059814</v>
      </c>
      <c r="E42" s="2" t="s">
        <v>2095</v>
      </c>
    </row>
    <row r="43" spans="2:5" x14ac:dyDescent="0.2">
      <c r="B43" s="2">
        <v>1.2</v>
      </c>
      <c r="C43" s="2">
        <v>0.3</v>
      </c>
      <c r="D43" s="2">
        <v>1.043709</v>
      </c>
      <c r="E43" s="2" t="s">
        <v>2095</v>
      </c>
    </row>
    <row r="44" spans="2:5" x14ac:dyDescent="0.2">
      <c r="B44" s="2">
        <v>1.2</v>
      </c>
      <c r="C44" s="2">
        <v>0.4</v>
      </c>
      <c r="D44" s="2">
        <v>1.029671</v>
      </c>
      <c r="E44" s="2" t="s">
        <v>2095</v>
      </c>
    </row>
    <row r="45" spans="2:5" x14ac:dyDescent="0.2">
      <c r="B45" s="2">
        <v>1.2</v>
      </c>
      <c r="C45" s="2">
        <v>0.5</v>
      </c>
      <c r="D45" s="2">
        <v>1.018265</v>
      </c>
      <c r="E45" s="2" t="s">
        <v>2095</v>
      </c>
    </row>
    <row r="46" spans="2:5" x14ac:dyDescent="0.2">
      <c r="B46" s="2">
        <v>1.2</v>
      </c>
      <c r="C46" s="2">
        <v>0.6</v>
      </c>
      <c r="D46" s="2">
        <v>1.0098100000000001</v>
      </c>
      <c r="E46" s="2" t="s">
        <v>2095</v>
      </c>
    </row>
    <row r="47" spans="2:5" x14ac:dyDescent="0.2">
      <c r="B47" s="2">
        <v>1.2</v>
      </c>
      <c r="C47" s="2">
        <v>0.7</v>
      </c>
      <c r="D47" s="2">
        <v>1.0042819999999999</v>
      </c>
      <c r="E47" s="2" t="s">
        <v>2095</v>
      </c>
    </row>
    <row r="48" spans="2:5" x14ac:dyDescent="0.2">
      <c r="B48" s="2">
        <v>1.2</v>
      </c>
      <c r="C48" s="2">
        <v>0.8</v>
      </c>
      <c r="D48" s="2">
        <v>1.0012970000000001</v>
      </c>
      <c r="E48" s="2" t="s">
        <v>2095</v>
      </c>
    </row>
    <row r="49" spans="2:5" x14ac:dyDescent="0.2">
      <c r="B49" s="2">
        <v>1.2</v>
      </c>
      <c r="C49" s="2">
        <v>0.9</v>
      </c>
      <c r="D49" s="2">
        <v>1.0001640000000001</v>
      </c>
      <c r="E49" s="2" t="s">
        <v>2095</v>
      </c>
    </row>
    <row r="50" spans="2:5" x14ac:dyDescent="0.2">
      <c r="B50" s="2">
        <v>1.2</v>
      </c>
      <c r="C50" s="2">
        <v>1</v>
      </c>
      <c r="D50" s="2">
        <v>1</v>
      </c>
      <c r="E50" s="2" t="s">
        <v>2095</v>
      </c>
    </row>
    <row r="51" spans="2:5" x14ac:dyDescent="0.2">
      <c r="B51" s="2">
        <v>1.3</v>
      </c>
      <c r="C51" s="2">
        <v>0</v>
      </c>
      <c r="D51" s="2">
        <v>1.1401749999999999</v>
      </c>
      <c r="E51" s="2" t="s">
        <v>2095</v>
      </c>
    </row>
    <row r="52" spans="2:5" x14ac:dyDescent="0.2">
      <c r="B52" s="2">
        <v>1.3</v>
      </c>
      <c r="C52" s="2">
        <v>0.1</v>
      </c>
      <c r="D52" s="2">
        <v>1.113998</v>
      </c>
      <c r="E52" s="2" t="s">
        <v>2095</v>
      </c>
    </row>
    <row r="53" spans="2:5" x14ac:dyDescent="0.2">
      <c r="B53" s="2">
        <v>1.3</v>
      </c>
      <c r="C53" s="2">
        <v>0.2</v>
      </c>
      <c r="D53" s="2">
        <v>1.08867</v>
      </c>
      <c r="E53" s="2" t="s">
        <v>2095</v>
      </c>
    </row>
    <row r="54" spans="2:5" x14ac:dyDescent="0.2">
      <c r="B54" s="2">
        <v>1.3</v>
      </c>
      <c r="C54" s="2">
        <v>0.3</v>
      </c>
      <c r="D54" s="2">
        <v>1.06515</v>
      </c>
      <c r="E54" s="2" t="s">
        <v>2095</v>
      </c>
    </row>
    <row r="55" spans="2:5" x14ac:dyDescent="0.2">
      <c r="B55" s="2">
        <v>1.3</v>
      </c>
      <c r="C55" s="2">
        <v>0.4</v>
      </c>
      <c r="D55" s="2">
        <v>1.0444469999999999</v>
      </c>
      <c r="E55" s="2" t="s">
        <v>2095</v>
      </c>
    </row>
    <row r="56" spans="2:5" x14ac:dyDescent="0.2">
      <c r="B56" s="2">
        <v>1.3</v>
      </c>
      <c r="C56" s="2">
        <v>0.5</v>
      </c>
      <c r="D56" s="2">
        <v>1.027461</v>
      </c>
      <c r="E56" s="2" t="s">
        <v>2095</v>
      </c>
    </row>
    <row r="57" spans="2:5" x14ac:dyDescent="0.2">
      <c r="B57" s="2">
        <v>1.3</v>
      </c>
      <c r="C57" s="2">
        <v>0.6</v>
      </c>
      <c r="D57" s="2">
        <v>1.014775</v>
      </c>
      <c r="E57" s="2" t="s">
        <v>2095</v>
      </c>
    </row>
    <row r="58" spans="2:5" x14ac:dyDescent="0.2">
      <c r="B58" s="2">
        <v>1.3</v>
      </c>
      <c r="C58" s="2">
        <v>0.7</v>
      </c>
      <c r="D58" s="2">
        <v>1.0064489999999999</v>
      </c>
      <c r="E58" s="2" t="s">
        <v>2095</v>
      </c>
    </row>
    <row r="59" spans="2:5" x14ac:dyDescent="0.2">
      <c r="B59" s="2">
        <v>1.3</v>
      </c>
      <c r="C59" s="2">
        <v>0.8</v>
      </c>
      <c r="D59" s="2">
        <v>1.0019499999999999</v>
      </c>
      <c r="E59" s="2" t="s">
        <v>2095</v>
      </c>
    </row>
    <row r="60" spans="2:5" x14ac:dyDescent="0.2">
      <c r="B60" s="2">
        <v>1.3</v>
      </c>
      <c r="C60" s="2">
        <v>0.9</v>
      </c>
      <c r="D60" s="2">
        <v>1.000246</v>
      </c>
      <c r="E60" s="2" t="s">
        <v>2095</v>
      </c>
    </row>
    <row r="61" spans="2:5" x14ac:dyDescent="0.2">
      <c r="B61" s="2">
        <v>1.3</v>
      </c>
      <c r="C61" s="2">
        <v>1</v>
      </c>
      <c r="D61" s="2">
        <v>1</v>
      </c>
      <c r="E61" s="2" t="s">
        <v>2095</v>
      </c>
    </row>
    <row r="62" spans="2:5" x14ac:dyDescent="0.2">
      <c r="B62" s="2">
        <v>1.5</v>
      </c>
      <c r="C62" s="2">
        <v>0</v>
      </c>
      <c r="D62" s="2">
        <v>1.224745</v>
      </c>
      <c r="E62" s="2">
        <v>1.224745</v>
      </c>
    </row>
    <row r="63" spans="2:5" x14ac:dyDescent="0.2">
      <c r="B63" s="2">
        <v>1.5</v>
      </c>
      <c r="C63" s="2">
        <v>0.1</v>
      </c>
      <c r="D63" s="2">
        <v>1.18408</v>
      </c>
      <c r="E63" s="2">
        <v>1.2234419999999999</v>
      </c>
    </row>
    <row r="64" spans="2:5" x14ac:dyDescent="0.2">
      <c r="B64" s="2">
        <v>1.5</v>
      </c>
      <c r="C64" s="2">
        <v>0.2</v>
      </c>
      <c r="D64" s="2">
        <v>1.1444620000000001</v>
      </c>
      <c r="E64" s="2">
        <v>1.2151069999999999</v>
      </c>
    </row>
    <row r="65" spans="2:5" x14ac:dyDescent="0.2">
      <c r="B65" s="2">
        <v>1.5</v>
      </c>
      <c r="C65" s="2">
        <v>0.3</v>
      </c>
      <c r="D65" s="2">
        <v>1.1071960000000001</v>
      </c>
      <c r="E65" s="2">
        <v>1.1956150000000001</v>
      </c>
    </row>
    <row r="66" spans="2:5" x14ac:dyDescent="0.2">
      <c r="B66" s="2">
        <v>1.5</v>
      </c>
      <c r="C66" s="2">
        <v>0.4</v>
      </c>
      <c r="D66" s="2">
        <v>1.0738259999999999</v>
      </c>
      <c r="E66" s="2">
        <v>1.1642859999999999</v>
      </c>
    </row>
    <row r="67" spans="2:5" x14ac:dyDescent="0.2">
      <c r="B67" s="2">
        <v>1.5</v>
      </c>
      <c r="C67" s="2">
        <v>0.5</v>
      </c>
      <c r="D67" s="2">
        <v>1.0459510000000001</v>
      </c>
      <c r="E67" s="2">
        <v>1.12354</v>
      </c>
    </row>
    <row r="68" spans="2:5" x14ac:dyDescent="0.2">
      <c r="B68" s="2">
        <v>1.5</v>
      </c>
      <c r="C68" s="2">
        <v>0.6</v>
      </c>
      <c r="D68" s="2">
        <v>1.0248189999999999</v>
      </c>
      <c r="E68" s="2">
        <v>1.0789629999999999</v>
      </c>
    </row>
    <row r="69" spans="2:5" x14ac:dyDescent="0.2">
      <c r="B69" s="2">
        <v>1.5</v>
      </c>
      <c r="C69" s="2">
        <v>0.7</v>
      </c>
      <c r="D69" s="2">
        <v>1.010832</v>
      </c>
      <c r="E69" s="2">
        <v>1.0391729999999999</v>
      </c>
    </row>
    <row r="70" spans="2:5" x14ac:dyDescent="0.2">
      <c r="B70" s="2">
        <v>1.5</v>
      </c>
      <c r="C70" s="2">
        <v>0.8</v>
      </c>
      <c r="D70" s="2">
        <v>1.003266</v>
      </c>
      <c r="E70" s="2">
        <v>1.012702</v>
      </c>
    </row>
    <row r="71" spans="2:5" x14ac:dyDescent="0.2">
      <c r="B71" s="2">
        <v>1.5</v>
      </c>
      <c r="C71" s="2">
        <v>0.9</v>
      </c>
      <c r="D71" s="2">
        <v>1.0004109999999999</v>
      </c>
      <c r="E71" s="2">
        <v>1.0016389999999999</v>
      </c>
    </row>
    <row r="72" spans="2:5" x14ac:dyDescent="0.2">
      <c r="B72" s="2">
        <v>1.5</v>
      </c>
      <c r="C72" s="2">
        <v>1</v>
      </c>
      <c r="D72" s="2">
        <v>1</v>
      </c>
      <c r="E72" s="2">
        <v>1</v>
      </c>
    </row>
    <row r="73" spans="2:5" x14ac:dyDescent="0.2">
      <c r="B73" s="2">
        <v>2</v>
      </c>
      <c r="C73" s="2">
        <v>0</v>
      </c>
      <c r="D73" s="2">
        <v>1.4142140000000001</v>
      </c>
      <c r="E73" s="2">
        <v>1.4142140000000001</v>
      </c>
    </row>
    <row r="74" spans="2:5" x14ac:dyDescent="0.2">
      <c r="B74" s="2">
        <v>2</v>
      </c>
      <c r="C74" s="2">
        <v>0.1</v>
      </c>
      <c r="D74" s="2">
        <v>1.343664</v>
      </c>
      <c r="E74" s="2">
        <v>1.4119679999999999</v>
      </c>
    </row>
    <row r="75" spans="2:5" x14ac:dyDescent="0.2">
      <c r="B75" s="2">
        <v>2</v>
      </c>
      <c r="C75" s="2">
        <v>0.2</v>
      </c>
      <c r="D75" s="2">
        <v>1.2742340000000001</v>
      </c>
      <c r="E75" s="2">
        <v>1.397767</v>
      </c>
    </row>
    <row r="76" spans="2:5" x14ac:dyDescent="0.2">
      <c r="B76" s="2">
        <v>2</v>
      </c>
      <c r="C76" s="2">
        <v>0.3</v>
      </c>
      <c r="D76" s="2">
        <v>1.207546</v>
      </c>
      <c r="E76" s="2">
        <v>1.3648480000000001</v>
      </c>
    </row>
    <row r="77" spans="2:5" x14ac:dyDescent="0.2">
      <c r="B77" s="2">
        <v>2</v>
      </c>
      <c r="C77" s="2">
        <v>0.4</v>
      </c>
      <c r="D77" s="2">
        <v>1.1459440000000001</v>
      </c>
      <c r="E77" s="2">
        <v>1.3117559999999999</v>
      </c>
    </row>
    <row r="78" spans="2:5" x14ac:dyDescent="0.2">
      <c r="B78" s="2">
        <v>2</v>
      </c>
      <c r="C78" s="2">
        <v>0.5</v>
      </c>
      <c r="D78" s="2">
        <v>1.092509</v>
      </c>
      <c r="E78" s="2">
        <v>1.241077</v>
      </c>
    </row>
    <row r="79" spans="2:5" x14ac:dyDescent="0.2">
      <c r="B79" s="2">
        <v>2</v>
      </c>
      <c r="C79" s="2">
        <v>0.6</v>
      </c>
      <c r="D79" s="2">
        <v>1.0505230000000001</v>
      </c>
      <c r="E79" s="2">
        <v>1.1598059999999999</v>
      </c>
    </row>
    <row r="80" spans="2:5" x14ac:dyDescent="0.2">
      <c r="B80" s="2">
        <v>2</v>
      </c>
      <c r="C80" s="2">
        <v>0.7</v>
      </c>
      <c r="D80" s="2">
        <v>1.022081</v>
      </c>
      <c r="E80" s="2">
        <v>1.081744</v>
      </c>
    </row>
    <row r="81" spans="2:5" x14ac:dyDescent="0.2">
      <c r="B81" s="2">
        <v>2</v>
      </c>
      <c r="C81" s="2">
        <v>0.8</v>
      </c>
      <c r="D81" s="2">
        <v>1.006615</v>
      </c>
      <c r="E81" s="2">
        <v>1.0265070000000001</v>
      </c>
    </row>
    <row r="82" spans="2:5" x14ac:dyDescent="0.2">
      <c r="B82" s="2">
        <v>2</v>
      </c>
      <c r="C82" s="2">
        <v>0.9</v>
      </c>
      <c r="D82" s="2">
        <v>1.0008250000000001</v>
      </c>
      <c r="E82" s="2">
        <v>1.0033300000000001</v>
      </c>
    </row>
    <row r="83" spans="2:5" x14ac:dyDescent="0.2">
      <c r="B83" s="2">
        <v>2</v>
      </c>
      <c r="C83" s="2">
        <v>1</v>
      </c>
      <c r="D83" s="2">
        <v>1</v>
      </c>
      <c r="E83" s="2">
        <v>1</v>
      </c>
    </row>
    <row r="84" spans="2:5" x14ac:dyDescent="0.2">
      <c r="B84" s="2">
        <v>2.5</v>
      </c>
      <c r="C84" s="2">
        <v>0</v>
      </c>
      <c r="D84" s="2">
        <v>1.5811390000000001</v>
      </c>
      <c r="E84" s="2">
        <v>1.5811390000000001</v>
      </c>
    </row>
    <row r="85" spans="2:5" x14ac:dyDescent="0.2">
      <c r="B85" s="2">
        <v>2.5</v>
      </c>
      <c r="C85" s="2">
        <v>0.1</v>
      </c>
      <c r="D85" s="2">
        <v>1.4864120000000001</v>
      </c>
      <c r="E85" s="2">
        <v>1.578136</v>
      </c>
    </row>
    <row r="86" spans="2:5" x14ac:dyDescent="0.2">
      <c r="B86" s="2">
        <v>2.5</v>
      </c>
      <c r="C86" s="2">
        <v>0.2</v>
      </c>
      <c r="D86" s="2">
        <v>1.3927</v>
      </c>
      <c r="E86" s="2">
        <v>1.5592710000000001</v>
      </c>
    </row>
    <row r="87" spans="2:5" x14ac:dyDescent="0.2">
      <c r="B87" s="2">
        <v>2.5</v>
      </c>
      <c r="C87" s="2">
        <v>0.3</v>
      </c>
      <c r="D87" s="2">
        <v>1.301612</v>
      </c>
      <c r="E87" s="2">
        <v>1.5157970000000001</v>
      </c>
    </row>
    <row r="88" spans="2:5" x14ac:dyDescent="0.2">
      <c r="B88" s="2">
        <v>2.5</v>
      </c>
      <c r="C88" s="2">
        <v>0.4</v>
      </c>
      <c r="D88" s="2">
        <v>1.2157560000000001</v>
      </c>
      <c r="E88" s="2">
        <v>1.445675</v>
      </c>
    </row>
    <row r="89" spans="2:5" x14ac:dyDescent="0.2">
      <c r="B89" s="2">
        <v>2.5</v>
      </c>
      <c r="C89" s="2">
        <v>0.5</v>
      </c>
      <c r="D89" s="2">
        <v>1.1391279999999999</v>
      </c>
      <c r="E89" s="2">
        <v>1.351329</v>
      </c>
    </row>
    <row r="90" spans="2:5" x14ac:dyDescent="0.2">
      <c r="B90" s="2">
        <v>2.5</v>
      </c>
      <c r="C90" s="2">
        <v>0.6</v>
      </c>
      <c r="D90" s="2">
        <v>1.076937</v>
      </c>
      <c r="E90" s="2">
        <v>1.2397549999999999</v>
      </c>
    </row>
    <row r="91" spans="2:5" x14ac:dyDescent="0.2">
      <c r="B91" s="2">
        <v>2.5</v>
      </c>
      <c r="C91" s="2">
        <v>0.7</v>
      </c>
      <c r="D91" s="2">
        <v>1.033731</v>
      </c>
      <c r="E91" s="2">
        <v>1.126682</v>
      </c>
    </row>
    <row r="92" spans="2:5" x14ac:dyDescent="0.2">
      <c r="B92" s="2">
        <v>2.5</v>
      </c>
      <c r="C92" s="2">
        <v>0.8</v>
      </c>
      <c r="D92" s="2">
        <v>1.0100480000000001</v>
      </c>
      <c r="E92" s="2">
        <v>1.0414220000000001</v>
      </c>
    </row>
    <row r="93" spans="2:5" x14ac:dyDescent="0.2">
      <c r="B93" s="2">
        <v>2.5</v>
      </c>
      <c r="C93" s="2">
        <v>0.9</v>
      </c>
      <c r="D93" s="2">
        <v>1.0012430000000001</v>
      </c>
      <c r="E93" s="2">
        <v>1.0050760000000001</v>
      </c>
    </row>
    <row r="94" spans="2:5" x14ac:dyDescent="0.2">
      <c r="B94" s="2">
        <v>2.5</v>
      </c>
      <c r="C94" s="2">
        <v>1</v>
      </c>
      <c r="D94" s="2">
        <v>1</v>
      </c>
      <c r="E94" s="2">
        <v>1</v>
      </c>
    </row>
    <row r="95" spans="2:5" x14ac:dyDescent="0.2">
      <c r="B95" s="2">
        <v>3</v>
      </c>
      <c r="C95" s="2">
        <v>0</v>
      </c>
      <c r="D95" s="2">
        <v>1.732051</v>
      </c>
      <c r="E95" s="2">
        <v>1.732051</v>
      </c>
    </row>
    <row r="96" spans="2:5" x14ac:dyDescent="0.2">
      <c r="B96" s="2">
        <v>3</v>
      </c>
      <c r="C96" s="2">
        <v>0.1</v>
      </c>
      <c r="D96" s="2">
        <v>1.6167020000000001</v>
      </c>
      <c r="E96" s="2">
        <v>1.7284029999999999</v>
      </c>
    </row>
    <row r="97" spans="2:5" x14ac:dyDescent="0.2">
      <c r="B97" s="2">
        <v>3</v>
      </c>
      <c r="C97" s="2">
        <v>0.2</v>
      </c>
      <c r="D97" s="2">
        <v>1.502243</v>
      </c>
      <c r="E97" s="2">
        <v>1.7055929999999999</v>
      </c>
    </row>
    <row r="98" spans="2:5" x14ac:dyDescent="0.2">
      <c r="B98" s="2">
        <v>3</v>
      </c>
      <c r="C98" s="2">
        <v>0.3</v>
      </c>
      <c r="D98" s="2">
        <v>1.390166</v>
      </c>
      <c r="E98" s="2">
        <v>1.653246</v>
      </c>
    </row>
    <row r="99" spans="2:5" x14ac:dyDescent="0.2">
      <c r="B99" s="2">
        <v>3</v>
      </c>
      <c r="C99" s="2">
        <v>0.4</v>
      </c>
      <c r="D99" s="2">
        <v>1.28308</v>
      </c>
      <c r="E99" s="2">
        <v>1.5688759999999999</v>
      </c>
    </row>
    <row r="100" spans="2:5" x14ac:dyDescent="0.2">
      <c r="B100" s="2">
        <v>3</v>
      </c>
      <c r="C100" s="2">
        <v>0.5</v>
      </c>
      <c r="D100" s="2">
        <v>1.1854180000000001</v>
      </c>
      <c r="E100" s="2">
        <v>1.454745</v>
      </c>
    </row>
    <row r="101" spans="2:5" x14ac:dyDescent="0.2">
      <c r="B101" s="2">
        <v>3</v>
      </c>
      <c r="C101" s="2">
        <v>0.6</v>
      </c>
      <c r="D101" s="2">
        <v>1.1038889999999999</v>
      </c>
      <c r="E101" s="2">
        <v>1.3175030000000001</v>
      </c>
    </row>
    <row r="102" spans="2:5" x14ac:dyDescent="0.2">
      <c r="B102" s="2">
        <v>3</v>
      </c>
      <c r="C102" s="2">
        <v>0.7</v>
      </c>
      <c r="D102" s="2">
        <v>1.045766</v>
      </c>
      <c r="E102" s="2">
        <v>1.173019</v>
      </c>
    </row>
    <row r="103" spans="2:5" x14ac:dyDescent="0.2">
      <c r="B103" s="2">
        <v>3</v>
      </c>
      <c r="C103" s="2">
        <v>0.8</v>
      </c>
      <c r="D103" s="2">
        <v>1.013566</v>
      </c>
      <c r="E103" s="2">
        <v>1.0574250000000001</v>
      </c>
    </row>
    <row r="104" spans="2:5" x14ac:dyDescent="0.2">
      <c r="B104" s="2">
        <v>3</v>
      </c>
      <c r="C104" s="2">
        <v>0.9</v>
      </c>
      <c r="D104" s="2">
        <v>1.0016640000000001</v>
      </c>
      <c r="E104" s="2">
        <v>1.0068790000000001</v>
      </c>
    </row>
    <row r="105" spans="2:5" x14ac:dyDescent="0.2">
      <c r="B105" s="2">
        <v>3</v>
      </c>
      <c r="C105" s="2">
        <v>1</v>
      </c>
      <c r="D105" s="2">
        <v>1</v>
      </c>
      <c r="E105" s="2">
        <v>1</v>
      </c>
    </row>
    <row r="106" spans="2:5" x14ac:dyDescent="0.2">
      <c r="B106" s="2">
        <v>4</v>
      </c>
      <c r="C106" s="2">
        <v>0</v>
      </c>
      <c r="D106" s="2">
        <v>2</v>
      </c>
      <c r="E106" s="2">
        <v>2</v>
      </c>
    </row>
    <row r="107" spans="2:5" x14ac:dyDescent="0.2">
      <c r="B107" s="2">
        <v>4</v>
      </c>
      <c r="C107" s="2">
        <v>0.1</v>
      </c>
      <c r="D107" s="2">
        <v>1.85009</v>
      </c>
      <c r="E107" s="2">
        <v>1.995274</v>
      </c>
    </row>
    <row r="108" spans="2:5" x14ac:dyDescent="0.2">
      <c r="B108" s="2">
        <v>4</v>
      </c>
      <c r="C108" s="2">
        <v>0.2</v>
      </c>
      <c r="D108" s="2">
        <v>1.70086</v>
      </c>
      <c r="E108" s="2">
        <v>1.965886</v>
      </c>
    </row>
    <row r="109" spans="2:5" x14ac:dyDescent="0.2">
      <c r="B109" s="2">
        <v>4</v>
      </c>
      <c r="C109" s="2">
        <v>0.3</v>
      </c>
      <c r="D109" s="2">
        <v>1.553531</v>
      </c>
      <c r="E109" s="2">
        <v>1.8988149999999999</v>
      </c>
    </row>
    <row r="110" spans="2:5" x14ac:dyDescent="0.2">
      <c r="B110" s="2">
        <v>4</v>
      </c>
      <c r="C110" s="2">
        <v>0.4</v>
      </c>
      <c r="D110" s="2">
        <v>1.410433</v>
      </c>
      <c r="E110" s="2">
        <v>1.790913</v>
      </c>
    </row>
    <row r="111" spans="2:5" x14ac:dyDescent="0.2">
      <c r="B111" s="2">
        <v>4</v>
      </c>
      <c r="C111" s="2">
        <v>0.5</v>
      </c>
      <c r="D111" s="2">
        <v>1.2760750000000001</v>
      </c>
      <c r="E111" s="2">
        <v>1.6442680000000001</v>
      </c>
    </row>
    <row r="112" spans="2:5" x14ac:dyDescent="0.2">
      <c r="B112" s="2">
        <v>4</v>
      </c>
      <c r="C112" s="2">
        <v>0.6</v>
      </c>
      <c r="D112" s="2">
        <v>1.1588020000000001</v>
      </c>
      <c r="E112" s="2">
        <v>1.46485</v>
      </c>
    </row>
    <row r="113" spans="2:5" x14ac:dyDescent="0.2">
      <c r="B113" s="2">
        <v>4</v>
      </c>
      <c r="C113" s="2">
        <v>0.7</v>
      </c>
      <c r="D113" s="2">
        <v>1.0709010000000001</v>
      </c>
      <c r="E113" s="2">
        <v>1.2669699999999999</v>
      </c>
    </row>
    <row r="114" spans="2:5" x14ac:dyDescent="0.2">
      <c r="B114" s="2">
        <v>4</v>
      </c>
      <c r="C114" s="2">
        <v>0.8</v>
      </c>
      <c r="D114" s="2">
        <v>1.0208600000000001</v>
      </c>
      <c r="E114" s="2">
        <v>1.092479</v>
      </c>
    </row>
    <row r="115" spans="2:5" x14ac:dyDescent="0.2">
      <c r="B115" s="2">
        <v>4</v>
      </c>
      <c r="C115" s="2">
        <v>0.9</v>
      </c>
      <c r="D115" s="2">
        <v>1.002516</v>
      </c>
      <c r="E115" s="2">
        <v>1.0106630000000001</v>
      </c>
    </row>
    <row r="116" spans="2:5" x14ac:dyDescent="0.2">
      <c r="B116" s="2">
        <v>4</v>
      </c>
      <c r="C116" s="2">
        <v>1</v>
      </c>
      <c r="D116" s="2">
        <v>1</v>
      </c>
      <c r="E116" s="2">
        <v>1</v>
      </c>
    </row>
    <row r="117" spans="2:5" x14ac:dyDescent="0.2">
      <c r="B117" s="2">
        <v>5</v>
      </c>
      <c r="C117" s="2">
        <v>0</v>
      </c>
      <c r="D117" s="2">
        <v>2.2360679999999999</v>
      </c>
      <c r="E117" s="2">
        <v>2.2360679999999999</v>
      </c>
    </row>
    <row r="118" spans="2:5" x14ac:dyDescent="0.2">
      <c r="B118" s="2">
        <v>5</v>
      </c>
      <c r="C118" s="2">
        <v>0.1</v>
      </c>
      <c r="D118" s="2">
        <v>2.0572520000000001</v>
      </c>
      <c r="E118" s="2">
        <v>2.2304409999999999</v>
      </c>
    </row>
    <row r="119" spans="2:5" x14ac:dyDescent="0.2">
      <c r="B119" s="2">
        <v>5</v>
      </c>
      <c r="C119" s="2">
        <v>0.2</v>
      </c>
      <c r="D119" s="2">
        <v>1.8789689999999999</v>
      </c>
      <c r="E119" s="2">
        <v>2.195567</v>
      </c>
    </row>
    <row r="120" spans="2:5" x14ac:dyDescent="0.2">
      <c r="B120" s="2">
        <v>5</v>
      </c>
      <c r="C120" s="2">
        <v>0.3</v>
      </c>
      <c r="D120" s="2">
        <v>1.7022139999999999</v>
      </c>
      <c r="E120" s="2">
        <v>2.11625</v>
      </c>
    </row>
    <row r="121" spans="2:5" x14ac:dyDescent="0.2">
      <c r="B121" s="2">
        <v>5</v>
      </c>
      <c r="C121" s="2">
        <v>0.4</v>
      </c>
      <c r="D121" s="2">
        <v>1.5289779999999999</v>
      </c>
      <c r="E121" s="2">
        <v>1.9888459999999999</v>
      </c>
    </row>
    <row r="122" spans="2:5" x14ac:dyDescent="0.2">
      <c r="B122" s="2">
        <v>5</v>
      </c>
      <c r="C122" s="2">
        <v>0.5</v>
      </c>
      <c r="D122" s="2">
        <v>1.3634139999999999</v>
      </c>
      <c r="E122" s="2">
        <v>1.815418</v>
      </c>
    </row>
    <row r="123" spans="2:5" x14ac:dyDescent="0.2">
      <c r="B123" s="2">
        <v>5</v>
      </c>
      <c r="C123" s="2">
        <v>0.6</v>
      </c>
      <c r="D123" s="2">
        <v>1.2142299999999999</v>
      </c>
      <c r="E123" s="2">
        <v>1.601526</v>
      </c>
    </row>
    <row r="124" spans="2:5" x14ac:dyDescent="0.2">
      <c r="B124" s="2">
        <v>5</v>
      </c>
      <c r="C124" s="2">
        <v>0.7</v>
      </c>
      <c r="D124" s="2">
        <v>1.0972919999999999</v>
      </c>
      <c r="E124" s="2">
        <v>1.3596820000000001</v>
      </c>
    </row>
    <row r="125" spans="2:5" x14ac:dyDescent="0.2">
      <c r="B125" s="2">
        <v>5</v>
      </c>
      <c r="C125" s="2">
        <v>0.8</v>
      </c>
      <c r="D125" s="2">
        <v>1.0285040000000001</v>
      </c>
      <c r="E125" s="2">
        <v>1.131008</v>
      </c>
    </row>
    <row r="126" spans="2:5" x14ac:dyDescent="0.2">
      <c r="B126" s="2">
        <v>5</v>
      </c>
      <c r="C126" s="2">
        <v>0.9</v>
      </c>
      <c r="D126" s="2">
        <v>1.0033829999999999</v>
      </c>
      <c r="E126" s="2">
        <v>1.014699</v>
      </c>
    </row>
    <row r="127" spans="2:5" x14ac:dyDescent="0.2">
      <c r="B127" s="2">
        <v>5</v>
      </c>
      <c r="C127" s="2">
        <v>1</v>
      </c>
      <c r="D127" s="2">
        <v>1</v>
      </c>
      <c r="E127" s="2">
        <v>1</v>
      </c>
    </row>
    <row r="128" spans="2:5" x14ac:dyDescent="0.2">
      <c r="B128" s="2">
        <v>10</v>
      </c>
      <c r="C128" s="2">
        <v>0</v>
      </c>
      <c r="D128" s="2">
        <v>3.1622780000000001</v>
      </c>
      <c r="E128" s="2">
        <v>3.1622780000000001</v>
      </c>
    </row>
    <row r="129" spans="2:5" x14ac:dyDescent="0.2">
      <c r="B129" s="2">
        <v>10</v>
      </c>
      <c r="C129" s="2">
        <v>0.1</v>
      </c>
      <c r="D129" s="2">
        <v>2.8777010000000001</v>
      </c>
      <c r="E129" s="2">
        <v>3.1533530000000001</v>
      </c>
    </row>
    <row r="130" spans="2:5" x14ac:dyDescent="0.2">
      <c r="B130" s="2">
        <v>10</v>
      </c>
      <c r="C130" s="2">
        <v>0.2</v>
      </c>
      <c r="D130" s="2">
        <v>2.5933480000000002</v>
      </c>
      <c r="E130" s="2">
        <v>3.0984180000000001</v>
      </c>
    </row>
    <row r="131" spans="2:5" x14ac:dyDescent="0.2">
      <c r="B131" s="2">
        <v>10</v>
      </c>
      <c r="C131" s="2">
        <v>0.3</v>
      </c>
      <c r="D131" s="2">
        <v>2.3096640000000002</v>
      </c>
      <c r="E131" s="2">
        <v>2.9743629999999999</v>
      </c>
    </row>
    <row r="132" spans="2:5" x14ac:dyDescent="0.2">
      <c r="B132" s="2">
        <v>10</v>
      </c>
      <c r="C132" s="2">
        <v>0.4</v>
      </c>
      <c r="D132" s="2">
        <v>2.0276239999999999</v>
      </c>
      <c r="E132" s="2">
        <v>2.7759390000000002</v>
      </c>
    </row>
    <row r="133" spans="2:5" x14ac:dyDescent="0.2">
      <c r="B133" s="2">
        <v>10</v>
      </c>
      <c r="C133" s="2">
        <v>0.5</v>
      </c>
      <c r="D133" s="2">
        <v>1.749512</v>
      </c>
      <c r="E133" s="2">
        <v>2.5056790000000002</v>
      </c>
    </row>
    <row r="134" spans="2:5" x14ac:dyDescent="0.2">
      <c r="B134" s="2">
        <v>10</v>
      </c>
      <c r="C134" s="2">
        <v>0.6</v>
      </c>
      <c r="D134" s="2">
        <v>1.4813270000000001</v>
      </c>
      <c r="E134" s="2">
        <v>2.1691060000000002</v>
      </c>
    </row>
    <row r="135" spans="2:5" x14ac:dyDescent="0.2">
      <c r="B135" s="2">
        <v>10</v>
      </c>
      <c r="C135" s="2">
        <v>0.7</v>
      </c>
      <c r="D135" s="2">
        <v>1.240639</v>
      </c>
      <c r="E135" s="2">
        <v>1.7747850000000001</v>
      </c>
    </row>
    <row r="136" spans="2:5" x14ac:dyDescent="0.2">
      <c r="B136" s="2">
        <v>10</v>
      </c>
      <c r="C136" s="2">
        <v>0.8</v>
      </c>
      <c r="D136" s="2">
        <v>1.0720229999999999</v>
      </c>
      <c r="E136" s="2">
        <v>1.3470519999999999</v>
      </c>
    </row>
    <row r="137" spans="2:5" x14ac:dyDescent="0.2">
      <c r="B137" s="2">
        <v>10</v>
      </c>
      <c r="C137" s="2">
        <v>0.9</v>
      </c>
      <c r="D137" s="2">
        <v>1.007938</v>
      </c>
      <c r="E137" s="2">
        <v>1.039274</v>
      </c>
    </row>
    <row r="138" spans="2:5" x14ac:dyDescent="0.2">
      <c r="B138" s="2">
        <v>10</v>
      </c>
      <c r="C138" s="2">
        <v>1</v>
      </c>
      <c r="D138" s="2">
        <v>1</v>
      </c>
      <c r="E138" s="2">
        <v>1</v>
      </c>
    </row>
    <row r="139" spans="2:5" x14ac:dyDescent="0.2">
      <c r="B139" s="2">
        <v>50</v>
      </c>
      <c r="C139" s="2">
        <v>0</v>
      </c>
      <c r="D139" s="2">
        <v>7.0710680000000004</v>
      </c>
      <c r="E139" s="2">
        <v>7.0710680000000004</v>
      </c>
    </row>
    <row r="140" spans="2:5" x14ac:dyDescent="0.2">
      <c r="B140" s="2">
        <v>50</v>
      </c>
      <c r="C140" s="2">
        <v>0.1</v>
      </c>
      <c r="D140" s="2">
        <v>6.3781059999999998</v>
      </c>
      <c r="E140" s="2">
        <v>7.0493899999999998</v>
      </c>
    </row>
    <row r="141" spans="2:5" x14ac:dyDescent="0.2">
      <c r="B141" s="2">
        <v>50</v>
      </c>
      <c r="C141" s="2">
        <v>0.2</v>
      </c>
      <c r="D141" s="2">
        <v>5.6851669999999999</v>
      </c>
      <c r="E141" s="2">
        <v>6.9167009999999998</v>
      </c>
    </row>
    <row r="142" spans="2:5" x14ac:dyDescent="0.2">
      <c r="B142" s="2">
        <v>50</v>
      </c>
      <c r="C142" s="2">
        <v>0.3</v>
      </c>
      <c r="D142" s="2">
        <v>4.9922979999999999</v>
      </c>
      <c r="E142" s="2">
        <v>6.6188200000000004</v>
      </c>
    </row>
    <row r="143" spans="2:5" x14ac:dyDescent="0.2">
      <c r="B143" s="2">
        <v>50</v>
      </c>
      <c r="C143" s="2">
        <v>0.4</v>
      </c>
      <c r="D143" s="2">
        <v>4.299607</v>
      </c>
      <c r="E143" s="2">
        <v>6.1444429999999999</v>
      </c>
    </row>
    <row r="144" spans="2:5" x14ac:dyDescent="0.2">
      <c r="B144" s="2">
        <v>50</v>
      </c>
      <c r="C144" s="2">
        <v>0.5</v>
      </c>
      <c r="D144" s="2">
        <v>3.6073599999999999</v>
      </c>
      <c r="E144" s="2">
        <v>5.4996530000000003</v>
      </c>
    </row>
    <row r="145" spans="2:5" x14ac:dyDescent="0.2">
      <c r="B145" s="2">
        <v>50</v>
      </c>
      <c r="C145" s="2">
        <v>0.6</v>
      </c>
      <c r="D145" s="2">
        <v>2.9162970000000001</v>
      </c>
      <c r="E145" s="2">
        <v>4.6955280000000004</v>
      </c>
    </row>
    <row r="146" spans="2:5" x14ac:dyDescent="0.2">
      <c r="B146" s="2">
        <v>50</v>
      </c>
      <c r="C146" s="2">
        <v>0.7</v>
      </c>
      <c r="D146" s="2">
        <v>2.2290049999999999</v>
      </c>
      <c r="E146" s="2">
        <v>3.7438039999999999</v>
      </c>
    </row>
    <row r="147" spans="2:5" x14ac:dyDescent="0.2">
      <c r="B147" s="2">
        <v>50</v>
      </c>
      <c r="C147" s="2">
        <v>0.8</v>
      </c>
      <c r="D147" s="2">
        <v>1.5594250000000001</v>
      </c>
      <c r="E147" s="2">
        <v>2.656558</v>
      </c>
    </row>
    <row r="148" spans="2:5" x14ac:dyDescent="0.2">
      <c r="B148" s="2">
        <v>50</v>
      </c>
      <c r="C148" s="2">
        <v>0.9</v>
      </c>
      <c r="D148" s="2">
        <v>1.0619449999999999</v>
      </c>
      <c r="E148" s="2">
        <v>1.463876</v>
      </c>
    </row>
    <row r="149" spans="2:5" x14ac:dyDescent="0.2">
      <c r="B149" s="2">
        <v>50</v>
      </c>
      <c r="C149" s="2">
        <v>1</v>
      </c>
      <c r="D149" s="2">
        <v>1</v>
      </c>
      <c r="E149" s="2">
        <v>1</v>
      </c>
    </row>
  </sheetData>
  <sheetProtection sheet="1" objects="1" scenarios="1" selectLockedCells="1" sort="0" autoFilter="0"/>
  <phoneticPr fontId="4" type="noConversion"/>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sheetPr>
  <dimension ref="A1:A5"/>
  <sheetViews>
    <sheetView showGridLines="0" workbookViewId="0"/>
  </sheetViews>
  <sheetFormatPr defaultRowHeight="15" x14ac:dyDescent="0.25"/>
  <sheetData>
    <row r="1" spans="1:1" ht="18.75" x14ac:dyDescent="0.35">
      <c r="A1" s="32" t="s">
        <v>2580</v>
      </c>
    </row>
    <row r="2" spans="1:1" ht="15.75" x14ac:dyDescent="0.25">
      <c r="A2" s="32" t="s">
        <v>2581</v>
      </c>
    </row>
    <row r="3" spans="1:1" x14ac:dyDescent="0.25">
      <c r="A3" s="60" t="s">
        <v>2099</v>
      </c>
    </row>
    <row r="4" spans="1:1" x14ac:dyDescent="0.25">
      <c r="A4" s="17" t="s">
        <v>2588</v>
      </c>
    </row>
    <row r="5" spans="1:1" x14ac:dyDescent="0.25">
      <c r="A5" s="4" t="s">
        <v>2060</v>
      </c>
    </row>
  </sheetData>
  <sheetProtection sheet="1" objects="1" scenarios="1" selectLockedCells="1"/>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sheetPr>
  <dimension ref="A1:AE1146"/>
  <sheetViews>
    <sheetView workbookViewId="0">
      <pane xSplit="3" ySplit="3" topLeftCell="D4" activePane="bottomRight" state="frozen"/>
      <selection pane="topRight" activeCell="D1" sqref="D1"/>
      <selection pane="bottomLeft" activeCell="A4" sqref="A4"/>
      <selection pane="bottomRight"/>
    </sheetView>
  </sheetViews>
  <sheetFormatPr defaultColWidth="9.140625" defaultRowHeight="12.75" x14ac:dyDescent="0.2"/>
  <cols>
    <col min="1" max="1" width="5.42578125" style="17" bestFit="1" customWidth="1"/>
    <col min="2" max="2" width="20.140625" style="17" bestFit="1" customWidth="1"/>
    <col min="3" max="3" width="7.28515625" style="14" bestFit="1" customWidth="1"/>
    <col min="4" max="24" width="8.7109375" style="17" customWidth="1"/>
    <col min="25" max="26" width="9.140625" style="17"/>
    <col min="27" max="27" width="5.7109375" style="17" bestFit="1" customWidth="1"/>
    <col min="28" max="16384" width="9.140625" style="17"/>
  </cols>
  <sheetData>
    <row r="1" spans="1:31" x14ac:dyDescent="0.2">
      <c r="B1" s="177" t="s">
        <v>846</v>
      </c>
      <c r="D1" s="178" t="s">
        <v>2056</v>
      </c>
      <c r="E1" s="14"/>
      <c r="F1" s="14"/>
      <c r="G1" s="14"/>
      <c r="H1" s="14"/>
      <c r="I1" s="14"/>
      <c r="J1" s="14"/>
      <c r="K1" s="14"/>
      <c r="L1" s="14"/>
      <c r="M1" s="14"/>
      <c r="N1" s="14"/>
      <c r="O1" s="14"/>
      <c r="P1" s="14"/>
      <c r="Q1" s="14"/>
      <c r="R1" s="14"/>
      <c r="S1" s="14"/>
      <c r="T1" s="14"/>
      <c r="U1" s="14"/>
      <c r="V1" s="14"/>
      <c r="W1" s="14"/>
      <c r="X1" s="14"/>
      <c r="Y1" s="14"/>
      <c r="Z1" s="14"/>
      <c r="AA1" s="179" t="s">
        <v>2057</v>
      </c>
    </row>
    <row r="2" spans="1:31" s="180" customFormat="1" x14ac:dyDescent="0.2">
      <c r="B2" s="180">
        <v>1</v>
      </c>
      <c r="C2" s="180">
        <v>2</v>
      </c>
      <c r="D2" s="180">
        <v>3</v>
      </c>
      <c r="E2" s="180">
        <v>4</v>
      </c>
      <c r="F2" s="180">
        <v>5</v>
      </c>
      <c r="G2" s="180">
        <v>6</v>
      </c>
      <c r="H2" s="180">
        <v>7</v>
      </c>
      <c r="I2" s="180">
        <v>8</v>
      </c>
      <c r="J2" s="180">
        <v>9</v>
      </c>
      <c r="K2" s="180">
        <v>10</v>
      </c>
      <c r="L2" s="180">
        <v>11</v>
      </c>
      <c r="M2" s="180">
        <v>12</v>
      </c>
      <c r="N2" s="180">
        <v>13</v>
      </c>
      <c r="O2" s="180">
        <v>14</v>
      </c>
      <c r="P2" s="180">
        <v>15</v>
      </c>
      <c r="Q2" s="180">
        <v>16</v>
      </c>
      <c r="R2" s="180">
        <v>17</v>
      </c>
      <c r="S2" s="180">
        <v>18</v>
      </c>
      <c r="T2" s="180">
        <v>19</v>
      </c>
      <c r="U2" s="180">
        <v>20</v>
      </c>
      <c r="V2" s="180">
        <v>21</v>
      </c>
      <c r="W2" s="180">
        <v>22</v>
      </c>
      <c r="X2" s="180">
        <v>23</v>
      </c>
      <c r="Y2" s="180">
        <v>24</v>
      </c>
      <c r="Z2" s="180">
        <v>25</v>
      </c>
      <c r="AA2" s="180">
        <v>26</v>
      </c>
      <c r="AB2" s="180">
        <v>27</v>
      </c>
      <c r="AC2" s="180">
        <v>28</v>
      </c>
      <c r="AD2" s="180">
        <v>29</v>
      </c>
      <c r="AE2" s="180">
        <v>30</v>
      </c>
    </row>
    <row r="3" spans="1:31" ht="15" thickBot="1" x14ac:dyDescent="0.3">
      <c r="A3" s="181" t="s">
        <v>0</v>
      </c>
      <c r="B3" s="181" t="s">
        <v>1</v>
      </c>
      <c r="C3" s="182" t="s">
        <v>363</v>
      </c>
      <c r="D3" s="183" t="s">
        <v>2</v>
      </c>
      <c r="E3" s="183" t="s">
        <v>3</v>
      </c>
      <c r="F3" s="183" t="s">
        <v>4</v>
      </c>
      <c r="G3" s="183" t="s">
        <v>980</v>
      </c>
      <c r="H3" s="183" t="s">
        <v>981</v>
      </c>
      <c r="I3" s="183" t="s">
        <v>982</v>
      </c>
      <c r="J3" s="183" t="s">
        <v>983</v>
      </c>
      <c r="K3" s="183" t="s">
        <v>984</v>
      </c>
      <c r="L3" s="183" t="s">
        <v>985</v>
      </c>
      <c r="M3" s="183" t="s">
        <v>986</v>
      </c>
      <c r="N3" s="183" t="s">
        <v>987</v>
      </c>
      <c r="O3" s="183" t="s">
        <v>988</v>
      </c>
      <c r="P3" s="183" t="s">
        <v>989</v>
      </c>
      <c r="Q3" s="183" t="s">
        <v>990</v>
      </c>
      <c r="R3" s="183" t="s">
        <v>991</v>
      </c>
      <c r="S3" s="183" t="s">
        <v>992</v>
      </c>
      <c r="T3" s="183" t="s">
        <v>993</v>
      </c>
      <c r="U3" s="183" t="s">
        <v>6</v>
      </c>
      <c r="V3" s="183" t="s">
        <v>994</v>
      </c>
      <c r="W3" s="183" t="s">
        <v>995</v>
      </c>
      <c r="X3" s="183" t="s">
        <v>996</v>
      </c>
      <c r="Y3" s="183" t="s">
        <v>1312</v>
      </c>
      <c r="Z3" s="183" t="s">
        <v>1311</v>
      </c>
      <c r="AA3" s="184" t="s">
        <v>1046</v>
      </c>
      <c r="AB3" s="183" t="s">
        <v>2279</v>
      </c>
      <c r="AC3" s="183" t="s">
        <v>2492</v>
      </c>
      <c r="AD3" s="183" t="s">
        <v>1014</v>
      </c>
      <c r="AE3" s="183" t="s">
        <v>2493</v>
      </c>
    </row>
    <row r="4" spans="1:31" x14ac:dyDescent="0.2">
      <c r="A4" s="185" t="s">
        <v>2</v>
      </c>
      <c r="B4" s="185" t="s">
        <v>1860</v>
      </c>
      <c r="C4" s="14" t="s">
        <v>1859</v>
      </c>
      <c r="D4" s="185">
        <v>408</v>
      </c>
      <c r="E4" s="186">
        <v>120</v>
      </c>
      <c r="F4" s="186">
        <v>44.8</v>
      </c>
      <c r="G4" s="186">
        <v>16.100000000000001</v>
      </c>
      <c r="H4" s="187">
        <v>1.22</v>
      </c>
      <c r="I4" s="187">
        <v>2.17</v>
      </c>
      <c r="J4" s="188">
        <v>2.96</v>
      </c>
      <c r="K4" s="187">
        <v>3.71</v>
      </c>
      <c r="L4" s="186">
        <v>31.9</v>
      </c>
      <c r="M4" s="189">
        <v>38700</v>
      </c>
      <c r="N4" s="185">
        <v>2000</v>
      </c>
      <c r="O4" s="185">
        <v>1730</v>
      </c>
      <c r="P4" s="186">
        <v>18</v>
      </c>
      <c r="Q4" s="185">
        <v>1520</v>
      </c>
      <c r="R4" s="185">
        <v>297</v>
      </c>
      <c r="S4" s="185">
        <v>189</v>
      </c>
      <c r="T4" s="187">
        <v>3.56</v>
      </c>
      <c r="U4" s="186">
        <v>134</v>
      </c>
      <c r="V4" s="185">
        <v>691000</v>
      </c>
      <c r="W4" s="187">
        <v>4.33</v>
      </c>
      <c r="X4" s="185">
        <v>42.6</v>
      </c>
      <c r="AA4" s="39" t="str">
        <f t="shared" ref="AA4:AA67" si="0">A4</f>
        <v>W</v>
      </c>
    </row>
    <row r="5" spans="1:31" x14ac:dyDescent="0.2">
      <c r="A5" s="185" t="s">
        <v>2</v>
      </c>
      <c r="B5" s="185" t="s">
        <v>1861</v>
      </c>
      <c r="C5" s="14" t="s">
        <v>1859</v>
      </c>
      <c r="D5" s="185">
        <v>368</v>
      </c>
      <c r="E5" s="186">
        <v>108</v>
      </c>
      <c r="F5" s="186">
        <v>44.4</v>
      </c>
      <c r="G5" s="186">
        <v>16</v>
      </c>
      <c r="H5" s="187">
        <v>1.1000000000000001</v>
      </c>
      <c r="I5" s="187">
        <v>1.97</v>
      </c>
      <c r="J5" s="188">
        <v>2.76</v>
      </c>
      <c r="K5" s="187">
        <v>4.0599999999999996</v>
      </c>
      <c r="L5" s="186">
        <v>35.4</v>
      </c>
      <c r="M5" s="189">
        <v>34700</v>
      </c>
      <c r="N5" s="185">
        <v>1800</v>
      </c>
      <c r="O5" s="185">
        <v>1560</v>
      </c>
      <c r="P5" s="186">
        <v>17.899999999999999</v>
      </c>
      <c r="Q5" s="185">
        <v>1350</v>
      </c>
      <c r="R5" s="185">
        <v>265</v>
      </c>
      <c r="S5" s="185">
        <v>169</v>
      </c>
      <c r="T5" s="187">
        <v>3.54</v>
      </c>
      <c r="U5" s="186">
        <v>100</v>
      </c>
      <c r="V5" s="185">
        <v>608000</v>
      </c>
      <c r="W5" s="187">
        <v>4.28</v>
      </c>
      <c r="X5" s="185">
        <v>42.4</v>
      </c>
      <c r="AA5" s="39" t="str">
        <f t="shared" si="0"/>
        <v>W</v>
      </c>
    </row>
    <row r="6" spans="1:31" x14ac:dyDescent="0.2">
      <c r="A6" s="185" t="s">
        <v>2</v>
      </c>
      <c r="B6" s="185" t="s">
        <v>7</v>
      </c>
      <c r="C6" s="14" t="s">
        <v>618</v>
      </c>
      <c r="D6" s="185">
        <v>335</v>
      </c>
      <c r="E6" s="186">
        <v>98.5</v>
      </c>
      <c r="F6" s="186">
        <v>44</v>
      </c>
      <c r="G6" s="186">
        <v>15.9</v>
      </c>
      <c r="H6" s="187">
        <v>1.03</v>
      </c>
      <c r="I6" s="187">
        <v>1.77</v>
      </c>
      <c r="J6" s="188">
        <v>2.56</v>
      </c>
      <c r="K6" s="187">
        <v>4.5</v>
      </c>
      <c r="L6" s="186">
        <v>38</v>
      </c>
      <c r="M6" s="189">
        <v>31100</v>
      </c>
      <c r="N6" s="185">
        <v>1620</v>
      </c>
      <c r="O6" s="185">
        <v>1410</v>
      </c>
      <c r="P6" s="186">
        <v>17.8</v>
      </c>
      <c r="Q6" s="185">
        <v>1200</v>
      </c>
      <c r="R6" s="185">
        <v>236</v>
      </c>
      <c r="S6" s="185">
        <v>150</v>
      </c>
      <c r="T6" s="187">
        <v>3.49</v>
      </c>
      <c r="U6" s="186">
        <v>74.7</v>
      </c>
      <c r="V6" s="185">
        <v>535000</v>
      </c>
      <c r="W6" s="187">
        <v>4.24</v>
      </c>
      <c r="X6" s="185">
        <v>42.2</v>
      </c>
      <c r="AA6" s="39" t="str">
        <f t="shared" si="0"/>
        <v>W</v>
      </c>
    </row>
    <row r="7" spans="1:31" x14ac:dyDescent="0.2">
      <c r="A7" s="185" t="s">
        <v>2</v>
      </c>
      <c r="B7" s="185" t="s">
        <v>9</v>
      </c>
      <c r="C7" s="14" t="s">
        <v>618</v>
      </c>
      <c r="D7" s="185">
        <v>290</v>
      </c>
      <c r="E7" s="186">
        <v>85.4</v>
      </c>
      <c r="F7" s="186">
        <v>43.6</v>
      </c>
      <c r="G7" s="186">
        <v>15.8</v>
      </c>
      <c r="H7" s="190">
        <v>0.86499999999999999</v>
      </c>
      <c r="I7" s="187">
        <v>1.58</v>
      </c>
      <c r="J7" s="188">
        <v>2.36</v>
      </c>
      <c r="K7" s="187">
        <v>5.0199999999999996</v>
      </c>
      <c r="L7" s="186">
        <v>45</v>
      </c>
      <c r="M7" s="185">
        <v>27000</v>
      </c>
      <c r="N7" s="185">
        <v>1410</v>
      </c>
      <c r="O7" s="185">
        <v>1240</v>
      </c>
      <c r="P7" s="186">
        <v>17.8</v>
      </c>
      <c r="Q7" s="185">
        <v>1040</v>
      </c>
      <c r="R7" s="185">
        <v>205</v>
      </c>
      <c r="S7" s="185">
        <v>132</v>
      </c>
      <c r="T7" s="187">
        <v>3.49</v>
      </c>
      <c r="U7" s="186">
        <v>50.9</v>
      </c>
      <c r="V7" s="185">
        <v>461000</v>
      </c>
      <c r="W7" s="187">
        <v>4.2</v>
      </c>
      <c r="X7" s="186">
        <v>42</v>
      </c>
      <c r="AA7" s="39" t="str">
        <f t="shared" si="0"/>
        <v>W</v>
      </c>
    </row>
    <row r="8" spans="1:31" x14ac:dyDescent="0.2">
      <c r="A8" s="185" t="s">
        <v>2</v>
      </c>
      <c r="B8" s="185" t="s">
        <v>10</v>
      </c>
      <c r="C8" s="14" t="s">
        <v>618</v>
      </c>
      <c r="D8" s="185">
        <v>262</v>
      </c>
      <c r="E8" s="186">
        <v>77.2</v>
      </c>
      <c r="F8" s="186">
        <v>43.3</v>
      </c>
      <c r="G8" s="186">
        <v>15.8</v>
      </c>
      <c r="H8" s="190">
        <v>0.78500000000000003</v>
      </c>
      <c r="I8" s="187">
        <v>1.42</v>
      </c>
      <c r="J8" s="188">
        <v>2.2000000000000002</v>
      </c>
      <c r="K8" s="187">
        <v>5.57</v>
      </c>
      <c r="L8" s="186">
        <v>49.6</v>
      </c>
      <c r="M8" s="185">
        <v>24100</v>
      </c>
      <c r="N8" s="185">
        <v>1270</v>
      </c>
      <c r="O8" s="185">
        <v>1110</v>
      </c>
      <c r="P8" s="186">
        <v>17.7</v>
      </c>
      <c r="Q8" s="185">
        <v>923</v>
      </c>
      <c r="R8" s="185">
        <v>182</v>
      </c>
      <c r="S8" s="185">
        <v>117</v>
      </c>
      <c r="T8" s="187">
        <v>3.47</v>
      </c>
      <c r="U8" s="186">
        <v>37.299999999999997</v>
      </c>
      <c r="V8" s="185">
        <v>405000</v>
      </c>
      <c r="W8" s="187">
        <v>4.17</v>
      </c>
      <c r="X8" s="185">
        <v>41.9</v>
      </c>
      <c r="AA8" s="39" t="str">
        <f t="shared" si="0"/>
        <v>W</v>
      </c>
    </row>
    <row r="9" spans="1:31" x14ac:dyDescent="0.2">
      <c r="A9" s="185" t="s">
        <v>2</v>
      </c>
      <c r="B9" s="185" t="s">
        <v>11</v>
      </c>
      <c r="C9" s="14" t="s">
        <v>618</v>
      </c>
      <c r="D9" s="185">
        <v>230</v>
      </c>
      <c r="E9" s="186">
        <v>67.8</v>
      </c>
      <c r="F9" s="186">
        <v>42.9</v>
      </c>
      <c r="G9" s="186">
        <v>15.8</v>
      </c>
      <c r="H9" s="190">
        <v>0.71</v>
      </c>
      <c r="I9" s="187">
        <v>1.22</v>
      </c>
      <c r="J9" s="188">
        <v>2.0099999999999998</v>
      </c>
      <c r="K9" s="187">
        <v>6.45</v>
      </c>
      <c r="L9" s="186">
        <v>54.8</v>
      </c>
      <c r="M9" s="185">
        <v>20800</v>
      </c>
      <c r="N9" s="185">
        <v>1100</v>
      </c>
      <c r="O9" s="185">
        <v>971</v>
      </c>
      <c r="P9" s="186">
        <v>17.5</v>
      </c>
      <c r="Q9" s="185">
        <v>796</v>
      </c>
      <c r="R9" s="185">
        <v>157</v>
      </c>
      <c r="S9" s="185">
        <v>101</v>
      </c>
      <c r="T9" s="187">
        <v>3.43</v>
      </c>
      <c r="U9" s="186">
        <v>24.9</v>
      </c>
      <c r="V9" s="185">
        <v>346000</v>
      </c>
      <c r="W9" s="187">
        <v>4.13</v>
      </c>
      <c r="X9" s="185">
        <v>41.7</v>
      </c>
      <c r="AA9" s="39" t="str">
        <f t="shared" si="0"/>
        <v>W</v>
      </c>
    </row>
    <row r="10" spans="1:31" x14ac:dyDescent="0.2">
      <c r="A10" s="185" t="s">
        <v>2</v>
      </c>
      <c r="B10" s="185" t="s">
        <v>12</v>
      </c>
      <c r="C10" s="14" t="s">
        <v>618</v>
      </c>
      <c r="D10" s="185">
        <v>655</v>
      </c>
      <c r="E10" s="18">
        <v>193</v>
      </c>
      <c r="F10" s="186">
        <v>43.6</v>
      </c>
      <c r="G10" s="186">
        <v>16.899999999999999</v>
      </c>
      <c r="H10" s="187">
        <v>1.97</v>
      </c>
      <c r="I10" s="187">
        <v>3.54</v>
      </c>
      <c r="J10" s="187">
        <v>4.72</v>
      </c>
      <c r="K10" s="187">
        <v>2.39</v>
      </c>
      <c r="L10" s="186">
        <v>17.3</v>
      </c>
      <c r="M10" s="19">
        <v>56500</v>
      </c>
      <c r="N10" s="19">
        <v>3080</v>
      </c>
      <c r="O10" s="19">
        <v>2590</v>
      </c>
      <c r="P10" s="186">
        <v>17.100000000000001</v>
      </c>
      <c r="Q10" s="19">
        <v>2870</v>
      </c>
      <c r="R10" s="19">
        <v>542</v>
      </c>
      <c r="S10" s="19">
        <v>340</v>
      </c>
      <c r="T10" s="20">
        <v>3.86</v>
      </c>
      <c r="U10" s="18">
        <v>589</v>
      </c>
      <c r="V10" s="19">
        <v>1150000</v>
      </c>
      <c r="W10" s="187">
        <v>4.71</v>
      </c>
      <c r="X10" s="186">
        <v>40.1</v>
      </c>
      <c r="AA10" s="39" t="str">
        <f t="shared" si="0"/>
        <v>W</v>
      </c>
    </row>
    <row r="11" spans="1:31" x14ac:dyDescent="0.2">
      <c r="A11" s="185" t="s">
        <v>2</v>
      </c>
      <c r="B11" s="185" t="s">
        <v>13</v>
      </c>
      <c r="C11" s="14" t="s">
        <v>618</v>
      </c>
      <c r="D11" s="185">
        <v>593</v>
      </c>
      <c r="E11" s="185">
        <v>174</v>
      </c>
      <c r="F11" s="186">
        <v>43</v>
      </c>
      <c r="G11" s="186">
        <v>16.7</v>
      </c>
      <c r="H11" s="187">
        <v>1.79</v>
      </c>
      <c r="I11" s="187">
        <v>3.23</v>
      </c>
      <c r="J11" s="187">
        <v>4.41</v>
      </c>
      <c r="K11" s="187">
        <v>2.58</v>
      </c>
      <c r="L11" s="186">
        <v>19.100000000000001</v>
      </c>
      <c r="M11" s="185">
        <v>50400</v>
      </c>
      <c r="N11" s="185">
        <v>2760</v>
      </c>
      <c r="O11" s="185">
        <v>2340</v>
      </c>
      <c r="P11" s="186">
        <v>17</v>
      </c>
      <c r="Q11" s="185">
        <v>2520</v>
      </c>
      <c r="R11" s="185">
        <v>481</v>
      </c>
      <c r="S11" s="185">
        <v>302</v>
      </c>
      <c r="T11" s="187">
        <v>3.8</v>
      </c>
      <c r="U11" s="185">
        <v>445</v>
      </c>
      <c r="V11" s="185">
        <v>997000</v>
      </c>
      <c r="W11" s="185">
        <v>4.63</v>
      </c>
      <c r="X11" s="185">
        <v>39.799999999999997</v>
      </c>
      <c r="AA11" s="39" t="str">
        <f t="shared" si="0"/>
        <v>W</v>
      </c>
    </row>
    <row r="12" spans="1:31" x14ac:dyDescent="0.2">
      <c r="A12" s="185" t="s">
        <v>2</v>
      </c>
      <c r="B12" s="185" t="s">
        <v>14</v>
      </c>
      <c r="C12" s="14" t="s">
        <v>618</v>
      </c>
      <c r="D12" s="185">
        <v>503</v>
      </c>
      <c r="E12" s="185">
        <v>148</v>
      </c>
      <c r="F12" s="186">
        <v>42.1</v>
      </c>
      <c r="G12" s="186">
        <v>16.399999999999999</v>
      </c>
      <c r="H12" s="187">
        <v>1.54</v>
      </c>
      <c r="I12" s="187">
        <v>2.76</v>
      </c>
      <c r="J12" s="187">
        <v>3.94</v>
      </c>
      <c r="K12" s="187">
        <v>2.98</v>
      </c>
      <c r="L12" s="186">
        <v>22.3</v>
      </c>
      <c r="M12" s="185">
        <v>41600</v>
      </c>
      <c r="N12" s="185">
        <v>2320</v>
      </c>
      <c r="O12" s="185">
        <v>1980</v>
      </c>
      <c r="P12" s="186">
        <v>16.8</v>
      </c>
      <c r="Q12" s="185">
        <v>2040</v>
      </c>
      <c r="R12" s="185">
        <v>394</v>
      </c>
      <c r="S12" s="185">
        <v>249</v>
      </c>
      <c r="T12" s="187">
        <v>3.72</v>
      </c>
      <c r="U12" s="185">
        <v>277</v>
      </c>
      <c r="V12" s="185">
        <v>789000</v>
      </c>
      <c r="W12" s="187">
        <v>4.5</v>
      </c>
      <c r="X12" s="185">
        <v>39.299999999999997</v>
      </c>
      <c r="AA12" s="39" t="str">
        <f t="shared" si="0"/>
        <v>W</v>
      </c>
    </row>
    <row r="13" spans="1:31" x14ac:dyDescent="0.2">
      <c r="A13" s="185" t="s">
        <v>2</v>
      </c>
      <c r="B13" s="185" t="s">
        <v>15</v>
      </c>
      <c r="C13" s="14" t="s">
        <v>618</v>
      </c>
      <c r="D13" s="185">
        <v>431</v>
      </c>
      <c r="E13" s="185">
        <v>127</v>
      </c>
      <c r="F13" s="186">
        <v>41.3</v>
      </c>
      <c r="G13" s="186">
        <v>16.2</v>
      </c>
      <c r="H13" s="187">
        <v>1.34</v>
      </c>
      <c r="I13" s="187">
        <v>2.36</v>
      </c>
      <c r="J13" s="187">
        <v>3.54</v>
      </c>
      <c r="K13" s="187">
        <v>3.44</v>
      </c>
      <c r="L13" s="186">
        <v>25.5</v>
      </c>
      <c r="M13" s="185">
        <v>34800</v>
      </c>
      <c r="N13" s="185">
        <v>1960</v>
      </c>
      <c r="O13" s="185">
        <v>1690</v>
      </c>
      <c r="P13" s="186">
        <v>16.600000000000001</v>
      </c>
      <c r="Q13" s="185">
        <v>1690</v>
      </c>
      <c r="R13" s="185">
        <v>328</v>
      </c>
      <c r="S13" s="185">
        <v>208</v>
      </c>
      <c r="T13" s="187">
        <v>3.65</v>
      </c>
      <c r="U13" s="185">
        <v>177</v>
      </c>
      <c r="V13" s="185">
        <v>638000</v>
      </c>
      <c r="W13" s="185">
        <v>4.41</v>
      </c>
      <c r="X13" s="185">
        <v>38.9</v>
      </c>
      <c r="AA13" s="39" t="str">
        <f t="shared" si="0"/>
        <v>W</v>
      </c>
    </row>
    <row r="14" spans="1:31" x14ac:dyDescent="0.2">
      <c r="A14" s="185" t="s">
        <v>2</v>
      </c>
      <c r="B14" s="185" t="s">
        <v>16</v>
      </c>
      <c r="C14" s="14" t="s">
        <v>618</v>
      </c>
      <c r="D14" s="185">
        <v>397</v>
      </c>
      <c r="E14" s="185">
        <v>117</v>
      </c>
      <c r="F14" s="186">
        <v>41</v>
      </c>
      <c r="G14" s="186">
        <v>16.100000000000001</v>
      </c>
      <c r="H14" s="187">
        <v>1.22</v>
      </c>
      <c r="I14" s="187">
        <v>2.2000000000000002</v>
      </c>
      <c r="J14" s="187">
        <v>3.38</v>
      </c>
      <c r="K14" s="187">
        <v>3.66</v>
      </c>
      <c r="L14" s="186">
        <v>28</v>
      </c>
      <c r="M14" s="185">
        <v>32000</v>
      </c>
      <c r="N14" s="185">
        <v>1800</v>
      </c>
      <c r="O14" s="185">
        <v>1560</v>
      </c>
      <c r="P14" s="186">
        <v>16.600000000000001</v>
      </c>
      <c r="Q14" s="185">
        <v>1540</v>
      </c>
      <c r="R14" s="185">
        <v>300</v>
      </c>
      <c r="S14" s="185">
        <v>191</v>
      </c>
      <c r="T14" s="187">
        <v>3.64</v>
      </c>
      <c r="U14" s="185">
        <v>142</v>
      </c>
      <c r="V14" s="185">
        <v>579000</v>
      </c>
      <c r="W14" s="185">
        <v>4.38</v>
      </c>
      <c r="X14" s="185">
        <v>38.799999999999997</v>
      </c>
      <c r="AA14" s="39" t="str">
        <f t="shared" si="0"/>
        <v>W</v>
      </c>
    </row>
    <row r="15" spans="1:31" x14ac:dyDescent="0.2">
      <c r="A15" s="185" t="s">
        <v>2</v>
      </c>
      <c r="B15" s="185" t="s">
        <v>17</v>
      </c>
      <c r="C15" s="14" t="s">
        <v>618</v>
      </c>
      <c r="D15" s="185">
        <v>372</v>
      </c>
      <c r="E15" s="185">
        <v>110</v>
      </c>
      <c r="F15" s="186">
        <v>40.6</v>
      </c>
      <c r="G15" s="186">
        <v>16.100000000000001</v>
      </c>
      <c r="H15" s="187">
        <v>1.1599999999999999</v>
      </c>
      <c r="I15" s="187">
        <v>2.0499999999999998</v>
      </c>
      <c r="J15" s="187">
        <v>3.23</v>
      </c>
      <c r="K15" s="187">
        <v>3.93</v>
      </c>
      <c r="L15" s="186">
        <v>29.5</v>
      </c>
      <c r="M15" s="185">
        <v>29600</v>
      </c>
      <c r="N15" s="185">
        <v>1680</v>
      </c>
      <c r="O15" s="185">
        <v>1460</v>
      </c>
      <c r="P15" s="186">
        <v>16.5</v>
      </c>
      <c r="Q15" s="185">
        <v>1420</v>
      </c>
      <c r="R15" s="185">
        <v>277</v>
      </c>
      <c r="S15" s="185">
        <v>177</v>
      </c>
      <c r="T15" s="187">
        <v>3.6</v>
      </c>
      <c r="U15" s="185">
        <v>116</v>
      </c>
      <c r="V15" s="185">
        <v>528000</v>
      </c>
      <c r="W15" s="187">
        <v>4.33</v>
      </c>
      <c r="X15" s="185">
        <v>38.6</v>
      </c>
      <c r="AA15" s="39" t="str">
        <f t="shared" si="0"/>
        <v>W</v>
      </c>
    </row>
    <row r="16" spans="1:31" x14ac:dyDescent="0.2">
      <c r="A16" s="185" t="s">
        <v>2</v>
      </c>
      <c r="B16" s="185" t="s">
        <v>18</v>
      </c>
      <c r="C16" s="14" t="s">
        <v>618</v>
      </c>
      <c r="D16" s="185">
        <v>362</v>
      </c>
      <c r="E16" s="185">
        <v>106</v>
      </c>
      <c r="F16" s="186">
        <v>40.6</v>
      </c>
      <c r="G16" s="186">
        <v>16</v>
      </c>
      <c r="H16" s="187">
        <v>1.1200000000000001</v>
      </c>
      <c r="I16" s="187">
        <v>2.0099999999999998</v>
      </c>
      <c r="J16" s="187">
        <v>3.19</v>
      </c>
      <c r="K16" s="187">
        <v>3.99</v>
      </c>
      <c r="L16" s="186">
        <v>30.5</v>
      </c>
      <c r="M16" s="185">
        <v>28900</v>
      </c>
      <c r="N16" s="185">
        <v>1640</v>
      </c>
      <c r="O16" s="185">
        <v>1420</v>
      </c>
      <c r="P16" s="186">
        <v>16.5</v>
      </c>
      <c r="Q16" s="185">
        <v>1380</v>
      </c>
      <c r="R16" s="185">
        <v>270</v>
      </c>
      <c r="S16" s="185">
        <v>173</v>
      </c>
      <c r="T16" s="187">
        <v>3.6</v>
      </c>
      <c r="U16" s="185">
        <v>109</v>
      </c>
      <c r="V16" s="185">
        <v>513000</v>
      </c>
      <c r="W16" s="185">
        <v>4.33</v>
      </c>
      <c r="X16" s="185">
        <v>38.6</v>
      </c>
      <c r="AA16" s="39" t="str">
        <f t="shared" si="0"/>
        <v>W</v>
      </c>
    </row>
    <row r="17" spans="1:27" x14ac:dyDescent="0.2">
      <c r="A17" s="185" t="s">
        <v>2</v>
      </c>
      <c r="B17" s="185" t="s">
        <v>19</v>
      </c>
      <c r="C17" s="14" t="s">
        <v>618</v>
      </c>
      <c r="D17" s="185">
        <v>324</v>
      </c>
      <c r="E17" s="186">
        <v>95.3</v>
      </c>
      <c r="F17" s="186">
        <v>40.200000000000003</v>
      </c>
      <c r="G17" s="186">
        <v>15.9</v>
      </c>
      <c r="H17" s="187">
        <v>1</v>
      </c>
      <c r="I17" s="187">
        <v>1.81</v>
      </c>
      <c r="J17" s="187">
        <v>2.99</v>
      </c>
      <c r="K17" s="187">
        <v>4.4000000000000004</v>
      </c>
      <c r="L17" s="186">
        <v>34.200000000000003</v>
      </c>
      <c r="M17" s="185">
        <v>25600</v>
      </c>
      <c r="N17" s="185">
        <v>1460</v>
      </c>
      <c r="O17" s="185">
        <v>1280</v>
      </c>
      <c r="P17" s="186">
        <v>16.399999999999999</v>
      </c>
      <c r="Q17" s="185">
        <v>1220</v>
      </c>
      <c r="R17" s="185">
        <v>239</v>
      </c>
      <c r="S17" s="185">
        <v>153</v>
      </c>
      <c r="T17" s="187">
        <v>3.58</v>
      </c>
      <c r="U17" s="186">
        <v>79.400000000000006</v>
      </c>
      <c r="V17" s="185">
        <v>448000</v>
      </c>
      <c r="W17" s="185">
        <v>4.2699999999999996</v>
      </c>
      <c r="X17" s="185">
        <v>38.4</v>
      </c>
      <c r="AA17" s="39" t="str">
        <f t="shared" si="0"/>
        <v>W</v>
      </c>
    </row>
    <row r="18" spans="1:27" x14ac:dyDescent="0.2">
      <c r="A18" s="185" t="s">
        <v>2</v>
      </c>
      <c r="B18" s="185" t="s">
        <v>20</v>
      </c>
      <c r="C18" s="14" t="s">
        <v>618</v>
      </c>
      <c r="D18" s="185">
        <v>297</v>
      </c>
      <c r="E18" s="186">
        <v>87.3</v>
      </c>
      <c r="F18" s="186">
        <v>39.799999999999997</v>
      </c>
      <c r="G18" s="186">
        <v>15.8</v>
      </c>
      <c r="H18" s="190">
        <v>0.93</v>
      </c>
      <c r="I18" s="187">
        <v>1.65</v>
      </c>
      <c r="J18" s="187">
        <v>2.83</v>
      </c>
      <c r="K18" s="187">
        <v>4.8</v>
      </c>
      <c r="L18" s="186">
        <v>36.799999999999997</v>
      </c>
      <c r="M18" s="185">
        <v>23200</v>
      </c>
      <c r="N18" s="185">
        <v>1330</v>
      </c>
      <c r="O18" s="185">
        <v>1170</v>
      </c>
      <c r="P18" s="186">
        <v>16.3</v>
      </c>
      <c r="Q18" s="185">
        <v>1090</v>
      </c>
      <c r="R18" s="185">
        <v>215</v>
      </c>
      <c r="S18" s="185">
        <v>138</v>
      </c>
      <c r="T18" s="187">
        <v>3.54</v>
      </c>
      <c r="U18" s="186">
        <v>61.2</v>
      </c>
      <c r="V18" s="185">
        <v>399000</v>
      </c>
      <c r="W18" s="185">
        <v>4.22</v>
      </c>
      <c r="X18" s="185">
        <v>38.200000000000003</v>
      </c>
      <c r="AA18" s="39" t="str">
        <f t="shared" si="0"/>
        <v>W</v>
      </c>
    </row>
    <row r="19" spans="1:27" x14ac:dyDescent="0.2">
      <c r="A19" s="185" t="s">
        <v>2</v>
      </c>
      <c r="B19" s="185" t="s">
        <v>21</v>
      </c>
      <c r="C19" s="14" t="s">
        <v>618</v>
      </c>
      <c r="D19" s="185">
        <v>277</v>
      </c>
      <c r="E19" s="186">
        <v>81.5</v>
      </c>
      <c r="F19" s="186">
        <v>39.700000000000003</v>
      </c>
      <c r="G19" s="186">
        <v>15.8</v>
      </c>
      <c r="H19" s="190">
        <v>0.83</v>
      </c>
      <c r="I19" s="187">
        <v>1.58</v>
      </c>
      <c r="J19" s="187">
        <v>2.76</v>
      </c>
      <c r="K19" s="187">
        <v>5.03</v>
      </c>
      <c r="L19" s="186">
        <v>41.2</v>
      </c>
      <c r="M19" s="185">
        <v>21900</v>
      </c>
      <c r="N19" s="185">
        <v>1250</v>
      </c>
      <c r="O19" s="185">
        <v>1100</v>
      </c>
      <c r="P19" s="186">
        <v>16.399999999999999</v>
      </c>
      <c r="Q19" s="185">
        <v>1040</v>
      </c>
      <c r="R19" s="185">
        <v>204</v>
      </c>
      <c r="S19" s="185">
        <v>132</v>
      </c>
      <c r="T19" s="187">
        <v>3.58</v>
      </c>
      <c r="U19" s="186">
        <v>51.5</v>
      </c>
      <c r="V19" s="185">
        <v>379000</v>
      </c>
      <c r="W19" s="185">
        <v>4.25</v>
      </c>
      <c r="X19" s="185">
        <v>38.1</v>
      </c>
      <c r="AA19" s="39" t="str">
        <f t="shared" si="0"/>
        <v>W</v>
      </c>
    </row>
    <row r="20" spans="1:27" x14ac:dyDescent="0.2">
      <c r="A20" s="185" t="s">
        <v>2</v>
      </c>
      <c r="B20" s="185" t="s">
        <v>22</v>
      </c>
      <c r="C20" s="14" t="s">
        <v>618</v>
      </c>
      <c r="D20" s="185">
        <v>249</v>
      </c>
      <c r="E20" s="186">
        <v>73.5</v>
      </c>
      <c r="F20" s="186">
        <v>39.4</v>
      </c>
      <c r="G20" s="186">
        <v>15.8</v>
      </c>
      <c r="H20" s="190">
        <v>0.75</v>
      </c>
      <c r="I20" s="187">
        <v>1.42</v>
      </c>
      <c r="J20" s="187">
        <v>2.6</v>
      </c>
      <c r="K20" s="187">
        <v>5.55</v>
      </c>
      <c r="L20" s="186">
        <v>45.6</v>
      </c>
      <c r="M20" s="185">
        <v>19600</v>
      </c>
      <c r="N20" s="185">
        <v>1120</v>
      </c>
      <c r="O20" s="185">
        <v>993</v>
      </c>
      <c r="P20" s="186">
        <v>16.3</v>
      </c>
      <c r="Q20" s="185">
        <v>926</v>
      </c>
      <c r="R20" s="185">
        <v>182</v>
      </c>
      <c r="S20" s="185">
        <v>118</v>
      </c>
      <c r="T20" s="187">
        <v>3.55</v>
      </c>
      <c r="U20" s="186">
        <v>38.1</v>
      </c>
      <c r="V20" s="185">
        <v>334000</v>
      </c>
      <c r="W20" s="185">
        <v>4.21</v>
      </c>
      <c r="X20" s="186">
        <v>38</v>
      </c>
      <c r="AA20" s="39" t="str">
        <f t="shared" si="0"/>
        <v>W</v>
      </c>
    </row>
    <row r="21" spans="1:27" x14ac:dyDescent="0.2">
      <c r="A21" s="185" t="s">
        <v>2</v>
      </c>
      <c r="B21" s="185" t="s">
        <v>23</v>
      </c>
      <c r="C21" s="14" t="s">
        <v>618</v>
      </c>
      <c r="D21" s="185">
        <v>215</v>
      </c>
      <c r="E21" s="186">
        <v>63.5</v>
      </c>
      <c r="F21" s="186">
        <v>39</v>
      </c>
      <c r="G21" s="186">
        <v>15.8</v>
      </c>
      <c r="H21" s="190">
        <v>0.65</v>
      </c>
      <c r="I21" s="187">
        <v>1.22</v>
      </c>
      <c r="J21" s="187">
        <v>2.4</v>
      </c>
      <c r="K21" s="187">
        <v>6.45</v>
      </c>
      <c r="L21" s="186">
        <v>52.6</v>
      </c>
      <c r="M21" s="185">
        <v>16700</v>
      </c>
      <c r="N21" s="185">
        <v>964</v>
      </c>
      <c r="O21" s="185">
        <v>859</v>
      </c>
      <c r="P21" s="186">
        <v>16.2</v>
      </c>
      <c r="Q21" s="185">
        <v>803</v>
      </c>
      <c r="R21" s="185">
        <v>156</v>
      </c>
      <c r="S21" s="185">
        <v>101</v>
      </c>
      <c r="T21" s="187">
        <v>3.54</v>
      </c>
      <c r="U21" s="186">
        <v>24.8</v>
      </c>
      <c r="V21" s="185">
        <v>284000</v>
      </c>
      <c r="W21" s="185">
        <v>4.1900000000000004</v>
      </c>
      <c r="X21" s="185">
        <v>37.799999999999997</v>
      </c>
      <c r="AA21" s="39" t="str">
        <f t="shared" si="0"/>
        <v>W</v>
      </c>
    </row>
    <row r="22" spans="1:27" x14ac:dyDescent="0.2">
      <c r="A22" s="185" t="s">
        <v>2</v>
      </c>
      <c r="B22" s="185" t="s">
        <v>24</v>
      </c>
      <c r="C22" s="14" t="s">
        <v>618</v>
      </c>
      <c r="D22" s="185">
        <v>199</v>
      </c>
      <c r="E22" s="186">
        <v>58.8</v>
      </c>
      <c r="F22" s="186">
        <v>38.700000000000003</v>
      </c>
      <c r="G22" s="186">
        <v>15.8</v>
      </c>
      <c r="H22" s="190">
        <v>0.65</v>
      </c>
      <c r="I22" s="187">
        <v>1.07</v>
      </c>
      <c r="J22" s="187">
        <v>2.25</v>
      </c>
      <c r="K22" s="187">
        <v>7.39</v>
      </c>
      <c r="L22" s="186">
        <v>52.6</v>
      </c>
      <c r="M22" s="185">
        <v>14900</v>
      </c>
      <c r="N22" s="185">
        <v>869</v>
      </c>
      <c r="O22" s="185">
        <v>770</v>
      </c>
      <c r="P22" s="186">
        <v>16</v>
      </c>
      <c r="Q22" s="185">
        <v>695</v>
      </c>
      <c r="R22" s="185">
        <v>137</v>
      </c>
      <c r="S22" s="186">
        <v>88.2</v>
      </c>
      <c r="T22" s="187">
        <v>3.45</v>
      </c>
      <c r="U22" s="186">
        <v>18.3</v>
      </c>
      <c r="V22" s="185">
        <v>246000</v>
      </c>
      <c r="W22" s="185">
        <v>4.12</v>
      </c>
      <c r="X22" s="185">
        <v>37.6</v>
      </c>
      <c r="AA22" s="39" t="str">
        <f t="shared" si="0"/>
        <v>W</v>
      </c>
    </row>
    <row r="23" spans="1:27" x14ac:dyDescent="0.2">
      <c r="A23" s="185" t="s">
        <v>2</v>
      </c>
      <c r="B23" s="185" t="s">
        <v>25</v>
      </c>
      <c r="C23" s="14" t="s">
        <v>618</v>
      </c>
      <c r="D23" s="185">
        <v>392</v>
      </c>
      <c r="E23" s="185">
        <v>116</v>
      </c>
      <c r="F23" s="186">
        <v>41.6</v>
      </c>
      <c r="G23" s="186">
        <v>12.4</v>
      </c>
      <c r="H23" s="187">
        <v>1.42</v>
      </c>
      <c r="I23" s="187">
        <v>2.52</v>
      </c>
      <c r="J23" s="187">
        <v>3.7</v>
      </c>
      <c r="K23" s="187">
        <v>2.4500000000000002</v>
      </c>
      <c r="L23" s="186">
        <v>24.1</v>
      </c>
      <c r="M23" s="185">
        <v>29900</v>
      </c>
      <c r="N23" s="185">
        <v>1710</v>
      </c>
      <c r="O23" s="185">
        <v>1440</v>
      </c>
      <c r="P23" s="186">
        <v>16.100000000000001</v>
      </c>
      <c r="Q23" s="185">
        <v>803</v>
      </c>
      <c r="R23" s="185">
        <v>212</v>
      </c>
      <c r="S23" s="185">
        <v>130</v>
      </c>
      <c r="T23" s="187">
        <v>2.64</v>
      </c>
      <c r="U23" s="185">
        <v>172</v>
      </c>
      <c r="V23" s="185">
        <v>306000</v>
      </c>
      <c r="W23" s="187">
        <v>3.3</v>
      </c>
      <c r="X23" s="185">
        <v>39.1</v>
      </c>
      <c r="AA23" s="39" t="str">
        <f t="shared" si="0"/>
        <v>W</v>
      </c>
    </row>
    <row r="24" spans="1:27" x14ac:dyDescent="0.2">
      <c r="A24" s="185" t="s">
        <v>2</v>
      </c>
      <c r="B24" s="185" t="s">
        <v>26</v>
      </c>
      <c r="C24" s="14" t="s">
        <v>618</v>
      </c>
      <c r="D24" s="185">
        <v>331</v>
      </c>
      <c r="E24" s="186">
        <v>97.7</v>
      </c>
      <c r="F24" s="186">
        <v>40.799999999999997</v>
      </c>
      <c r="G24" s="186">
        <v>12.2</v>
      </c>
      <c r="H24" s="187">
        <v>1.22</v>
      </c>
      <c r="I24" s="187">
        <v>2.13</v>
      </c>
      <c r="J24" s="187">
        <v>3.31</v>
      </c>
      <c r="K24" s="187">
        <v>2.86</v>
      </c>
      <c r="L24" s="186">
        <v>28</v>
      </c>
      <c r="M24" s="185">
        <v>24700</v>
      </c>
      <c r="N24" s="185">
        <v>1430</v>
      </c>
      <c r="O24" s="185">
        <v>1210</v>
      </c>
      <c r="P24" s="186">
        <v>15.9</v>
      </c>
      <c r="Q24" s="185">
        <v>644</v>
      </c>
      <c r="R24" s="185">
        <v>172</v>
      </c>
      <c r="S24" s="185">
        <v>106</v>
      </c>
      <c r="T24" s="187">
        <v>2.57</v>
      </c>
      <c r="U24" s="185">
        <v>105</v>
      </c>
      <c r="V24" s="185">
        <v>241000</v>
      </c>
      <c r="W24" s="185">
        <v>3.21</v>
      </c>
      <c r="X24" s="185">
        <v>38.700000000000003</v>
      </c>
      <c r="AA24" s="39" t="str">
        <f t="shared" si="0"/>
        <v>W</v>
      </c>
    </row>
    <row r="25" spans="1:27" x14ac:dyDescent="0.2">
      <c r="A25" s="185" t="s">
        <v>2</v>
      </c>
      <c r="B25" s="185" t="s">
        <v>27</v>
      </c>
      <c r="C25" s="14" t="s">
        <v>618</v>
      </c>
      <c r="D25" s="185">
        <v>327</v>
      </c>
      <c r="E25" s="186">
        <v>95.9</v>
      </c>
      <c r="F25" s="186">
        <v>40.799999999999997</v>
      </c>
      <c r="G25" s="186">
        <v>12.1</v>
      </c>
      <c r="H25" s="187">
        <v>1.18</v>
      </c>
      <c r="I25" s="187">
        <v>2.13</v>
      </c>
      <c r="J25" s="187">
        <v>3.31</v>
      </c>
      <c r="K25" s="187">
        <v>2.85</v>
      </c>
      <c r="L25" s="186">
        <v>29</v>
      </c>
      <c r="M25" s="185">
        <v>24500</v>
      </c>
      <c r="N25" s="185">
        <v>1410</v>
      </c>
      <c r="O25" s="185">
        <v>1200</v>
      </c>
      <c r="P25" s="186">
        <v>16</v>
      </c>
      <c r="Q25" s="185">
        <v>640</v>
      </c>
      <c r="R25" s="185">
        <v>170</v>
      </c>
      <c r="S25" s="185">
        <v>105</v>
      </c>
      <c r="T25" s="187">
        <v>2.58</v>
      </c>
      <c r="U25" s="185">
        <v>103</v>
      </c>
      <c r="V25" s="185">
        <v>239000</v>
      </c>
      <c r="W25" s="185">
        <v>3.21</v>
      </c>
      <c r="X25" s="185">
        <v>38.700000000000003</v>
      </c>
      <c r="AA25" s="39" t="str">
        <f t="shared" si="0"/>
        <v>W</v>
      </c>
    </row>
    <row r="26" spans="1:27" x14ac:dyDescent="0.2">
      <c r="A26" s="185" t="s">
        <v>2</v>
      </c>
      <c r="B26" s="185" t="s">
        <v>28</v>
      </c>
      <c r="C26" s="14" t="s">
        <v>618</v>
      </c>
      <c r="D26" s="185">
        <v>294</v>
      </c>
      <c r="E26" s="186">
        <v>86.2</v>
      </c>
      <c r="F26" s="186">
        <v>40.4</v>
      </c>
      <c r="G26" s="186">
        <v>12</v>
      </c>
      <c r="H26" s="187">
        <v>1.06</v>
      </c>
      <c r="I26" s="187">
        <v>1.93</v>
      </c>
      <c r="J26" s="187">
        <v>3.11</v>
      </c>
      <c r="K26" s="187">
        <v>3.11</v>
      </c>
      <c r="L26" s="186">
        <v>32.200000000000003</v>
      </c>
      <c r="M26" s="185">
        <v>21900</v>
      </c>
      <c r="N26" s="191">
        <v>1270</v>
      </c>
      <c r="O26" s="185">
        <v>1080</v>
      </c>
      <c r="P26" s="186">
        <v>15.9</v>
      </c>
      <c r="Q26" s="185">
        <v>562</v>
      </c>
      <c r="R26" s="185">
        <v>150</v>
      </c>
      <c r="S26" s="186">
        <v>93.5</v>
      </c>
      <c r="T26" s="187">
        <v>2.5499999999999998</v>
      </c>
      <c r="U26" s="186">
        <v>76.599999999999994</v>
      </c>
      <c r="V26" s="185">
        <v>208000</v>
      </c>
      <c r="W26" s="185">
        <v>3.16</v>
      </c>
      <c r="X26" s="186">
        <v>38.5</v>
      </c>
      <c r="AA26" s="39" t="str">
        <f t="shared" si="0"/>
        <v>W</v>
      </c>
    </row>
    <row r="27" spans="1:27" x14ac:dyDescent="0.2">
      <c r="A27" s="185" t="s">
        <v>2</v>
      </c>
      <c r="B27" s="185" t="s">
        <v>29</v>
      </c>
      <c r="C27" s="14" t="s">
        <v>618</v>
      </c>
      <c r="D27" s="185">
        <v>278</v>
      </c>
      <c r="E27" s="186">
        <v>82.3</v>
      </c>
      <c r="F27" s="186">
        <v>40.200000000000003</v>
      </c>
      <c r="G27" s="186">
        <v>12</v>
      </c>
      <c r="H27" s="187">
        <v>1.03</v>
      </c>
      <c r="I27" s="187">
        <v>1.81</v>
      </c>
      <c r="J27" s="187">
        <v>2.99</v>
      </c>
      <c r="K27" s="187">
        <v>3.31</v>
      </c>
      <c r="L27" s="186">
        <v>33.299999999999997</v>
      </c>
      <c r="M27" s="185">
        <v>20500</v>
      </c>
      <c r="N27" s="185">
        <v>1190</v>
      </c>
      <c r="O27" s="185">
        <v>1020</v>
      </c>
      <c r="P27" s="186">
        <v>15.8</v>
      </c>
      <c r="Q27" s="185">
        <v>521</v>
      </c>
      <c r="R27" s="185">
        <v>140</v>
      </c>
      <c r="S27" s="186">
        <v>87.1</v>
      </c>
      <c r="T27" s="187">
        <v>2.52</v>
      </c>
      <c r="U27" s="186">
        <v>65</v>
      </c>
      <c r="V27" s="185">
        <v>192000</v>
      </c>
      <c r="W27" s="185">
        <v>3.13</v>
      </c>
      <c r="X27" s="185">
        <v>38.4</v>
      </c>
      <c r="AA27" s="39" t="str">
        <f t="shared" si="0"/>
        <v>W</v>
      </c>
    </row>
    <row r="28" spans="1:27" x14ac:dyDescent="0.2">
      <c r="A28" s="185" t="s">
        <v>2</v>
      </c>
      <c r="B28" s="185" t="s">
        <v>30</v>
      </c>
      <c r="C28" s="14" t="s">
        <v>618</v>
      </c>
      <c r="D28" s="185">
        <v>264</v>
      </c>
      <c r="E28" s="186">
        <v>77.400000000000006</v>
      </c>
      <c r="F28" s="186">
        <v>40</v>
      </c>
      <c r="G28" s="186">
        <v>11.9</v>
      </c>
      <c r="H28" s="190">
        <v>0.96</v>
      </c>
      <c r="I28" s="187">
        <v>1.73</v>
      </c>
      <c r="J28" s="187">
        <v>2.91</v>
      </c>
      <c r="K28" s="187">
        <v>3.45</v>
      </c>
      <c r="L28" s="186">
        <v>35.6</v>
      </c>
      <c r="M28" s="185">
        <v>19400</v>
      </c>
      <c r="N28" s="185">
        <v>1130</v>
      </c>
      <c r="O28" s="185">
        <v>971</v>
      </c>
      <c r="P28" s="186">
        <v>15.8</v>
      </c>
      <c r="Q28" s="185">
        <v>493</v>
      </c>
      <c r="R28" s="185">
        <v>132</v>
      </c>
      <c r="S28" s="186">
        <v>82.6</v>
      </c>
      <c r="T28" s="187">
        <v>2.52</v>
      </c>
      <c r="U28" s="186">
        <v>56.1</v>
      </c>
      <c r="V28" s="185">
        <v>181000</v>
      </c>
      <c r="W28" s="185">
        <v>3.12</v>
      </c>
      <c r="X28" s="185">
        <v>38.299999999999997</v>
      </c>
      <c r="AA28" s="39" t="str">
        <f t="shared" si="0"/>
        <v>W</v>
      </c>
    </row>
    <row r="29" spans="1:27" x14ac:dyDescent="0.2">
      <c r="A29" s="185" t="s">
        <v>2</v>
      </c>
      <c r="B29" s="185" t="s">
        <v>31</v>
      </c>
      <c r="C29" s="14" t="s">
        <v>618</v>
      </c>
      <c r="D29" s="185">
        <v>235</v>
      </c>
      <c r="E29" s="186">
        <v>69.099999999999994</v>
      </c>
      <c r="F29" s="186">
        <v>39.700000000000003</v>
      </c>
      <c r="G29" s="186">
        <v>11.9</v>
      </c>
      <c r="H29" s="190">
        <v>0.83</v>
      </c>
      <c r="I29" s="187">
        <v>1.58</v>
      </c>
      <c r="J29" s="187">
        <v>2.76</v>
      </c>
      <c r="K29" s="187">
        <v>3.77</v>
      </c>
      <c r="L29" s="186">
        <v>41.2</v>
      </c>
      <c r="M29" s="185">
        <v>17400</v>
      </c>
      <c r="N29" s="185">
        <v>1010</v>
      </c>
      <c r="O29" s="185">
        <v>875</v>
      </c>
      <c r="P29" s="186">
        <v>15.9</v>
      </c>
      <c r="Q29" s="185">
        <v>444</v>
      </c>
      <c r="R29" s="185">
        <v>118</v>
      </c>
      <c r="S29" s="186">
        <v>74.599999999999994</v>
      </c>
      <c r="T29" s="187">
        <v>2.54</v>
      </c>
      <c r="U29" s="186">
        <v>41.3</v>
      </c>
      <c r="V29" s="185">
        <v>161000</v>
      </c>
      <c r="W29" s="185">
        <v>3.11</v>
      </c>
      <c r="X29" s="186">
        <v>38.1</v>
      </c>
      <c r="AA29" s="39" t="str">
        <f t="shared" si="0"/>
        <v>W</v>
      </c>
    </row>
    <row r="30" spans="1:27" x14ac:dyDescent="0.2">
      <c r="A30" s="185" t="s">
        <v>2</v>
      </c>
      <c r="B30" s="185" t="s">
        <v>32</v>
      </c>
      <c r="C30" s="14" t="s">
        <v>618</v>
      </c>
      <c r="D30" s="185">
        <v>211</v>
      </c>
      <c r="E30" s="186">
        <v>62.1</v>
      </c>
      <c r="F30" s="186">
        <v>39.4</v>
      </c>
      <c r="G30" s="186">
        <v>11.8</v>
      </c>
      <c r="H30" s="190">
        <v>0.75</v>
      </c>
      <c r="I30" s="187">
        <v>1.42</v>
      </c>
      <c r="J30" s="187">
        <v>2.6</v>
      </c>
      <c r="K30" s="187">
        <v>4.17</v>
      </c>
      <c r="L30" s="186">
        <v>45.6</v>
      </c>
      <c r="M30" s="185">
        <v>15500</v>
      </c>
      <c r="N30" s="185">
        <v>906</v>
      </c>
      <c r="O30" s="185">
        <v>786</v>
      </c>
      <c r="P30" s="186">
        <v>15.8</v>
      </c>
      <c r="Q30" s="185">
        <v>390</v>
      </c>
      <c r="R30" s="185">
        <v>105</v>
      </c>
      <c r="S30" s="186">
        <v>66.099999999999994</v>
      </c>
      <c r="T30" s="187">
        <v>2.5099999999999998</v>
      </c>
      <c r="U30" s="186">
        <v>30.4</v>
      </c>
      <c r="V30" s="185">
        <v>141000</v>
      </c>
      <c r="W30" s="185">
        <v>3.07</v>
      </c>
      <c r="X30" s="186">
        <v>38</v>
      </c>
      <c r="AA30" s="39" t="str">
        <f t="shared" si="0"/>
        <v>W</v>
      </c>
    </row>
    <row r="31" spans="1:27" x14ac:dyDescent="0.2">
      <c r="A31" s="185" t="s">
        <v>2</v>
      </c>
      <c r="B31" s="185" t="s">
        <v>33</v>
      </c>
      <c r="C31" s="14" t="s">
        <v>618</v>
      </c>
      <c r="D31" s="185">
        <v>183</v>
      </c>
      <c r="E31" s="186">
        <v>53.3</v>
      </c>
      <c r="F31" s="186">
        <v>39</v>
      </c>
      <c r="G31" s="186">
        <v>11.8</v>
      </c>
      <c r="H31" s="190">
        <v>0.65</v>
      </c>
      <c r="I31" s="187">
        <v>1.2</v>
      </c>
      <c r="J31" s="187">
        <v>2.38</v>
      </c>
      <c r="K31" s="187">
        <v>4.92</v>
      </c>
      <c r="L31" s="186">
        <v>52.6</v>
      </c>
      <c r="M31" s="185">
        <v>13200</v>
      </c>
      <c r="N31" s="185">
        <v>774</v>
      </c>
      <c r="O31" s="185">
        <v>675</v>
      </c>
      <c r="P31" s="186">
        <v>15.7</v>
      </c>
      <c r="Q31" s="185">
        <v>331</v>
      </c>
      <c r="R31" s="186">
        <v>88.3</v>
      </c>
      <c r="S31" s="186">
        <v>56</v>
      </c>
      <c r="T31" s="187">
        <v>2.4900000000000002</v>
      </c>
      <c r="U31" s="186">
        <v>19.3</v>
      </c>
      <c r="V31" s="185">
        <v>118000</v>
      </c>
      <c r="W31" s="185">
        <v>3.04</v>
      </c>
      <c r="X31" s="185">
        <v>37.799999999999997</v>
      </c>
      <c r="AA31" s="39" t="str">
        <f t="shared" si="0"/>
        <v>W</v>
      </c>
    </row>
    <row r="32" spans="1:27" x14ac:dyDescent="0.2">
      <c r="A32" s="185" t="s">
        <v>2</v>
      </c>
      <c r="B32" s="185" t="s">
        <v>34</v>
      </c>
      <c r="C32" s="14" t="s">
        <v>618</v>
      </c>
      <c r="D32" s="185">
        <v>167</v>
      </c>
      <c r="E32" s="186">
        <v>49.3</v>
      </c>
      <c r="F32" s="186">
        <v>38.6</v>
      </c>
      <c r="G32" s="186">
        <v>11.8</v>
      </c>
      <c r="H32" s="190">
        <v>0.65</v>
      </c>
      <c r="I32" s="187">
        <v>1.03</v>
      </c>
      <c r="J32" s="187">
        <v>2.21</v>
      </c>
      <c r="K32" s="187">
        <v>5.76</v>
      </c>
      <c r="L32" s="186">
        <v>52.6</v>
      </c>
      <c r="M32" s="185">
        <v>11600</v>
      </c>
      <c r="N32" s="185">
        <v>693</v>
      </c>
      <c r="O32" s="185">
        <v>600</v>
      </c>
      <c r="P32" s="186">
        <v>15.3</v>
      </c>
      <c r="Q32" s="185">
        <v>283</v>
      </c>
      <c r="R32" s="186">
        <v>76</v>
      </c>
      <c r="S32" s="186">
        <v>47.9</v>
      </c>
      <c r="T32" s="187">
        <v>2.4</v>
      </c>
      <c r="U32" s="186">
        <v>14</v>
      </c>
      <c r="V32" s="185">
        <v>99700</v>
      </c>
      <c r="W32" s="185">
        <v>2.98</v>
      </c>
      <c r="X32" s="185">
        <v>37.6</v>
      </c>
      <c r="AA32" s="39" t="str">
        <f t="shared" si="0"/>
        <v>W</v>
      </c>
    </row>
    <row r="33" spans="1:27" x14ac:dyDescent="0.2">
      <c r="A33" s="185" t="s">
        <v>2</v>
      </c>
      <c r="B33" s="185" t="s">
        <v>35</v>
      </c>
      <c r="C33" s="14" t="s">
        <v>618</v>
      </c>
      <c r="D33" s="185">
        <v>149</v>
      </c>
      <c r="E33" s="186">
        <v>43.8</v>
      </c>
      <c r="F33" s="186">
        <v>38.200000000000003</v>
      </c>
      <c r="G33" s="186">
        <v>11.8</v>
      </c>
      <c r="H33" s="190">
        <v>0.63</v>
      </c>
      <c r="I33" s="190">
        <v>0.83</v>
      </c>
      <c r="J33" s="187">
        <v>2.0099999999999998</v>
      </c>
      <c r="K33" s="187">
        <v>7.11</v>
      </c>
      <c r="L33" s="186">
        <v>54.3</v>
      </c>
      <c r="M33" s="185">
        <v>9800</v>
      </c>
      <c r="N33" s="185">
        <v>598</v>
      </c>
      <c r="O33" s="185">
        <v>513</v>
      </c>
      <c r="P33" s="186">
        <v>15</v>
      </c>
      <c r="Q33" s="185">
        <v>229</v>
      </c>
      <c r="R33" s="186">
        <v>62.2</v>
      </c>
      <c r="S33" s="186">
        <v>38.799999999999997</v>
      </c>
      <c r="T33" s="187">
        <v>2.29</v>
      </c>
      <c r="U33" s="187">
        <v>9.36</v>
      </c>
      <c r="V33" s="185">
        <v>80000</v>
      </c>
      <c r="W33" s="185">
        <v>2.89</v>
      </c>
      <c r="X33" s="185">
        <v>37.4</v>
      </c>
      <c r="AA33" s="39" t="str">
        <f t="shared" si="0"/>
        <v>W</v>
      </c>
    </row>
    <row r="34" spans="1:27" x14ac:dyDescent="0.2">
      <c r="A34" s="185" t="s">
        <v>2</v>
      </c>
      <c r="B34" s="185" t="s">
        <v>36</v>
      </c>
      <c r="C34" s="14" t="s">
        <v>618</v>
      </c>
      <c r="D34" s="185">
        <v>925</v>
      </c>
      <c r="E34" s="18">
        <v>272</v>
      </c>
      <c r="F34" s="186">
        <v>43.1</v>
      </c>
      <c r="G34" s="186">
        <v>18.600000000000001</v>
      </c>
      <c r="H34" s="187">
        <v>3.02</v>
      </c>
      <c r="I34" s="187">
        <v>4.53</v>
      </c>
      <c r="J34" s="187">
        <v>5.28</v>
      </c>
      <c r="K34" s="187">
        <v>2.0499999999999998</v>
      </c>
      <c r="L34" s="186">
        <v>10.8</v>
      </c>
      <c r="M34" s="19">
        <v>73000</v>
      </c>
      <c r="N34" s="19">
        <v>4130</v>
      </c>
      <c r="O34" s="19">
        <v>3390</v>
      </c>
      <c r="P34" s="186">
        <v>16.399999999999999</v>
      </c>
      <c r="Q34" s="19">
        <v>4940</v>
      </c>
      <c r="R34" s="19">
        <v>862</v>
      </c>
      <c r="S34" s="19">
        <v>531</v>
      </c>
      <c r="T34" s="20">
        <v>4.26</v>
      </c>
      <c r="U34" s="18">
        <v>1430</v>
      </c>
      <c r="V34" s="19">
        <v>1840000</v>
      </c>
      <c r="W34" s="187">
        <v>5.3</v>
      </c>
      <c r="X34" s="186">
        <v>38.6</v>
      </c>
      <c r="AA34" s="39" t="str">
        <f t="shared" si="0"/>
        <v>W</v>
      </c>
    </row>
    <row r="35" spans="1:27" x14ac:dyDescent="0.2">
      <c r="A35" s="185" t="s">
        <v>2</v>
      </c>
      <c r="B35" s="185" t="s">
        <v>37</v>
      </c>
      <c r="C35" s="14" t="s">
        <v>618</v>
      </c>
      <c r="D35" s="185">
        <v>853</v>
      </c>
      <c r="E35" s="18">
        <v>251</v>
      </c>
      <c r="F35" s="186">
        <v>43.1</v>
      </c>
      <c r="G35" s="186">
        <v>18.2</v>
      </c>
      <c r="H35" s="187">
        <v>2.52</v>
      </c>
      <c r="I35" s="187">
        <v>4.53</v>
      </c>
      <c r="J35" s="187">
        <v>5.28</v>
      </c>
      <c r="K35" s="187">
        <v>2.0099999999999998</v>
      </c>
      <c r="L35" s="186">
        <v>12.9</v>
      </c>
      <c r="M35" s="19">
        <v>70000</v>
      </c>
      <c r="N35" s="19">
        <v>3920</v>
      </c>
      <c r="O35" s="19">
        <v>3250</v>
      </c>
      <c r="P35" s="186">
        <v>16.7</v>
      </c>
      <c r="Q35" s="19">
        <v>4600</v>
      </c>
      <c r="R35" s="19">
        <v>805</v>
      </c>
      <c r="S35" s="19">
        <v>505</v>
      </c>
      <c r="T35" s="20">
        <v>4.28</v>
      </c>
      <c r="U35" s="18">
        <v>1240</v>
      </c>
      <c r="V35" s="19">
        <v>1710000</v>
      </c>
      <c r="W35" s="187">
        <v>5.22</v>
      </c>
      <c r="X35" s="186">
        <v>38.6</v>
      </c>
      <c r="AA35" s="39" t="str">
        <f t="shared" si="0"/>
        <v>W</v>
      </c>
    </row>
    <row r="36" spans="1:27" x14ac:dyDescent="0.2">
      <c r="A36" s="185" t="s">
        <v>2</v>
      </c>
      <c r="B36" s="185" t="s">
        <v>38</v>
      </c>
      <c r="C36" s="14" t="s">
        <v>618</v>
      </c>
      <c r="D36" s="185">
        <v>802</v>
      </c>
      <c r="E36" s="18">
        <v>236</v>
      </c>
      <c r="F36" s="186">
        <v>42.6</v>
      </c>
      <c r="G36" s="186">
        <v>18</v>
      </c>
      <c r="H36" s="187">
        <v>2.38</v>
      </c>
      <c r="I36" s="187">
        <v>4.29</v>
      </c>
      <c r="J36" s="187">
        <v>5.04</v>
      </c>
      <c r="K36" s="187">
        <v>2.1</v>
      </c>
      <c r="L36" s="186">
        <v>13.7</v>
      </c>
      <c r="M36" s="19">
        <v>64800</v>
      </c>
      <c r="N36" s="19">
        <v>3660</v>
      </c>
      <c r="O36" s="19">
        <v>3040</v>
      </c>
      <c r="P36" s="186">
        <v>16.600000000000001</v>
      </c>
      <c r="Q36" s="19">
        <v>4210</v>
      </c>
      <c r="R36" s="19">
        <v>744</v>
      </c>
      <c r="S36" s="19">
        <v>468</v>
      </c>
      <c r="T36" s="20">
        <v>4.22</v>
      </c>
      <c r="U36" s="18">
        <v>1050</v>
      </c>
      <c r="V36" s="19">
        <v>1540000</v>
      </c>
      <c r="W36" s="187">
        <v>5.15</v>
      </c>
      <c r="X36" s="186">
        <v>38.299999999999997</v>
      </c>
      <c r="AA36" s="39" t="str">
        <f t="shared" si="0"/>
        <v>W</v>
      </c>
    </row>
    <row r="37" spans="1:27" x14ac:dyDescent="0.2">
      <c r="A37" s="185" t="s">
        <v>2</v>
      </c>
      <c r="B37" s="185" t="s">
        <v>39</v>
      </c>
      <c r="C37" s="14" t="s">
        <v>618</v>
      </c>
      <c r="D37" s="185">
        <v>723</v>
      </c>
      <c r="E37" s="18">
        <v>213</v>
      </c>
      <c r="F37" s="186">
        <v>41.8</v>
      </c>
      <c r="G37" s="186">
        <v>17.8</v>
      </c>
      <c r="H37" s="187">
        <v>2.17</v>
      </c>
      <c r="I37" s="187">
        <v>3.9</v>
      </c>
      <c r="J37" s="187">
        <v>4.6500000000000004</v>
      </c>
      <c r="K37" s="187">
        <v>2.2799999999999998</v>
      </c>
      <c r="L37" s="186">
        <v>15</v>
      </c>
      <c r="M37" s="19">
        <v>57300</v>
      </c>
      <c r="N37" s="19">
        <v>3270</v>
      </c>
      <c r="O37" s="19">
        <v>2740</v>
      </c>
      <c r="P37" s="186">
        <v>16.399999999999999</v>
      </c>
      <c r="Q37" s="19">
        <v>3700</v>
      </c>
      <c r="R37" s="19">
        <v>658</v>
      </c>
      <c r="S37" s="19">
        <v>416</v>
      </c>
      <c r="T37" s="20">
        <v>4.17</v>
      </c>
      <c r="U37" s="18">
        <v>785</v>
      </c>
      <c r="V37" s="19">
        <v>1330000</v>
      </c>
      <c r="W37" s="187">
        <v>5.0599999999999996</v>
      </c>
      <c r="X37" s="186">
        <v>37.9</v>
      </c>
      <c r="AA37" s="39" t="str">
        <f t="shared" si="0"/>
        <v>W</v>
      </c>
    </row>
    <row r="38" spans="1:27" x14ac:dyDescent="0.2">
      <c r="A38" s="185" t="s">
        <v>2</v>
      </c>
      <c r="B38" s="185" t="s">
        <v>40</v>
      </c>
      <c r="C38" s="14" t="s">
        <v>618</v>
      </c>
      <c r="D38" s="185">
        <v>652</v>
      </c>
      <c r="E38" s="185">
        <v>192</v>
      </c>
      <c r="F38" s="186">
        <v>41.1</v>
      </c>
      <c r="G38" s="186">
        <v>17.600000000000001</v>
      </c>
      <c r="H38" s="187">
        <v>1.97</v>
      </c>
      <c r="I38" s="187">
        <v>3.54</v>
      </c>
      <c r="J38" s="187">
        <v>4.49</v>
      </c>
      <c r="K38" s="187">
        <v>2.48</v>
      </c>
      <c r="L38" s="186">
        <v>16.3</v>
      </c>
      <c r="M38" s="185">
        <v>50600</v>
      </c>
      <c r="N38" s="185">
        <v>2910</v>
      </c>
      <c r="O38" s="185">
        <v>2460</v>
      </c>
      <c r="P38" s="186">
        <v>16.2</v>
      </c>
      <c r="Q38" s="185">
        <v>3230</v>
      </c>
      <c r="R38" s="185">
        <v>581</v>
      </c>
      <c r="S38" s="185">
        <v>367</v>
      </c>
      <c r="T38" s="187">
        <v>4.0999999999999996</v>
      </c>
      <c r="U38" s="185">
        <v>593</v>
      </c>
      <c r="V38" s="185">
        <v>1130000</v>
      </c>
      <c r="W38" s="185">
        <v>4.96</v>
      </c>
      <c r="X38" s="185">
        <v>37.6</v>
      </c>
      <c r="AA38" s="39" t="str">
        <f t="shared" si="0"/>
        <v>W</v>
      </c>
    </row>
    <row r="39" spans="1:27" x14ac:dyDescent="0.2">
      <c r="A39" s="185" t="s">
        <v>2</v>
      </c>
      <c r="B39" s="185" t="s">
        <v>41</v>
      </c>
      <c r="C39" s="14" t="s">
        <v>618</v>
      </c>
      <c r="D39" s="185">
        <v>529</v>
      </c>
      <c r="E39" s="185">
        <v>156</v>
      </c>
      <c r="F39" s="186">
        <v>39.799999999999997</v>
      </c>
      <c r="G39" s="186">
        <v>17.2</v>
      </c>
      <c r="H39" s="187">
        <v>1.61</v>
      </c>
      <c r="I39" s="187">
        <v>2.91</v>
      </c>
      <c r="J39" s="187">
        <v>3.86</v>
      </c>
      <c r="K39" s="187">
        <v>2.96</v>
      </c>
      <c r="L39" s="186">
        <v>19.899999999999999</v>
      </c>
      <c r="M39" s="185">
        <v>39600</v>
      </c>
      <c r="N39" s="185">
        <v>2330</v>
      </c>
      <c r="O39" s="185">
        <v>1990</v>
      </c>
      <c r="P39" s="186">
        <v>16</v>
      </c>
      <c r="Q39" s="185">
        <v>2490</v>
      </c>
      <c r="R39" s="185">
        <v>454</v>
      </c>
      <c r="S39" s="185">
        <v>289</v>
      </c>
      <c r="T39" s="187">
        <v>4</v>
      </c>
      <c r="U39" s="185">
        <v>327</v>
      </c>
      <c r="V39" s="185">
        <v>846000</v>
      </c>
      <c r="W39" s="187">
        <v>4.8</v>
      </c>
      <c r="X39" s="185">
        <v>36.9</v>
      </c>
      <c r="AA39" s="39" t="str">
        <f t="shared" si="0"/>
        <v>W</v>
      </c>
    </row>
    <row r="40" spans="1:27" x14ac:dyDescent="0.2">
      <c r="A40" s="185" t="s">
        <v>2</v>
      </c>
      <c r="B40" s="185" t="s">
        <v>42</v>
      </c>
      <c r="C40" s="14" t="s">
        <v>618</v>
      </c>
      <c r="D40" s="185">
        <v>487</v>
      </c>
      <c r="E40" s="185">
        <v>143</v>
      </c>
      <c r="F40" s="186">
        <v>39.299999999999997</v>
      </c>
      <c r="G40" s="186">
        <v>17.100000000000001</v>
      </c>
      <c r="H40" s="187">
        <v>1.5</v>
      </c>
      <c r="I40" s="187">
        <v>2.68</v>
      </c>
      <c r="J40" s="187">
        <v>3.63</v>
      </c>
      <c r="K40" s="187">
        <v>3.19</v>
      </c>
      <c r="L40" s="186">
        <v>21.4</v>
      </c>
      <c r="M40" s="185">
        <v>36000</v>
      </c>
      <c r="N40" s="185">
        <v>2130</v>
      </c>
      <c r="O40" s="185">
        <v>1830</v>
      </c>
      <c r="P40" s="186">
        <v>15.8</v>
      </c>
      <c r="Q40" s="185">
        <v>2250</v>
      </c>
      <c r="R40" s="185">
        <v>412</v>
      </c>
      <c r="S40" s="185">
        <v>263</v>
      </c>
      <c r="T40" s="187">
        <v>3.96</v>
      </c>
      <c r="U40" s="185">
        <v>258</v>
      </c>
      <c r="V40" s="185">
        <v>754000</v>
      </c>
      <c r="W40" s="185">
        <v>4.74</v>
      </c>
      <c r="X40" s="185">
        <v>36.6</v>
      </c>
      <c r="AA40" s="39" t="str">
        <f t="shared" si="0"/>
        <v>W</v>
      </c>
    </row>
    <row r="41" spans="1:27" x14ac:dyDescent="0.2">
      <c r="A41" s="185" t="s">
        <v>2</v>
      </c>
      <c r="B41" s="185" t="s">
        <v>43</v>
      </c>
      <c r="C41" s="14" t="s">
        <v>618</v>
      </c>
      <c r="D41" s="185">
        <v>441</v>
      </c>
      <c r="E41" s="185">
        <v>130</v>
      </c>
      <c r="F41" s="186">
        <v>38.9</v>
      </c>
      <c r="G41" s="186">
        <v>17</v>
      </c>
      <c r="H41" s="187">
        <v>1.36</v>
      </c>
      <c r="I41" s="187">
        <v>2.44</v>
      </c>
      <c r="J41" s="187">
        <v>3.39</v>
      </c>
      <c r="K41" s="187">
        <v>3.48</v>
      </c>
      <c r="L41" s="186">
        <v>23.6</v>
      </c>
      <c r="M41" s="185">
        <v>32100</v>
      </c>
      <c r="N41" s="185">
        <v>1910</v>
      </c>
      <c r="O41" s="185">
        <v>1650</v>
      </c>
      <c r="P41" s="186">
        <v>15.7</v>
      </c>
      <c r="Q41" s="185">
        <v>1990</v>
      </c>
      <c r="R41" s="185">
        <v>368</v>
      </c>
      <c r="S41" s="185">
        <v>235</v>
      </c>
      <c r="T41" s="187">
        <v>3.92</v>
      </c>
      <c r="U41" s="185">
        <v>194</v>
      </c>
      <c r="V41" s="185">
        <v>661000</v>
      </c>
      <c r="W41" s="185">
        <v>4.6900000000000004</v>
      </c>
      <c r="X41" s="185">
        <v>36.5</v>
      </c>
      <c r="AA41" s="39" t="str">
        <f t="shared" si="0"/>
        <v>W</v>
      </c>
    </row>
    <row r="42" spans="1:27" x14ac:dyDescent="0.2">
      <c r="A42" s="185" t="s">
        <v>2</v>
      </c>
      <c r="B42" s="185" t="s">
        <v>44</v>
      </c>
      <c r="C42" s="14" t="s">
        <v>618</v>
      </c>
      <c r="D42" s="185">
        <v>395</v>
      </c>
      <c r="E42" s="185">
        <v>116</v>
      </c>
      <c r="F42" s="186">
        <v>38.4</v>
      </c>
      <c r="G42" s="186">
        <v>16.8</v>
      </c>
      <c r="H42" s="187">
        <v>1.22</v>
      </c>
      <c r="I42" s="187">
        <v>2.2000000000000002</v>
      </c>
      <c r="J42" s="187">
        <v>3.15</v>
      </c>
      <c r="K42" s="187">
        <v>3.83</v>
      </c>
      <c r="L42" s="186">
        <v>26.3</v>
      </c>
      <c r="M42" s="185">
        <v>28500</v>
      </c>
      <c r="N42" s="185">
        <v>1710</v>
      </c>
      <c r="O42" s="185">
        <v>1490</v>
      </c>
      <c r="P42" s="186">
        <v>15.7</v>
      </c>
      <c r="Q42" s="185">
        <v>1750</v>
      </c>
      <c r="R42" s="185">
        <v>325</v>
      </c>
      <c r="S42" s="185">
        <v>208</v>
      </c>
      <c r="T42" s="187">
        <v>3.88</v>
      </c>
      <c r="U42" s="185">
        <v>142</v>
      </c>
      <c r="V42" s="185">
        <v>575000</v>
      </c>
      <c r="W42" s="185">
        <v>4.6100000000000003</v>
      </c>
      <c r="X42" s="185">
        <v>36.200000000000003</v>
      </c>
      <c r="AA42" s="39" t="str">
        <f t="shared" si="0"/>
        <v>W</v>
      </c>
    </row>
    <row r="43" spans="1:27" x14ac:dyDescent="0.2">
      <c r="A43" s="185" t="s">
        <v>2</v>
      </c>
      <c r="B43" s="185" t="s">
        <v>45</v>
      </c>
      <c r="C43" s="14" t="s">
        <v>618</v>
      </c>
      <c r="D43" s="185">
        <v>361</v>
      </c>
      <c r="E43" s="185">
        <v>106</v>
      </c>
      <c r="F43" s="186">
        <v>38</v>
      </c>
      <c r="G43" s="186">
        <v>16.7</v>
      </c>
      <c r="H43" s="187">
        <v>1.1200000000000001</v>
      </c>
      <c r="I43" s="187">
        <v>2.0099999999999998</v>
      </c>
      <c r="J43" s="187">
        <v>2.96</v>
      </c>
      <c r="K43" s="187">
        <v>4.16</v>
      </c>
      <c r="L43" s="186">
        <v>28.6</v>
      </c>
      <c r="M43" s="185">
        <v>25700</v>
      </c>
      <c r="N43" s="185">
        <v>1550</v>
      </c>
      <c r="O43" s="185">
        <v>1350</v>
      </c>
      <c r="P43" s="186">
        <v>15.6</v>
      </c>
      <c r="Q43" s="185">
        <v>1570</v>
      </c>
      <c r="R43" s="185">
        <v>293</v>
      </c>
      <c r="S43" s="185">
        <v>188</v>
      </c>
      <c r="T43" s="187">
        <v>3.85</v>
      </c>
      <c r="U43" s="185">
        <v>109</v>
      </c>
      <c r="V43" s="185">
        <v>509000</v>
      </c>
      <c r="W43" s="185">
        <v>4.58</v>
      </c>
      <c r="X43" s="186">
        <v>36</v>
      </c>
      <c r="AA43" s="39" t="str">
        <f t="shared" si="0"/>
        <v>W</v>
      </c>
    </row>
    <row r="44" spans="1:27" x14ac:dyDescent="0.2">
      <c r="A44" s="185" t="s">
        <v>2</v>
      </c>
      <c r="B44" s="185" t="s">
        <v>46</v>
      </c>
      <c r="C44" s="14" t="s">
        <v>618</v>
      </c>
      <c r="D44" s="185">
        <v>330</v>
      </c>
      <c r="E44" s="186">
        <v>96.9</v>
      </c>
      <c r="F44" s="186">
        <v>37.700000000000003</v>
      </c>
      <c r="G44" s="186">
        <v>16.600000000000001</v>
      </c>
      <c r="H44" s="187">
        <v>1.02</v>
      </c>
      <c r="I44" s="187">
        <v>1.85</v>
      </c>
      <c r="J44" s="187">
        <v>2.8</v>
      </c>
      <c r="K44" s="187">
        <v>4.49</v>
      </c>
      <c r="L44" s="186">
        <v>31.4</v>
      </c>
      <c r="M44" s="185">
        <v>23300</v>
      </c>
      <c r="N44" s="185">
        <v>1410</v>
      </c>
      <c r="O44" s="185">
        <v>1240</v>
      </c>
      <c r="P44" s="186">
        <v>15.5</v>
      </c>
      <c r="Q44" s="185">
        <v>1420</v>
      </c>
      <c r="R44" s="185">
        <v>265</v>
      </c>
      <c r="S44" s="185">
        <v>171</v>
      </c>
      <c r="T44" s="187">
        <v>3.83</v>
      </c>
      <c r="U44" s="186">
        <v>84.3</v>
      </c>
      <c r="V44" s="185">
        <v>456000</v>
      </c>
      <c r="W44" s="185">
        <v>4.53</v>
      </c>
      <c r="X44" s="185">
        <v>35.9</v>
      </c>
      <c r="AA44" s="39" t="str">
        <f t="shared" si="0"/>
        <v>W</v>
      </c>
    </row>
    <row r="45" spans="1:27" x14ac:dyDescent="0.2">
      <c r="A45" s="185" t="s">
        <v>2</v>
      </c>
      <c r="B45" s="185" t="s">
        <v>47</v>
      </c>
      <c r="C45" s="14" t="s">
        <v>618</v>
      </c>
      <c r="D45" s="185">
        <v>302</v>
      </c>
      <c r="E45" s="186">
        <v>89</v>
      </c>
      <c r="F45" s="186">
        <v>37.299999999999997</v>
      </c>
      <c r="G45" s="186">
        <v>16.7</v>
      </c>
      <c r="H45" s="190">
        <v>0.94499999999999995</v>
      </c>
      <c r="I45" s="187">
        <v>1.68</v>
      </c>
      <c r="J45" s="187">
        <v>2.63</v>
      </c>
      <c r="K45" s="187">
        <v>4.96</v>
      </c>
      <c r="L45" s="186">
        <v>33.9</v>
      </c>
      <c r="M45" s="185">
        <v>21100</v>
      </c>
      <c r="N45" s="185">
        <v>1280</v>
      </c>
      <c r="O45" s="185">
        <v>1130</v>
      </c>
      <c r="P45" s="186">
        <v>15.4</v>
      </c>
      <c r="Q45" s="185">
        <v>1300</v>
      </c>
      <c r="R45" s="185">
        <v>241</v>
      </c>
      <c r="S45" s="185">
        <v>156</v>
      </c>
      <c r="T45" s="187">
        <v>3.82</v>
      </c>
      <c r="U45" s="186">
        <v>64.3</v>
      </c>
      <c r="V45" s="185">
        <v>412000</v>
      </c>
      <c r="W45" s="185">
        <v>4.53</v>
      </c>
      <c r="X45" s="185">
        <v>35.6</v>
      </c>
      <c r="AA45" s="39" t="str">
        <f t="shared" si="0"/>
        <v>W</v>
      </c>
    </row>
    <row r="46" spans="1:27" x14ac:dyDescent="0.2">
      <c r="A46" s="185" t="s">
        <v>2</v>
      </c>
      <c r="B46" s="185" t="s">
        <v>48</v>
      </c>
      <c r="C46" s="14" t="s">
        <v>618</v>
      </c>
      <c r="D46" s="185">
        <v>282</v>
      </c>
      <c r="E46" s="186">
        <v>82.9</v>
      </c>
      <c r="F46" s="186">
        <v>37.1</v>
      </c>
      <c r="G46" s="186">
        <v>16.600000000000001</v>
      </c>
      <c r="H46" s="190">
        <v>0.88500000000000001</v>
      </c>
      <c r="I46" s="187">
        <v>1.57</v>
      </c>
      <c r="J46" s="187">
        <v>2.52</v>
      </c>
      <c r="K46" s="187">
        <v>5.29</v>
      </c>
      <c r="L46" s="186">
        <v>36.200000000000003</v>
      </c>
      <c r="M46" s="185">
        <v>19600</v>
      </c>
      <c r="N46" s="185">
        <v>1190</v>
      </c>
      <c r="O46" s="185">
        <v>1050</v>
      </c>
      <c r="P46" s="186">
        <v>15.4</v>
      </c>
      <c r="Q46" s="185">
        <v>1200</v>
      </c>
      <c r="R46" s="185">
        <v>223</v>
      </c>
      <c r="S46" s="185">
        <v>144</v>
      </c>
      <c r="T46" s="187">
        <v>3.8</v>
      </c>
      <c r="U46" s="186">
        <v>52.7</v>
      </c>
      <c r="V46" s="185">
        <v>378000</v>
      </c>
      <c r="W46" s="187">
        <v>4.5</v>
      </c>
      <c r="X46" s="185">
        <v>35.5</v>
      </c>
      <c r="AA46" s="39" t="str">
        <f t="shared" si="0"/>
        <v>W</v>
      </c>
    </row>
    <row r="47" spans="1:27" x14ac:dyDescent="0.2">
      <c r="A47" s="185" t="s">
        <v>2</v>
      </c>
      <c r="B47" s="185" t="s">
        <v>49</v>
      </c>
      <c r="C47" s="14" t="s">
        <v>618</v>
      </c>
      <c r="D47" s="185">
        <v>262</v>
      </c>
      <c r="E47" s="186">
        <v>77.2</v>
      </c>
      <c r="F47" s="186">
        <v>36.9</v>
      </c>
      <c r="G47" s="186">
        <v>16.600000000000001</v>
      </c>
      <c r="H47" s="190">
        <v>0.84</v>
      </c>
      <c r="I47" s="187">
        <v>1.44</v>
      </c>
      <c r="J47" s="187">
        <v>2.39</v>
      </c>
      <c r="K47" s="187">
        <v>5.75</v>
      </c>
      <c r="L47" s="186">
        <v>38.200000000000003</v>
      </c>
      <c r="M47" s="185">
        <v>17900</v>
      </c>
      <c r="N47" s="185">
        <v>1100</v>
      </c>
      <c r="O47" s="185">
        <v>972</v>
      </c>
      <c r="P47" s="186">
        <v>15.3</v>
      </c>
      <c r="Q47" s="185">
        <v>1090</v>
      </c>
      <c r="R47" s="185">
        <v>204</v>
      </c>
      <c r="S47" s="185">
        <v>132</v>
      </c>
      <c r="T47" s="187">
        <v>3.76</v>
      </c>
      <c r="U47" s="186">
        <v>41.6</v>
      </c>
      <c r="V47" s="185">
        <v>342000</v>
      </c>
      <c r="W47" s="185">
        <v>4.46</v>
      </c>
      <c r="X47" s="185">
        <v>35.5</v>
      </c>
      <c r="AA47" s="39" t="str">
        <f t="shared" si="0"/>
        <v>W</v>
      </c>
    </row>
    <row r="48" spans="1:27" x14ac:dyDescent="0.2">
      <c r="A48" s="185" t="s">
        <v>2</v>
      </c>
      <c r="B48" s="185" t="s">
        <v>50</v>
      </c>
      <c r="C48" s="14" t="s">
        <v>618</v>
      </c>
      <c r="D48" s="185">
        <v>247</v>
      </c>
      <c r="E48" s="186">
        <v>72.5</v>
      </c>
      <c r="F48" s="186">
        <v>36.700000000000003</v>
      </c>
      <c r="G48" s="186">
        <v>16.5</v>
      </c>
      <c r="H48" s="190">
        <v>0.8</v>
      </c>
      <c r="I48" s="187">
        <v>1.35</v>
      </c>
      <c r="J48" s="187">
        <v>2.2999999999999998</v>
      </c>
      <c r="K48" s="187">
        <v>6.11</v>
      </c>
      <c r="L48" s="186">
        <v>40.1</v>
      </c>
      <c r="M48" s="185">
        <v>16700</v>
      </c>
      <c r="N48" s="185">
        <v>1030</v>
      </c>
      <c r="O48" s="185">
        <v>913</v>
      </c>
      <c r="P48" s="186">
        <v>15.2</v>
      </c>
      <c r="Q48" s="185">
        <v>1010</v>
      </c>
      <c r="R48" s="185">
        <v>190</v>
      </c>
      <c r="S48" s="185">
        <v>123</v>
      </c>
      <c r="T48" s="187">
        <v>3.74</v>
      </c>
      <c r="U48" s="186">
        <v>34.700000000000003</v>
      </c>
      <c r="V48" s="185">
        <v>316000</v>
      </c>
      <c r="W48" s="185">
        <v>4.42</v>
      </c>
      <c r="X48" s="185">
        <v>35.4</v>
      </c>
      <c r="AA48" s="39" t="str">
        <f t="shared" si="0"/>
        <v>W</v>
      </c>
    </row>
    <row r="49" spans="1:27" x14ac:dyDescent="0.2">
      <c r="A49" s="185" t="s">
        <v>2</v>
      </c>
      <c r="B49" s="185" t="s">
        <v>51</v>
      </c>
      <c r="C49" s="14" t="s">
        <v>618</v>
      </c>
      <c r="D49" s="185">
        <v>231</v>
      </c>
      <c r="E49" s="186">
        <v>68.2</v>
      </c>
      <c r="F49" s="186">
        <v>36.5</v>
      </c>
      <c r="G49" s="186">
        <v>16.5</v>
      </c>
      <c r="H49" s="190">
        <v>0.76</v>
      </c>
      <c r="I49" s="187">
        <v>1.26</v>
      </c>
      <c r="J49" s="187">
        <v>2.21</v>
      </c>
      <c r="K49" s="187">
        <v>6.54</v>
      </c>
      <c r="L49" s="186">
        <v>42.2</v>
      </c>
      <c r="M49" s="185">
        <v>15600</v>
      </c>
      <c r="N49" s="185">
        <v>963</v>
      </c>
      <c r="O49" s="185">
        <v>854</v>
      </c>
      <c r="P49" s="186">
        <v>15.1</v>
      </c>
      <c r="Q49" s="185">
        <v>940</v>
      </c>
      <c r="R49" s="185">
        <v>176</v>
      </c>
      <c r="S49" s="185">
        <v>114</v>
      </c>
      <c r="T49" s="187">
        <v>3.71</v>
      </c>
      <c r="U49" s="186">
        <v>28.7</v>
      </c>
      <c r="V49" s="185">
        <v>292000</v>
      </c>
      <c r="W49" s="187">
        <v>4.4000000000000004</v>
      </c>
      <c r="X49" s="185">
        <v>35.200000000000003</v>
      </c>
      <c r="AA49" s="39" t="str">
        <f t="shared" si="0"/>
        <v>W</v>
      </c>
    </row>
    <row r="50" spans="1:27" x14ac:dyDescent="0.2">
      <c r="A50" s="185" t="s">
        <v>2</v>
      </c>
      <c r="B50" s="185" t="s">
        <v>1862</v>
      </c>
      <c r="C50" s="14" t="s">
        <v>1859</v>
      </c>
      <c r="D50" s="185">
        <v>387</v>
      </c>
      <c r="E50" s="186">
        <v>114</v>
      </c>
      <c r="F50" s="186">
        <v>39.1</v>
      </c>
      <c r="G50" s="186">
        <v>12.7</v>
      </c>
      <c r="H50" s="190">
        <v>1.42</v>
      </c>
      <c r="I50" s="187">
        <v>2.56</v>
      </c>
      <c r="J50" s="187">
        <v>3.31</v>
      </c>
      <c r="K50" s="187">
        <v>2.48</v>
      </c>
      <c r="L50" s="186">
        <v>22.9</v>
      </c>
      <c r="M50" s="185">
        <v>26500</v>
      </c>
      <c r="N50" s="185">
        <v>1610</v>
      </c>
      <c r="O50" s="185">
        <v>1360</v>
      </c>
      <c r="P50" s="186">
        <v>15.2</v>
      </c>
      <c r="Q50" s="185">
        <v>882</v>
      </c>
      <c r="R50" s="185">
        <v>224</v>
      </c>
      <c r="S50" s="185">
        <v>139</v>
      </c>
      <c r="T50" s="187">
        <v>2.78</v>
      </c>
      <c r="U50" s="186">
        <v>172</v>
      </c>
      <c r="V50" s="185">
        <v>294000</v>
      </c>
      <c r="W50" s="187">
        <v>3.44</v>
      </c>
      <c r="X50" s="185">
        <v>36.5</v>
      </c>
      <c r="AA50" s="39" t="str">
        <f t="shared" si="0"/>
        <v>W</v>
      </c>
    </row>
    <row r="51" spans="1:27" x14ac:dyDescent="0.2">
      <c r="A51" s="185" t="s">
        <v>2</v>
      </c>
      <c r="B51" s="185" t="s">
        <v>1863</v>
      </c>
      <c r="C51" s="14" t="s">
        <v>1859</v>
      </c>
      <c r="D51" s="185">
        <v>350</v>
      </c>
      <c r="E51" s="186">
        <v>103</v>
      </c>
      <c r="F51" s="186">
        <v>38.6</v>
      </c>
      <c r="G51" s="186">
        <v>12.6</v>
      </c>
      <c r="H51" s="190">
        <v>1.3</v>
      </c>
      <c r="I51" s="187">
        <v>2.3199999999999998</v>
      </c>
      <c r="J51" s="187">
        <v>3.07</v>
      </c>
      <c r="K51" s="187">
        <v>2.72</v>
      </c>
      <c r="L51" s="186">
        <v>25</v>
      </c>
      <c r="M51" s="185">
        <v>23600</v>
      </c>
      <c r="N51" s="185">
        <v>1440</v>
      </c>
      <c r="O51" s="185">
        <v>1220</v>
      </c>
      <c r="P51" s="186">
        <v>15.1</v>
      </c>
      <c r="Q51" s="185">
        <v>780</v>
      </c>
      <c r="R51" s="185">
        <v>199</v>
      </c>
      <c r="S51" s="185">
        <v>124</v>
      </c>
      <c r="T51" s="187">
        <v>2.75</v>
      </c>
      <c r="U51" s="186">
        <v>129</v>
      </c>
      <c r="V51" s="185">
        <v>257000</v>
      </c>
      <c r="W51" s="187">
        <v>3.41</v>
      </c>
      <c r="X51" s="185">
        <v>36.299999999999997</v>
      </c>
      <c r="AA51" s="39" t="str">
        <f t="shared" si="0"/>
        <v>W</v>
      </c>
    </row>
    <row r="52" spans="1:27" x14ac:dyDescent="0.2">
      <c r="A52" s="185" t="s">
        <v>2</v>
      </c>
      <c r="B52" s="185" t="s">
        <v>1864</v>
      </c>
      <c r="C52" s="14" t="s">
        <v>1859</v>
      </c>
      <c r="D52" s="185">
        <v>318</v>
      </c>
      <c r="E52" s="186">
        <v>93.4</v>
      </c>
      <c r="F52" s="186">
        <v>38.200000000000003</v>
      </c>
      <c r="G52" s="186">
        <v>12.4</v>
      </c>
      <c r="H52" s="190">
        <v>1.18</v>
      </c>
      <c r="I52" s="187">
        <v>2.13</v>
      </c>
      <c r="J52" s="187">
        <v>2.88</v>
      </c>
      <c r="K52" s="187">
        <v>2.91</v>
      </c>
      <c r="L52" s="186">
        <v>27.5</v>
      </c>
      <c r="M52" s="185">
        <v>21200</v>
      </c>
      <c r="N52" s="185">
        <v>1300</v>
      </c>
      <c r="O52" s="185">
        <v>1110</v>
      </c>
      <c r="P52" s="186">
        <v>15.1</v>
      </c>
      <c r="Q52" s="185">
        <v>682</v>
      </c>
      <c r="R52" s="185">
        <v>176</v>
      </c>
      <c r="S52" s="185">
        <v>110</v>
      </c>
      <c r="T52" s="187">
        <v>2.7</v>
      </c>
      <c r="U52" s="186">
        <v>98.3</v>
      </c>
      <c r="V52" s="185">
        <v>222000</v>
      </c>
      <c r="W52" s="187">
        <v>3.33</v>
      </c>
      <c r="X52" s="185">
        <v>36.1</v>
      </c>
      <c r="AA52" s="39" t="str">
        <f t="shared" si="0"/>
        <v>W</v>
      </c>
    </row>
    <row r="53" spans="1:27" x14ac:dyDescent="0.2">
      <c r="A53" s="185" t="s">
        <v>2</v>
      </c>
      <c r="B53" s="185" t="s">
        <v>1865</v>
      </c>
      <c r="C53" s="14" t="s">
        <v>1859</v>
      </c>
      <c r="D53" s="185">
        <v>286</v>
      </c>
      <c r="E53" s="186">
        <v>83.9</v>
      </c>
      <c r="F53" s="186">
        <v>37.799999999999997</v>
      </c>
      <c r="G53" s="186">
        <v>12.3</v>
      </c>
      <c r="H53" s="190">
        <v>1.06</v>
      </c>
      <c r="I53" s="187">
        <v>1.93</v>
      </c>
      <c r="J53" s="187">
        <v>2.68</v>
      </c>
      <c r="K53" s="187">
        <v>3.19</v>
      </c>
      <c r="L53" s="186">
        <v>30.6</v>
      </c>
      <c r="M53" s="185">
        <v>18900</v>
      </c>
      <c r="N53" s="185">
        <v>1160</v>
      </c>
      <c r="O53" s="185">
        <v>1000</v>
      </c>
      <c r="P53" s="186">
        <v>15</v>
      </c>
      <c r="Q53" s="185">
        <v>602</v>
      </c>
      <c r="R53" s="185">
        <v>156</v>
      </c>
      <c r="S53" s="185">
        <v>97.9</v>
      </c>
      <c r="T53" s="187">
        <v>2.68</v>
      </c>
      <c r="U53" s="186">
        <v>72.8</v>
      </c>
      <c r="V53" s="185">
        <v>194000</v>
      </c>
      <c r="W53" s="187">
        <v>3.29</v>
      </c>
      <c r="X53" s="185">
        <v>35.9</v>
      </c>
      <c r="AA53" s="39" t="str">
        <f t="shared" si="0"/>
        <v>W</v>
      </c>
    </row>
    <row r="54" spans="1:27" x14ac:dyDescent="0.2">
      <c r="A54" s="185" t="s">
        <v>2</v>
      </c>
      <c r="B54" s="185" t="s">
        <v>52</v>
      </c>
      <c r="C54" s="14" t="s">
        <v>618</v>
      </c>
      <c r="D54" s="185">
        <v>256</v>
      </c>
      <c r="E54" s="186">
        <v>75.3</v>
      </c>
      <c r="F54" s="186">
        <v>37.4</v>
      </c>
      <c r="G54" s="186">
        <v>12.2</v>
      </c>
      <c r="H54" s="190">
        <v>0.96</v>
      </c>
      <c r="I54" s="187">
        <v>1.73</v>
      </c>
      <c r="J54" s="188">
        <v>2.48</v>
      </c>
      <c r="K54" s="187">
        <v>3.53</v>
      </c>
      <c r="L54" s="186">
        <v>33.799999999999997</v>
      </c>
      <c r="M54" s="185">
        <v>16800</v>
      </c>
      <c r="N54" s="185">
        <v>1040</v>
      </c>
      <c r="O54" s="185">
        <v>895</v>
      </c>
      <c r="P54" s="186">
        <v>14.9</v>
      </c>
      <c r="Q54" s="185">
        <v>528</v>
      </c>
      <c r="R54" s="185">
        <v>137</v>
      </c>
      <c r="S54" s="186">
        <v>86.5</v>
      </c>
      <c r="T54" s="187">
        <v>2.65</v>
      </c>
      <c r="U54" s="186">
        <v>52.9</v>
      </c>
      <c r="V54" s="185">
        <v>168000</v>
      </c>
      <c r="W54" s="187">
        <v>3.24</v>
      </c>
      <c r="X54" s="185">
        <v>35.700000000000003</v>
      </c>
      <c r="AA54" s="39" t="str">
        <f t="shared" si="0"/>
        <v>W</v>
      </c>
    </row>
    <row r="55" spans="1:27" x14ac:dyDescent="0.2">
      <c r="A55" s="185" t="s">
        <v>2</v>
      </c>
      <c r="B55" s="185" t="s">
        <v>53</v>
      </c>
      <c r="C55" s="14" t="s">
        <v>618</v>
      </c>
      <c r="D55" s="185">
        <v>232</v>
      </c>
      <c r="E55" s="186">
        <v>68</v>
      </c>
      <c r="F55" s="186">
        <v>37.1</v>
      </c>
      <c r="G55" s="186">
        <v>12.1</v>
      </c>
      <c r="H55" s="190">
        <v>0.87</v>
      </c>
      <c r="I55" s="187">
        <v>1.57</v>
      </c>
      <c r="J55" s="188">
        <v>2.3199999999999998</v>
      </c>
      <c r="K55" s="187">
        <v>3.86</v>
      </c>
      <c r="L55" s="186">
        <v>37.299999999999997</v>
      </c>
      <c r="M55" s="185">
        <v>15000</v>
      </c>
      <c r="N55" s="185">
        <v>936</v>
      </c>
      <c r="O55" s="185">
        <v>809</v>
      </c>
      <c r="P55" s="186">
        <v>14.8</v>
      </c>
      <c r="Q55" s="185">
        <v>468</v>
      </c>
      <c r="R55" s="185">
        <v>122</v>
      </c>
      <c r="S55" s="186">
        <v>77.2</v>
      </c>
      <c r="T55" s="187">
        <v>2.62</v>
      </c>
      <c r="U55" s="186">
        <v>39.6</v>
      </c>
      <c r="V55" s="185">
        <v>148000</v>
      </c>
      <c r="W55" s="187">
        <v>3.21</v>
      </c>
      <c r="X55" s="185">
        <v>35.5</v>
      </c>
      <c r="AA55" s="39" t="str">
        <f t="shared" si="0"/>
        <v>W</v>
      </c>
    </row>
    <row r="56" spans="1:27" x14ac:dyDescent="0.2">
      <c r="A56" s="185" t="s">
        <v>2</v>
      </c>
      <c r="B56" s="185" t="s">
        <v>54</v>
      </c>
      <c r="C56" s="14" t="s">
        <v>618</v>
      </c>
      <c r="D56" s="185">
        <v>210</v>
      </c>
      <c r="E56" s="186">
        <v>61.9</v>
      </c>
      <c r="F56" s="186">
        <v>36.700000000000003</v>
      </c>
      <c r="G56" s="186">
        <v>12.2</v>
      </c>
      <c r="H56" s="190">
        <v>0.83</v>
      </c>
      <c r="I56" s="187">
        <v>1.36</v>
      </c>
      <c r="J56" s="188">
        <v>2.11</v>
      </c>
      <c r="K56" s="187">
        <v>4.4800000000000004</v>
      </c>
      <c r="L56" s="192">
        <v>39.1</v>
      </c>
      <c r="M56" s="189">
        <v>13200</v>
      </c>
      <c r="N56" s="189">
        <v>833</v>
      </c>
      <c r="O56" s="189">
        <v>719</v>
      </c>
      <c r="P56" s="192">
        <v>14.6</v>
      </c>
      <c r="Q56" s="189">
        <v>411</v>
      </c>
      <c r="R56" s="189">
        <v>107</v>
      </c>
      <c r="S56" s="192">
        <v>67.5</v>
      </c>
      <c r="T56" s="188">
        <v>2.58</v>
      </c>
      <c r="U56" s="192">
        <v>28</v>
      </c>
      <c r="V56" s="189">
        <v>128000</v>
      </c>
      <c r="W56" s="187">
        <v>3.18</v>
      </c>
      <c r="X56" s="185">
        <v>35.299999999999997</v>
      </c>
      <c r="AA56" s="39" t="str">
        <f t="shared" si="0"/>
        <v>W</v>
      </c>
    </row>
    <row r="57" spans="1:27" x14ac:dyDescent="0.2">
      <c r="A57" s="185" t="s">
        <v>2</v>
      </c>
      <c r="B57" s="185" t="s">
        <v>55</v>
      </c>
      <c r="C57" s="14" t="s">
        <v>618</v>
      </c>
      <c r="D57" s="185">
        <v>194</v>
      </c>
      <c r="E57" s="186">
        <v>57</v>
      </c>
      <c r="F57" s="186">
        <v>36.5</v>
      </c>
      <c r="G57" s="186">
        <v>12.1</v>
      </c>
      <c r="H57" s="190">
        <v>0.76500000000000001</v>
      </c>
      <c r="I57" s="187">
        <v>1.26</v>
      </c>
      <c r="J57" s="188">
        <v>2.0099999999999998</v>
      </c>
      <c r="K57" s="187">
        <v>4.8099999999999996</v>
      </c>
      <c r="L57" s="192">
        <v>42.4</v>
      </c>
      <c r="M57" s="189">
        <v>12100</v>
      </c>
      <c r="N57" s="189">
        <v>767</v>
      </c>
      <c r="O57" s="189">
        <v>664</v>
      </c>
      <c r="P57" s="192">
        <v>14.6</v>
      </c>
      <c r="Q57" s="189">
        <v>375</v>
      </c>
      <c r="R57" s="192">
        <v>97.7</v>
      </c>
      <c r="S57" s="192">
        <v>61.9</v>
      </c>
      <c r="T57" s="188">
        <v>2.56</v>
      </c>
      <c r="U57" s="192">
        <v>22.2</v>
      </c>
      <c r="V57" s="189">
        <v>116000</v>
      </c>
      <c r="W57" s="187">
        <v>3.15</v>
      </c>
      <c r="X57" s="185">
        <v>35.200000000000003</v>
      </c>
      <c r="AA57" s="39" t="str">
        <f t="shared" si="0"/>
        <v>W</v>
      </c>
    </row>
    <row r="58" spans="1:27" x14ac:dyDescent="0.2">
      <c r="A58" s="185" t="s">
        <v>2</v>
      </c>
      <c r="B58" s="185" t="s">
        <v>56</v>
      </c>
      <c r="C58" s="14" t="s">
        <v>618</v>
      </c>
      <c r="D58" s="185">
        <v>182</v>
      </c>
      <c r="E58" s="186">
        <v>53.6</v>
      </c>
      <c r="F58" s="186">
        <v>36.299999999999997</v>
      </c>
      <c r="G58" s="186">
        <v>12.1</v>
      </c>
      <c r="H58" s="190">
        <v>0.72499999999999998</v>
      </c>
      <c r="I58" s="187">
        <v>1.18</v>
      </c>
      <c r="J58" s="188">
        <v>1.93</v>
      </c>
      <c r="K58" s="187">
        <v>5.12</v>
      </c>
      <c r="L58" s="192">
        <v>44.8</v>
      </c>
      <c r="M58" s="189">
        <v>11300</v>
      </c>
      <c r="N58" s="189">
        <v>718</v>
      </c>
      <c r="O58" s="189">
        <v>623</v>
      </c>
      <c r="P58" s="192">
        <v>14.5</v>
      </c>
      <c r="Q58" s="189">
        <v>347</v>
      </c>
      <c r="R58" s="192">
        <v>90.7</v>
      </c>
      <c r="S58" s="192">
        <v>57.6</v>
      </c>
      <c r="T58" s="188">
        <v>2.5499999999999998</v>
      </c>
      <c r="U58" s="192">
        <v>18.5</v>
      </c>
      <c r="V58" s="189">
        <v>107000</v>
      </c>
      <c r="W58" s="187">
        <v>3.13</v>
      </c>
      <c r="X58" s="185">
        <v>35.1</v>
      </c>
      <c r="AA58" s="39" t="str">
        <f t="shared" si="0"/>
        <v>W</v>
      </c>
    </row>
    <row r="59" spans="1:27" x14ac:dyDescent="0.2">
      <c r="A59" s="185" t="s">
        <v>2</v>
      </c>
      <c r="B59" s="185" t="s">
        <v>57</v>
      </c>
      <c r="C59" s="14" t="s">
        <v>618</v>
      </c>
      <c r="D59" s="185">
        <v>170</v>
      </c>
      <c r="E59" s="186">
        <v>50</v>
      </c>
      <c r="F59" s="186">
        <v>36.200000000000003</v>
      </c>
      <c r="G59" s="186">
        <v>12</v>
      </c>
      <c r="H59" s="190">
        <v>0.68</v>
      </c>
      <c r="I59" s="187">
        <v>1.1000000000000001</v>
      </c>
      <c r="J59" s="188">
        <v>1.85</v>
      </c>
      <c r="K59" s="187">
        <v>5.47</v>
      </c>
      <c r="L59" s="192">
        <v>47.7</v>
      </c>
      <c r="M59" s="189">
        <v>10500</v>
      </c>
      <c r="N59" s="189">
        <v>668</v>
      </c>
      <c r="O59" s="189">
        <v>581</v>
      </c>
      <c r="P59" s="192">
        <v>14.5</v>
      </c>
      <c r="Q59" s="189">
        <v>320</v>
      </c>
      <c r="R59" s="192">
        <v>83.8</v>
      </c>
      <c r="S59" s="192">
        <v>53.2</v>
      </c>
      <c r="T59" s="188">
        <v>2.5299999999999998</v>
      </c>
      <c r="U59" s="192">
        <v>15.1</v>
      </c>
      <c r="V59" s="189">
        <v>98500</v>
      </c>
      <c r="W59" s="187">
        <v>3.11</v>
      </c>
      <c r="X59" s="185">
        <v>35.1</v>
      </c>
      <c r="AA59" s="39" t="str">
        <f t="shared" si="0"/>
        <v>W</v>
      </c>
    </row>
    <row r="60" spans="1:27" x14ac:dyDescent="0.2">
      <c r="A60" s="185" t="s">
        <v>2</v>
      </c>
      <c r="B60" s="185" t="s">
        <v>58</v>
      </c>
      <c r="C60" s="14" t="s">
        <v>618</v>
      </c>
      <c r="D60" s="185">
        <v>160</v>
      </c>
      <c r="E60" s="186">
        <v>47</v>
      </c>
      <c r="F60" s="186">
        <v>36</v>
      </c>
      <c r="G60" s="186">
        <v>12</v>
      </c>
      <c r="H60" s="190">
        <v>0.65</v>
      </c>
      <c r="I60" s="187">
        <v>1.02</v>
      </c>
      <c r="J60" s="188">
        <v>1.77</v>
      </c>
      <c r="K60" s="187">
        <v>5.88</v>
      </c>
      <c r="L60" s="192">
        <v>49.9</v>
      </c>
      <c r="M60" s="189">
        <v>9760</v>
      </c>
      <c r="N60" s="189">
        <v>624</v>
      </c>
      <c r="O60" s="189">
        <v>542</v>
      </c>
      <c r="P60" s="192">
        <v>14.4</v>
      </c>
      <c r="Q60" s="189">
        <v>295</v>
      </c>
      <c r="R60" s="192">
        <v>77.3</v>
      </c>
      <c r="S60" s="192">
        <v>49.1</v>
      </c>
      <c r="T60" s="188">
        <v>2.5</v>
      </c>
      <c r="U60" s="192">
        <v>12.4</v>
      </c>
      <c r="V60" s="189">
        <v>90200</v>
      </c>
      <c r="W60" s="187">
        <v>3.09</v>
      </c>
      <c r="X60" s="186">
        <v>35</v>
      </c>
      <c r="AA60" s="39" t="str">
        <f t="shared" si="0"/>
        <v>W</v>
      </c>
    </row>
    <row r="61" spans="1:27" x14ac:dyDescent="0.2">
      <c r="A61" s="185" t="s">
        <v>2</v>
      </c>
      <c r="B61" s="185" t="s">
        <v>59</v>
      </c>
      <c r="C61" s="14" t="s">
        <v>618</v>
      </c>
      <c r="D61" s="185">
        <v>150</v>
      </c>
      <c r="E61" s="186">
        <v>44.3</v>
      </c>
      <c r="F61" s="186">
        <v>35.9</v>
      </c>
      <c r="G61" s="186">
        <v>12</v>
      </c>
      <c r="H61" s="190">
        <v>0.625</v>
      </c>
      <c r="I61" s="190">
        <v>0.94</v>
      </c>
      <c r="J61" s="188">
        <v>1.69</v>
      </c>
      <c r="K61" s="187">
        <v>6.37</v>
      </c>
      <c r="L61" s="192">
        <v>51.9</v>
      </c>
      <c r="M61" s="189">
        <v>9040</v>
      </c>
      <c r="N61" s="189">
        <v>581</v>
      </c>
      <c r="O61" s="189">
        <v>504</v>
      </c>
      <c r="P61" s="192">
        <v>14.3</v>
      </c>
      <c r="Q61" s="189">
        <v>270</v>
      </c>
      <c r="R61" s="192">
        <v>70.900000000000006</v>
      </c>
      <c r="S61" s="192">
        <v>45.1</v>
      </c>
      <c r="T61" s="188">
        <v>2.4700000000000002</v>
      </c>
      <c r="U61" s="192">
        <v>10.1</v>
      </c>
      <c r="V61" s="189">
        <v>82200</v>
      </c>
      <c r="W61" s="187">
        <v>3.06</v>
      </c>
      <c r="X61" s="186">
        <v>35</v>
      </c>
      <c r="AA61" s="39" t="str">
        <f t="shared" si="0"/>
        <v>W</v>
      </c>
    </row>
    <row r="62" spans="1:27" x14ac:dyDescent="0.2">
      <c r="A62" s="185" t="s">
        <v>2</v>
      </c>
      <c r="B62" s="185" t="s">
        <v>60</v>
      </c>
      <c r="C62" s="14" t="s">
        <v>618</v>
      </c>
      <c r="D62" s="185">
        <v>135</v>
      </c>
      <c r="E62" s="186">
        <v>39.9</v>
      </c>
      <c r="F62" s="186">
        <v>35.6</v>
      </c>
      <c r="G62" s="186">
        <v>12</v>
      </c>
      <c r="H62" s="190">
        <v>0.6</v>
      </c>
      <c r="I62" s="190">
        <v>0.79</v>
      </c>
      <c r="J62" s="188">
        <v>1.54</v>
      </c>
      <c r="K62" s="187">
        <v>7.56</v>
      </c>
      <c r="L62" s="192">
        <v>54.1</v>
      </c>
      <c r="M62" s="189">
        <v>7800</v>
      </c>
      <c r="N62" s="189">
        <v>509</v>
      </c>
      <c r="O62" s="189">
        <v>439</v>
      </c>
      <c r="P62" s="192">
        <v>14</v>
      </c>
      <c r="Q62" s="189">
        <v>225</v>
      </c>
      <c r="R62" s="192">
        <v>59.7</v>
      </c>
      <c r="S62" s="192">
        <v>37.700000000000003</v>
      </c>
      <c r="T62" s="188">
        <v>2.38</v>
      </c>
      <c r="U62" s="188">
        <v>7</v>
      </c>
      <c r="V62" s="189">
        <v>68100</v>
      </c>
      <c r="W62" s="187">
        <v>2.99</v>
      </c>
      <c r="X62" s="185">
        <v>34.799999999999997</v>
      </c>
      <c r="AA62" s="39" t="str">
        <f t="shared" si="0"/>
        <v>W</v>
      </c>
    </row>
    <row r="63" spans="1:27" x14ac:dyDescent="0.2">
      <c r="A63" s="185" t="s">
        <v>2</v>
      </c>
      <c r="B63" s="185" t="s">
        <v>61</v>
      </c>
      <c r="C63" s="14" t="s">
        <v>618</v>
      </c>
      <c r="D63" s="185">
        <v>387</v>
      </c>
      <c r="E63" s="185">
        <v>114</v>
      </c>
      <c r="F63" s="186">
        <v>36</v>
      </c>
      <c r="G63" s="186">
        <v>16.2</v>
      </c>
      <c r="H63" s="187">
        <v>1.26</v>
      </c>
      <c r="I63" s="187">
        <v>2.2799999999999998</v>
      </c>
      <c r="J63" s="188">
        <v>3.07</v>
      </c>
      <c r="K63" s="187">
        <v>3.55</v>
      </c>
      <c r="L63" s="192">
        <v>23.7</v>
      </c>
      <c r="M63" s="189">
        <v>24300</v>
      </c>
      <c r="N63" s="189">
        <v>1560</v>
      </c>
      <c r="O63" s="189">
        <v>1350</v>
      </c>
      <c r="P63" s="192">
        <v>14.6</v>
      </c>
      <c r="Q63" s="189">
        <v>1620</v>
      </c>
      <c r="R63" s="189">
        <v>312</v>
      </c>
      <c r="S63" s="189">
        <v>200</v>
      </c>
      <c r="T63" s="188">
        <v>3.77</v>
      </c>
      <c r="U63" s="189">
        <v>148</v>
      </c>
      <c r="V63" s="189">
        <v>459000</v>
      </c>
      <c r="W63" s="187">
        <v>4.49</v>
      </c>
      <c r="X63" s="185">
        <v>33.700000000000003</v>
      </c>
      <c r="AA63" s="39" t="str">
        <f t="shared" si="0"/>
        <v>W</v>
      </c>
    </row>
    <row r="64" spans="1:27" x14ac:dyDescent="0.2">
      <c r="A64" s="185" t="s">
        <v>2</v>
      </c>
      <c r="B64" s="185" t="s">
        <v>62</v>
      </c>
      <c r="C64" s="14" t="s">
        <v>618</v>
      </c>
      <c r="D64" s="185">
        <v>354</v>
      </c>
      <c r="E64" s="185">
        <v>104</v>
      </c>
      <c r="F64" s="186">
        <v>35.6</v>
      </c>
      <c r="G64" s="186">
        <v>16.100000000000001</v>
      </c>
      <c r="H64" s="187">
        <v>1.1599999999999999</v>
      </c>
      <c r="I64" s="187">
        <v>2.09</v>
      </c>
      <c r="J64" s="188">
        <v>2.88</v>
      </c>
      <c r="K64" s="187">
        <v>3.85</v>
      </c>
      <c r="L64" s="192">
        <v>25.7</v>
      </c>
      <c r="M64" s="189">
        <v>22000</v>
      </c>
      <c r="N64" s="189">
        <v>1420</v>
      </c>
      <c r="O64" s="189">
        <v>1240</v>
      </c>
      <c r="P64" s="192">
        <v>14.5</v>
      </c>
      <c r="Q64" s="189">
        <v>1460</v>
      </c>
      <c r="R64" s="189">
        <v>282</v>
      </c>
      <c r="S64" s="189">
        <v>181</v>
      </c>
      <c r="T64" s="188">
        <v>3.74</v>
      </c>
      <c r="U64" s="189">
        <v>115</v>
      </c>
      <c r="V64" s="189">
        <v>408000</v>
      </c>
      <c r="W64" s="187">
        <v>4.4400000000000004</v>
      </c>
      <c r="X64" s="185">
        <v>33.5</v>
      </c>
      <c r="AA64" s="39" t="str">
        <f t="shared" si="0"/>
        <v>W</v>
      </c>
    </row>
    <row r="65" spans="1:27" x14ac:dyDescent="0.2">
      <c r="A65" s="185" t="s">
        <v>2</v>
      </c>
      <c r="B65" s="185" t="s">
        <v>63</v>
      </c>
      <c r="C65" s="14" t="s">
        <v>618</v>
      </c>
      <c r="D65" s="185">
        <v>318</v>
      </c>
      <c r="E65" s="186">
        <v>93.7</v>
      </c>
      <c r="F65" s="186">
        <v>35.200000000000003</v>
      </c>
      <c r="G65" s="186">
        <v>16</v>
      </c>
      <c r="H65" s="187">
        <v>1.04</v>
      </c>
      <c r="I65" s="187">
        <v>1.89</v>
      </c>
      <c r="J65" s="188">
        <v>2.68</v>
      </c>
      <c r="K65" s="187">
        <v>4.2300000000000004</v>
      </c>
      <c r="L65" s="192">
        <v>28.7</v>
      </c>
      <c r="M65" s="189">
        <v>19500</v>
      </c>
      <c r="N65" s="189">
        <v>1270</v>
      </c>
      <c r="O65" s="189">
        <v>1110</v>
      </c>
      <c r="P65" s="192">
        <v>14.5</v>
      </c>
      <c r="Q65" s="189">
        <v>1290</v>
      </c>
      <c r="R65" s="189">
        <v>250</v>
      </c>
      <c r="S65" s="189">
        <v>161</v>
      </c>
      <c r="T65" s="188">
        <v>3.71</v>
      </c>
      <c r="U65" s="192">
        <v>84.4</v>
      </c>
      <c r="V65" s="189">
        <v>357000</v>
      </c>
      <c r="W65" s="187">
        <v>4.4000000000000004</v>
      </c>
      <c r="X65" s="185">
        <v>33.299999999999997</v>
      </c>
      <c r="AA65" s="39" t="str">
        <f t="shared" si="0"/>
        <v>W</v>
      </c>
    </row>
    <row r="66" spans="1:27" x14ac:dyDescent="0.2">
      <c r="A66" s="185" t="s">
        <v>2</v>
      </c>
      <c r="B66" s="185" t="s">
        <v>64</v>
      </c>
      <c r="C66" s="14" t="s">
        <v>618</v>
      </c>
      <c r="D66" s="185">
        <v>291</v>
      </c>
      <c r="E66" s="186">
        <v>85.6</v>
      </c>
      <c r="F66" s="186">
        <v>34.799999999999997</v>
      </c>
      <c r="G66" s="186">
        <v>15.9</v>
      </c>
      <c r="H66" s="190">
        <v>0.96</v>
      </c>
      <c r="I66" s="187">
        <v>1.73</v>
      </c>
      <c r="J66" s="188">
        <v>2.52</v>
      </c>
      <c r="K66" s="187">
        <v>4.5999999999999996</v>
      </c>
      <c r="L66" s="192">
        <v>31</v>
      </c>
      <c r="M66" s="189">
        <v>17700</v>
      </c>
      <c r="N66" s="189">
        <v>1160</v>
      </c>
      <c r="O66" s="189">
        <v>1020</v>
      </c>
      <c r="P66" s="192">
        <v>14.4</v>
      </c>
      <c r="Q66" s="189">
        <v>1160</v>
      </c>
      <c r="R66" s="189">
        <v>226</v>
      </c>
      <c r="S66" s="189">
        <v>146</v>
      </c>
      <c r="T66" s="188">
        <v>3.68</v>
      </c>
      <c r="U66" s="192">
        <v>65.099999999999994</v>
      </c>
      <c r="V66" s="189">
        <v>319000</v>
      </c>
      <c r="W66" s="187">
        <v>4.34</v>
      </c>
      <c r="X66" s="185">
        <v>33.1</v>
      </c>
      <c r="AA66" s="39" t="str">
        <f t="shared" si="0"/>
        <v>W</v>
      </c>
    </row>
    <row r="67" spans="1:27" x14ac:dyDescent="0.2">
      <c r="A67" s="185" t="s">
        <v>2</v>
      </c>
      <c r="B67" s="185" t="s">
        <v>65</v>
      </c>
      <c r="C67" s="14" t="s">
        <v>618</v>
      </c>
      <c r="D67" s="185">
        <v>263</v>
      </c>
      <c r="E67" s="186">
        <v>77.400000000000006</v>
      </c>
      <c r="F67" s="186">
        <v>34.5</v>
      </c>
      <c r="G67" s="186">
        <v>15.8</v>
      </c>
      <c r="H67" s="190">
        <v>0.87</v>
      </c>
      <c r="I67" s="187">
        <v>1.57</v>
      </c>
      <c r="J67" s="188">
        <v>2.36</v>
      </c>
      <c r="K67" s="187">
        <v>5.03</v>
      </c>
      <c r="L67" s="192">
        <v>34.299999999999997</v>
      </c>
      <c r="M67" s="189">
        <v>15900</v>
      </c>
      <c r="N67" s="189">
        <v>1040</v>
      </c>
      <c r="O67" s="189">
        <v>919</v>
      </c>
      <c r="P67" s="192">
        <v>14.3</v>
      </c>
      <c r="Q67" s="189">
        <v>1040</v>
      </c>
      <c r="R67" s="189">
        <v>202</v>
      </c>
      <c r="S67" s="189">
        <v>131</v>
      </c>
      <c r="T67" s="188">
        <v>3.66</v>
      </c>
      <c r="U67" s="192">
        <v>48.7</v>
      </c>
      <c r="V67" s="189">
        <v>281000</v>
      </c>
      <c r="W67" s="187">
        <v>4.3099999999999996</v>
      </c>
      <c r="X67" s="185">
        <v>32.9</v>
      </c>
      <c r="AA67" s="39" t="str">
        <f t="shared" si="0"/>
        <v>W</v>
      </c>
    </row>
    <row r="68" spans="1:27" x14ac:dyDescent="0.2">
      <c r="A68" s="185" t="s">
        <v>2</v>
      </c>
      <c r="B68" s="185" t="s">
        <v>66</v>
      </c>
      <c r="C68" s="14" t="s">
        <v>618</v>
      </c>
      <c r="D68" s="185">
        <v>241</v>
      </c>
      <c r="E68" s="186">
        <v>71.099999999999994</v>
      </c>
      <c r="F68" s="186">
        <v>34.200000000000003</v>
      </c>
      <c r="G68" s="186">
        <v>15.9</v>
      </c>
      <c r="H68" s="190">
        <v>0.83</v>
      </c>
      <c r="I68" s="187">
        <v>1.4</v>
      </c>
      <c r="J68" s="188">
        <v>2.19</v>
      </c>
      <c r="K68" s="187">
        <v>5.66</v>
      </c>
      <c r="L68" s="192">
        <v>35.9</v>
      </c>
      <c r="M68" s="189">
        <v>14200</v>
      </c>
      <c r="N68" s="189">
        <v>940</v>
      </c>
      <c r="O68" s="189">
        <v>831</v>
      </c>
      <c r="P68" s="192">
        <v>14.1</v>
      </c>
      <c r="Q68" s="189">
        <v>933</v>
      </c>
      <c r="R68" s="189">
        <v>182</v>
      </c>
      <c r="S68" s="189">
        <v>118</v>
      </c>
      <c r="T68" s="188">
        <v>3.62</v>
      </c>
      <c r="U68" s="192">
        <v>36.200000000000003</v>
      </c>
      <c r="V68" s="189">
        <v>251000</v>
      </c>
      <c r="W68" s="187">
        <v>4.29</v>
      </c>
      <c r="X68" s="185">
        <v>32.799999999999997</v>
      </c>
      <c r="AA68" s="39" t="str">
        <f t="shared" ref="AA68:AA131" si="1">A68</f>
        <v>W</v>
      </c>
    </row>
    <row r="69" spans="1:27" x14ac:dyDescent="0.2">
      <c r="A69" s="185" t="s">
        <v>2</v>
      </c>
      <c r="B69" s="185" t="s">
        <v>67</v>
      </c>
      <c r="C69" s="14" t="s">
        <v>618</v>
      </c>
      <c r="D69" s="185">
        <v>221</v>
      </c>
      <c r="E69" s="186">
        <v>65.3</v>
      </c>
      <c r="F69" s="186">
        <v>33.9</v>
      </c>
      <c r="G69" s="186">
        <v>15.8</v>
      </c>
      <c r="H69" s="190">
        <v>0.77500000000000002</v>
      </c>
      <c r="I69" s="187">
        <v>1.28</v>
      </c>
      <c r="J69" s="188">
        <v>2.06</v>
      </c>
      <c r="K69" s="187">
        <v>6.2</v>
      </c>
      <c r="L69" s="192">
        <v>38.5</v>
      </c>
      <c r="M69" s="189">
        <v>12900</v>
      </c>
      <c r="N69" s="189">
        <v>857</v>
      </c>
      <c r="O69" s="189">
        <v>759</v>
      </c>
      <c r="P69" s="192">
        <v>14.1</v>
      </c>
      <c r="Q69" s="189">
        <v>840</v>
      </c>
      <c r="R69" s="189">
        <v>164</v>
      </c>
      <c r="S69" s="189">
        <v>106</v>
      </c>
      <c r="T69" s="188">
        <v>3.59</v>
      </c>
      <c r="U69" s="192">
        <v>27.8</v>
      </c>
      <c r="V69" s="189">
        <v>224000</v>
      </c>
      <c r="W69" s="187">
        <v>4.25</v>
      </c>
      <c r="X69" s="185">
        <v>32.6</v>
      </c>
      <c r="AA69" s="39" t="str">
        <f t="shared" si="1"/>
        <v>W</v>
      </c>
    </row>
    <row r="70" spans="1:27" x14ac:dyDescent="0.2">
      <c r="A70" s="185" t="s">
        <v>2</v>
      </c>
      <c r="B70" s="185" t="s">
        <v>68</v>
      </c>
      <c r="C70" s="14" t="s">
        <v>618</v>
      </c>
      <c r="D70" s="185">
        <v>201</v>
      </c>
      <c r="E70" s="186">
        <v>59.1</v>
      </c>
      <c r="F70" s="186">
        <v>33.700000000000003</v>
      </c>
      <c r="G70" s="186">
        <v>15.7</v>
      </c>
      <c r="H70" s="190">
        <v>0.71499999999999997</v>
      </c>
      <c r="I70" s="187">
        <v>1.1499999999999999</v>
      </c>
      <c r="J70" s="188">
        <v>1.94</v>
      </c>
      <c r="K70" s="187">
        <v>6.85</v>
      </c>
      <c r="L70" s="192">
        <v>41.7</v>
      </c>
      <c r="M70" s="189">
        <v>11600</v>
      </c>
      <c r="N70" s="189">
        <v>773</v>
      </c>
      <c r="O70" s="189">
        <v>686</v>
      </c>
      <c r="P70" s="192">
        <v>14</v>
      </c>
      <c r="Q70" s="189">
        <v>749</v>
      </c>
      <c r="R70" s="189">
        <v>147</v>
      </c>
      <c r="S70" s="192">
        <v>95.2</v>
      </c>
      <c r="T70" s="188">
        <v>3.56</v>
      </c>
      <c r="U70" s="192">
        <v>20.8</v>
      </c>
      <c r="V70" s="189">
        <v>198000</v>
      </c>
      <c r="W70" s="187">
        <v>4.21</v>
      </c>
      <c r="X70" s="185">
        <v>32.6</v>
      </c>
      <c r="AA70" s="39" t="str">
        <f t="shared" si="1"/>
        <v>W</v>
      </c>
    </row>
    <row r="71" spans="1:27" x14ac:dyDescent="0.2">
      <c r="A71" s="185" t="s">
        <v>2</v>
      </c>
      <c r="B71" s="185" t="s">
        <v>69</v>
      </c>
      <c r="C71" s="14" t="s">
        <v>618</v>
      </c>
      <c r="D71" s="185">
        <v>169</v>
      </c>
      <c r="E71" s="186">
        <v>49.5</v>
      </c>
      <c r="F71" s="186">
        <v>33.799999999999997</v>
      </c>
      <c r="G71" s="186">
        <v>11.5</v>
      </c>
      <c r="H71" s="190">
        <v>0.67</v>
      </c>
      <c r="I71" s="187">
        <v>1.22</v>
      </c>
      <c r="J71" s="188">
        <v>1.92</v>
      </c>
      <c r="K71" s="187">
        <v>4.71</v>
      </c>
      <c r="L71" s="192">
        <v>44.7</v>
      </c>
      <c r="M71" s="189">
        <v>9290</v>
      </c>
      <c r="N71" s="189">
        <v>629</v>
      </c>
      <c r="O71" s="189">
        <v>549</v>
      </c>
      <c r="P71" s="192">
        <v>13.7</v>
      </c>
      <c r="Q71" s="189">
        <v>310</v>
      </c>
      <c r="R71" s="192">
        <v>84.4</v>
      </c>
      <c r="S71" s="192">
        <v>53.9</v>
      </c>
      <c r="T71" s="188">
        <v>2.5</v>
      </c>
      <c r="U71" s="192">
        <v>17.7</v>
      </c>
      <c r="V71" s="189">
        <v>82400</v>
      </c>
      <c r="W71" s="187">
        <v>3.03</v>
      </c>
      <c r="X71" s="185">
        <v>32.6</v>
      </c>
      <c r="AA71" s="39" t="str">
        <f t="shared" si="1"/>
        <v>W</v>
      </c>
    </row>
    <row r="72" spans="1:27" x14ac:dyDescent="0.2">
      <c r="A72" s="185" t="s">
        <v>2</v>
      </c>
      <c r="B72" s="185" t="s">
        <v>70</v>
      </c>
      <c r="C72" s="14" t="s">
        <v>618</v>
      </c>
      <c r="D72" s="185">
        <v>152</v>
      </c>
      <c r="E72" s="186">
        <v>44.9</v>
      </c>
      <c r="F72" s="186">
        <v>33.5</v>
      </c>
      <c r="G72" s="186">
        <v>11.6</v>
      </c>
      <c r="H72" s="190">
        <v>0.63500000000000001</v>
      </c>
      <c r="I72" s="187">
        <v>1.06</v>
      </c>
      <c r="J72" s="188">
        <v>1.76</v>
      </c>
      <c r="K72" s="187">
        <v>5.48</v>
      </c>
      <c r="L72" s="192">
        <v>47.2</v>
      </c>
      <c r="M72" s="189">
        <v>8160</v>
      </c>
      <c r="N72" s="189">
        <v>559</v>
      </c>
      <c r="O72" s="189">
        <v>487</v>
      </c>
      <c r="P72" s="192">
        <v>13.5</v>
      </c>
      <c r="Q72" s="189">
        <v>273</v>
      </c>
      <c r="R72" s="192">
        <v>73.900000000000006</v>
      </c>
      <c r="S72" s="192">
        <v>47.2</v>
      </c>
      <c r="T72" s="188">
        <v>2.4700000000000002</v>
      </c>
      <c r="U72" s="192">
        <v>12.4</v>
      </c>
      <c r="V72" s="189">
        <v>71700</v>
      </c>
      <c r="W72" s="187">
        <v>3.01</v>
      </c>
      <c r="X72" s="185">
        <v>32.4</v>
      </c>
      <c r="AA72" s="39" t="str">
        <f t="shared" si="1"/>
        <v>W</v>
      </c>
    </row>
    <row r="73" spans="1:27" x14ac:dyDescent="0.2">
      <c r="A73" s="185" t="s">
        <v>2</v>
      </c>
      <c r="B73" s="185" t="s">
        <v>71</v>
      </c>
      <c r="C73" s="14" t="s">
        <v>618</v>
      </c>
      <c r="D73" s="185">
        <v>141</v>
      </c>
      <c r="E73" s="186">
        <v>41.5</v>
      </c>
      <c r="F73" s="186">
        <v>33.299999999999997</v>
      </c>
      <c r="G73" s="186">
        <v>11.5</v>
      </c>
      <c r="H73" s="190">
        <v>0.60499999999999998</v>
      </c>
      <c r="I73" s="190">
        <v>0.96</v>
      </c>
      <c r="J73" s="188">
        <v>1.66</v>
      </c>
      <c r="K73" s="187">
        <v>6.01</v>
      </c>
      <c r="L73" s="192">
        <v>49.6</v>
      </c>
      <c r="M73" s="189">
        <v>7450</v>
      </c>
      <c r="N73" s="189">
        <v>514</v>
      </c>
      <c r="O73" s="189">
        <v>448</v>
      </c>
      <c r="P73" s="192">
        <v>13.4</v>
      </c>
      <c r="Q73" s="189">
        <v>246</v>
      </c>
      <c r="R73" s="192">
        <v>66.900000000000006</v>
      </c>
      <c r="S73" s="192">
        <v>42.7</v>
      </c>
      <c r="T73" s="188">
        <v>2.4300000000000002</v>
      </c>
      <c r="U73" s="188">
        <v>9.6999999999999993</v>
      </c>
      <c r="V73" s="189">
        <v>64400</v>
      </c>
      <c r="W73" s="187">
        <v>2.98</v>
      </c>
      <c r="X73" s="185">
        <v>32.299999999999997</v>
      </c>
      <c r="AA73" s="39" t="str">
        <f t="shared" si="1"/>
        <v>W</v>
      </c>
    </row>
    <row r="74" spans="1:27" x14ac:dyDescent="0.2">
      <c r="A74" s="185" t="s">
        <v>2</v>
      </c>
      <c r="B74" s="185" t="s">
        <v>72</v>
      </c>
      <c r="C74" s="14" t="s">
        <v>618</v>
      </c>
      <c r="D74" s="185">
        <v>130</v>
      </c>
      <c r="E74" s="186">
        <v>38.299999999999997</v>
      </c>
      <c r="F74" s="186">
        <v>33.1</v>
      </c>
      <c r="G74" s="186">
        <v>11.5</v>
      </c>
      <c r="H74" s="190">
        <v>0.57999999999999996</v>
      </c>
      <c r="I74" s="190">
        <v>0.85499999999999998</v>
      </c>
      <c r="J74" s="188">
        <v>1.56</v>
      </c>
      <c r="K74" s="187">
        <v>6.73</v>
      </c>
      <c r="L74" s="192">
        <v>51.7</v>
      </c>
      <c r="M74" s="189">
        <v>6710</v>
      </c>
      <c r="N74" s="189">
        <v>467</v>
      </c>
      <c r="O74" s="189">
        <v>406</v>
      </c>
      <c r="P74" s="192">
        <v>13.2</v>
      </c>
      <c r="Q74" s="189">
        <v>218</v>
      </c>
      <c r="R74" s="192">
        <v>59.5</v>
      </c>
      <c r="S74" s="192">
        <v>37.9</v>
      </c>
      <c r="T74" s="188">
        <v>2.39</v>
      </c>
      <c r="U74" s="188">
        <v>7.37</v>
      </c>
      <c r="V74" s="189">
        <v>56600</v>
      </c>
      <c r="W74" s="187">
        <v>2.94</v>
      </c>
      <c r="X74" s="185">
        <v>32.200000000000003</v>
      </c>
      <c r="AA74" s="39" t="str">
        <f t="shared" si="1"/>
        <v>W</v>
      </c>
    </row>
    <row r="75" spans="1:27" x14ac:dyDescent="0.2">
      <c r="A75" s="185" t="s">
        <v>2</v>
      </c>
      <c r="B75" s="185" t="s">
        <v>73</v>
      </c>
      <c r="C75" s="14" t="s">
        <v>618</v>
      </c>
      <c r="D75" s="185">
        <v>118</v>
      </c>
      <c r="E75" s="186">
        <v>34.700000000000003</v>
      </c>
      <c r="F75" s="186">
        <v>32.9</v>
      </c>
      <c r="G75" s="186">
        <v>11.5</v>
      </c>
      <c r="H75" s="190">
        <v>0.55000000000000004</v>
      </c>
      <c r="I75" s="190">
        <v>0.74</v>
      </c>
      <c r="J75" s="188">
        <v>1.44</v>
      </c>
      <c r="K75" s="187">
        <v>7.76</v>
      </c>
      <c r="L75" s="192">
        <v>54.5</v>
      </c>
      <c r="M75" s="189">
        <v>5900</v>
      </c>
      <c r="N75" s="189">
        <v>415</v>
      </c>
      <c r="O75" s="189">
        <v>359</v>
      </c>
      <c r="P75" s="192">
        <v>13</v>
      </c>
      <c r="Q75" s="189">
        <v>187</v>
      </c>
      <c r="R75" s="192">
        <v>51.3</v>
      </c>
      <c r="S75" s="192">
        <v>32.6</v>
      </c>
      <c r="T75" s="188">
        <v>2.3199999999999998</v>
      </c>
      <c r="U75" s="188">
        <v>5.3</v>
      </c>
      <c r="V75" s="189">
        <v>48300</v>
      </c>
      <c r="W75" s="187">
        <v>2.89</v>
      </c>
      <c r="X75" s="185">
        <v>32.200000000000003</v>
      </c>
      <c r="AA75" s="39" t="str">
        <f t="shared" si="1"/>
        <v>W</v>
      </c>
    </row>
    <row r="76" spans="1:27" x14ac:dyDescent="0.2">
      <c r="A76" s="185" t="s">
        <v>2</v>
      </c>
      <c r="B76" s="185" t="s">
        <v>74</v>
      </c>
      <c r="C76" s="14" t="s">
        <v>618</v>
      </c>
      <c r="D76" s="185">
        <v>391</v>
      </c>
      <c r="E76" s="185">
        <v>115</v>
      </c>
      <c r="F76" s="186">
        <v>33.200000000000003</v>
      </c>
      <c r="G76" s="186">
        <v>15.6</v>
      </c>
      <c r="H76" s="187">
        <v>1.36</v>
      </c>
      <c r="I76" s="187">
        <v>2.44</v>
      </c>
      <c r="J76" s="188">
        <v>3.23</v>
      </c>
      <c r="K76" s="187">
        <v>3.19</v>
      </c>
      <c r="L76" s="192">
        <v>19.7</v>
      </c>
      <c r="M76" s="189">
        <v>20700</v>
      </c>
      <c r="N76" s="189">
        <v>1450</v>
      </c>
      <c r="O76" s="189">
        <v>1250</v>
      </c>
      <c r="P76" s="192">
        <v>13.4</v>
      </c>
      <c r="Q76" s="189">
        <v>1550</v>
      </c>
      <c r="R76" s="189">
        <v>310</v>
      </c>
      <c r="S76" s="189">
        <v>198</v>
      </c>
      <c r="T76" s="188">
        <v>3.67</v>
      </c>
      <c r="U76" s="189">
        <v>173</v>
      </c>
      <c r="V76" s="189">
        <v>366000</v>
      </c>
      <c r="W76" s="187">
        <v>4.37</v>
      </c>
      <c r="X76" s="185">
        <v>30.8</v>
      </c>
      <c r="AA76" s="39" t="str">
        <f t="shared" si="1"/>
        <v>W</v>
      </c>
    </row>
    <row r="77" spans="1:27" x14ac:dyDescent="0.2">
      <c r="A77" s="185" t="s">
        <v>2</v>
      </c>
      <c r="B77" s="185" t="s">
        <v>75</v>
      </c>
      <c r="C77" s="14" t="s">
        <v>618</v>
      </c>
      <c r="D77" s="185">
        <v>357</v>
      </c>
      <c r="E77" s="185">
        <v>105</v>
      </c>
      <c r="F77" s="186">
        <v>32.799999999999997</v>
      </c>
      <c r="G77" s="186">
        <v>15.5</v>
      </c>
      <c r="H77" s="187">
        <v>1.24</v>
      </c>
      <c r="I77" s="187">
        <v>2.2400000000000002</v>
      </c>
      <c r="J77" s="188">
        <v>3.03</v>
      </c>
      <c r="K77" s="187">
        <v>3.45</v>
      </c>
      <c r="L77" s="192">
        <v>21.6</v>
      </c>
      <c r="M77" s="189">
        <v>18700</v>
      </c>
      <c r="N77" s="189">
        <v>1320</v>
      </c>
      <c r="O77" s="189">
        <v>1140</v>
      </c>
      <c r="P77" s="192">
        <v>13.3</v>
      </c>
      <c r="Q77" s="189">
        <v>1390</v>
      </c>
      <c r="R77" s="189">
        <v>279</v>
      </c>
      <c r="S77" s="189">
        <v>179</v>
      </c>
      <c r="T77" s="188">
        <v>3.64</v>
      </c>
      <c r="U77" s="189">
        <v>134</v>
      </c>
      <c r="V77" s="189">
        <v>324000</v>
      </c>
      <c r="W77" s="187">
        <v>4.3099999999999996</v>
      </c>
      <c r="X77" s="185">
        <v>30.6</v>
      </c>
      <c r="AA77" s="39" t="str">
        <f t="shared" si="1"/>
        <v>W</v>
      </c>
    </row>
    <row r="78" spans="1:27" x14ac:dyDescent="0.2">
      <c r="A78" s="185" t="s">
        <v>2</v>
      </c>
      <c r="B78" s="185" t="s">
        <v>76</v>
      </c>
      <c r="C78" s="14" t="s">
        <v>618</v>
      </c>
      <c r="D78" s="185">
        <v>326</v>
      </c>
      <c r="E78" s="186">
        <v>95.9</v>
      </c>
      <c r="F78" s="186">
        <v>32.4</v>
      </c>
      <c r="G78" s="186">
        <v>15.4</v>
      </c>
      <c r="H78" s="187">
        <v>1.1399999999999999</v>
      </c>
      <c r="I78" s="187">
        <v>2.0499999999999998</v>
      </c>
      <c r="J78" s="188">
        <v>2.84</v>
      </c>
      <c r="K78" s="187">
        <v>3.75</v>
      </c>
      <c r="L78" s="192">
        <v>23.4</v>
      </c>
      <c r="M78" s="189">
        <v>16800</v>
      </c>
      <c r="N78" s="189">
        <v>1190</v>
      </c>
      <c r="O78" s="189">
        <v>1040</v>
      </c>
      <c r="P78" s="192">
        <v>13.2</v>
      </c>
      <c r="Q78" s="189">
        <v>1240</v>
      </c>
      <c r="R78" s="189">
        <v>252</v>
      </c>
      <c r="S78" s="189">
        <v>162</v>
      </c>
      <c r="T78" s="188">
        <v>3.6</v>
      </c>
      <c r="U78" s="189">
        <v>103</v>
      </c>
      <c r="V78" s="189">
        <v>287000</v>
      </c>
      <c r="W78" s="187">
        <v>4.26</v>
      </c>
      <c r="X78" s="185">
        <v>30.4</v>
      </c>
      <c r="AA78" s="39" t="str">
        <f t="shared" si="1"/>
        <v>W</v>
      </c>
    </row>
    <row r="79" spans="1:27" x14ac:dyDescent="0.2">
      <c r="A79" s="185" t="s">
        <v>2</v>
      </c>
      <c r="B79" s="185" t="s">
        <v>77</v>
      </c>
      <c r="C79" s="14" t="s">
        <v>618</v>
      </c>
      <c r="D79" s="185">
        <v>292</v>
      </c>
      <c r="E79" s="186">
        <v>86</v>
      </c>
      <c r="F79" s="186">
        <v>32</v>
      </c>
      <c r="G79" s="186">
        <v>15.3</v>
      </c>
      <c r="H79" s="187">
        <v>1.02</v>
      </c>
      <c r="I79" s="187">
        <v>1.85</v>
      </c>
      <c r="J79" s="188">
        <v>2.64</v>
      </c>
      <c r="K79" s="187">
        <v>4.12</v>
      </c>
      <c r="L79" s="192">
        <v>26.2</v>
      </c>
      <c r="M79" s="189">
        <v>14900</v>
      </c>
      <c r="N79" s="189">
        <v>1060</v>
      </c>
      <c r="O79" s="189">
        <v>930</v>
      </c>
      <c r="P79" s="192">
        <v>13.2</v>
      </c>
      <c r="Q79" s="189">
        <v>1100</v>
      </c>
      <c r="R79" s="189">
        <v>223</v>
      </c>
      <c r="S79" s="189">
        <v>144</v>
      </c>
      <c r="T79" s="188">
        <v>3.58</v>
      </c>
      <c r="U79" s="192">
        <v>75.2</v>
      </c>
      <c r="V79" s="189">
        <v>250000</v>
      </c>
      <c r="W79" s="187">
        <v>4.22</v>
      </c>
      <c r="X79" s="185">
        <v>30.2</v>
      </c>
      <c r="AA79" s="39" t="str">
        <f t="shared" si="1"/>
        <v>W</v>
      </c>
    </row>
    <row r="80" spans="1:27" x14ac:dyDescent="0.2">
      <c r="A80" s="185" t="s">
        <v>2</v>
      </c>
      <c r="B80" s="185" t="s">
        <v>78</v>
      </c>
      <c r="C80" s="14" t="s">
        <v>618</v>
      </c>
      <c r="D80" s="185">
        <v>261</v>
      </c>
      <c r="E80" s="186">
        <v>77</v>
      </c>
      <c r="F80" s="186">
        <v>31.6</v>
      </c>
      <c r="G80" s="186">
        <v>15.2</v>
      </c>
      <c r="H80" s="190">
        <v>0.93</v>
      </c>
      <c r="I80" s="187">
        <v>1.65</v>
      </c>
      <c r="J80" s="188">
        <v>2.44</v>
      </c>
      <c r="K80" s="187">
        <v>4.59</v>
      </c>
      <c r="L80" s="192">
        <v>28.7</v>
      </c>
      <c r="M80" s="189">
        <v>13100</v>
      </c>
      <c r="N80" s="189">
        <v>943</v>
      </c>
      <c r="O80" s="189">
        <v>829</v>
      </c>
      <c r="P80" s="192">
        <v>13.1</v>
      </c>
      <c r="Q80" s="189">
        <v>959</v>
      </c>
      <c r="R80" s="189">
        <v>196</v>
      </c>
      <c r="S80" s="189">
        <v>127</v>
      </c>
      <c r="T80" s="188">
        <v>3.53</v>
      </c>
      <c r="U80" s="192">
        <v>54.1</v>
      </c>
      <c r="V80" s="189">
        <v>215000</v>
      </c>
      <c r="W80" s="187">
        <v>4.16</v>
      </c>
      <c r="X80" s="186">
        <v>30</v>
      </c>
      <c r="AA80" s="39" t="str">
        <f t="shared" si="1"/>
        <v>W</v>
      </c>
    </row>
    <row r="81" spans="1:27" x14ac:dyDescent="0.2">
      <c r="A81" s="185" t="s">
        <v>2</v>
      </c>
      <c r="B81" s="185" t="s">
        <v>79</v>
      </c>
      <c r="C81" s="14" t="s">
        <v>618</v>
      </c>
      <c r="D81" s="185">
        <v>235</v>
      </c>
      <c r="E81" s="186">
        <v>69.3</v>
      </c>
      <c r="F81" s="186">
        <v>31.3</v>
      </c>
      <c r="G81" s="186">
        <v>15.1</v>
      </c>
      <c r="H81" s="190">
        <v>0.83</v>
      </c>
      <c r="I81" s="187">
        <v>1.5</v>
      </c>
      <c r="J81" s="188">
        <v>2.29</v>
      </c>
      <c r="K81" s="187">
        <v>5.0199999999999996</v>
      </c>
      <c r="L81" s="192">
        <v>32.200000000000003</v>
      </c>
      <c r="M81" s="189">
        <v>11700</v>
      </c>
      <c r="N81" s="189">
        <v>847</v>
      </c>
      <c r="O81" s="189">
        <v>748</v>
      </c>
      <c r="P81" s="192">
        <v>13</v>
      </c>
      <c r="Q81" s="189">
        <v>855</v>
      </c>
      <c r="R81" s="189">
        <v>175</v>
      </c>
      <c r="S81" s="189">
        <v>114</v>
      </c>
      <c r="T81" s="188">
        <v>3.51</v>
      </c>
      <c r="U81" s="192">
        <v>40.299999999999997</v>
      </c>
      <c r="V81" s="189">
        <v>190000</v>
      </c>
      <c r="W81" s="187">
        <v>4.13</v>
      </c>
      <c r="X81" s="185">
        <v>29.8</v>
      </c>
      <c r="AA81" s="39" t="str">
        <f t="shared" si="1"/>
        <v>W</v>
      </c>
    </row>
    <row r="82" spans="1:27" x14ac:dyDescent="0.2">
      <c r="A82" s="185" t="s">
        <v>2</v>
      </c>
      <c r="B82" s="185" t="s">
        <v>80</v>
      </c>
      <c r="C82" s="14" t="s">
        <v>618</v>
      </c>
      <c r="D82" s="185">
        <v>211</v>
      </c>
      <c r="E82" s="186">
        <v>62.3</v>
      </c>
      <c r="F82" s="186">
        <v>30.9</v>
      </c>
      <c r="G82" s="186">
        <v>15.1</v>
      </c>
      <c r="H82" s="190">
        <v>0.77500000000000002</v>
      </c>
      <c r="I82" s="187">
        <v>1.32</v>
      </c>
      <c r="J82" s="188">
        <v>2.1</v>
      </c>
      <c r="K82" s="187">
        <v>5.74</v>
      </c>
      <c r="L82" s="192">
        <v>34.5</v>
      </c>
      <c r="M82" s="189">
        <v>10300</v>
      </c>
      <c r="N82" s="189">
        <v>751</v>
      </c>
      <c r="O82" s="189">
        <v>665</v>
      </c>
      <c r="P82" s="192">
        <v>12.9</v>
      </c>
      <c r="Q82" s="189">
        <v>757</v>
      </c>
      <c r="R82" s="189">
        <v>155</v>
      </c>
      <c r="S82" s="189">
        <v>100</v>
      </c>
      <c r="T82" s="188">
        <v>3.49</v>
      </c>
      <c r="U82" s="192">
        <v>28.4</v>
      </c>
      <c r="V82" s="189">
        <v>166000</v>
      </c>
      <c r="W82" s="187">
        <v>4.1100000000000003</v>
      </c>
      <c r="X82" s="185">
        <v>29.6</v>
      </c>
      <c r="AA82" s="39" t="str">
        <f t="shared" si="1"/>
        <v>W</v>
      </c>
    </row>
    <row r="83" spans="1:27" x14ac:dyDescent="0.2">
      <c r="A83" s="185" t="s">
        <v>2</v>
      </c>
      <c r="B83" s="185" t="s">
        <v>81</v>
      </c>
      <c r="C83" s="14" t="s">
        <v>618</v>
      </c>
      <c r="D83" s="185">
        <v>191</v>
      </c>
      <c r="E83" s="186">
        <v>56.1</v>
      </c>
      <c r="F83" s="186">
        <v>30.7</v>
      </c>
      <c r="G83" s="186">
        <v>15</v>
      </c>
      <c r="H83" s="190">
        <v>0.71</v>
      </c>
      <c r="I83" s="187">
        <v>1.19</v>
      </c>
      <c r="J83" s="188">
        <v>1.97</v>
      </c>
      <c r="K83" s="187">
        <v>6.35</v>
      </c>
      <c r="L83" s="192">
        <v>37.700000000000003</v>
      </c>
      <c r="M83" s="189">
        <v>9200</v>
      </c>
      <c r="N83" s="189">
        <v>675</v>
      </c>
      <c r="O83" s="189">
        <v>600</v>
      </c>
      <c r="P83" s="192">
        <v>12.8</v>
      </c>
      <c r="Q83" s="189">
        <v>673</v>
      </c>
      <c r="R83" s="189">
        <v>138</v>
      </c>
      <c r="S83" s="192">
        <v>89.5</v>
      </c>
      <c r="T83" s="188">
        <v>3.46</v>
      </c>
      <c r="U83" s="192">
        <v>21</v>
      </c>
      <c r="V83" s="189">
        <v>146000</v>
      </c>
      <c r="W83" s="187">
        <v>4.0599999999999996</v>
      </c>
      <c r="X83" s="185">
        <v>29.5</v>
      </c>
      <c r="AA83" s="39" t="str">
        <f t="shared" si="1"/>
        <v>W</v>
      </c>
    </row>
    <row r="84" spans="1:27" x14ac:dyDescent="0.2">
      <c r="A84" s="185" t="s">
        <v>2</v>
      </c>
      <c r="B84" s="185" t="s">
        <v>82</v>
      </c>
      <c r="C84" s="14" t="s">
        <v>618</v>
      </c>
      <c r="D84" s="185">
        <v>173</v>
      </c>
      <c r="E84" s="186">
        <v>50.9</v>
      </c>
      <c r="F84" s="186">
        <v>30.4</v>
      </c>
      <c r="G84" s="186">
        <v>15</v>
      </c>
      <c r="H84" s="190">
        <v>0.65500000000000003</v>
      </c>
      <c r="I84" s="187">
        <v>1.07</v>
      </c>
      <c r="J84" s="188">
        <v>1.85</v>
      </c>
      <c r="K84" s="187">
        <v>7.04</v>
      </c>
      <c r="L84" s="192">
        <v>40.799999999999997</v>
      </c>
      <c r="M84" s="189">
        <v>8230</v>
      </c>
      <c r="N84" s="189">
        <v>607</v>
      </c>
      <c r="O84" s="189">
        <v>541</v>
      </c>
      <c r="P84" s="192">
        <v>12.7</v>
      </c>
      <c r="Q84" s="189">
        <v>598</v>
      </c>
      <c r="R84" s="189">
        <v>123</v>
      </c>
      <c r="S84" s="192">
        <v>79.8</v>
      </c>
      <c r="T84" s="188">
        <v>3.42</v>
      </c>
      <c r="U84" s="192">
        <v>15.6</v>
      </c>
      <c r="V84" s="189">
        <v>129000</v>
      </c>
      <c r="W84" s="187">
        <v>4.03</v>
      </c>
      <c r="X84" s="185">
        <v>29.3</v>
      </c>
      <c r="AA84" s="39" t="str">
        <f t="shared" si="1"/>
        <v>W</v>
      </c>
    </row>
    <row r="85" spans="1:27" x14ac:dyDescent="0.2">
      <c r="A85" s="185" t="s">
        <v>2</v>
      </c>
      <c r="B85" s="185" t="s">
        <v>83</v>
      </c>
      <c r="C85" s="14" t="s">
        <v>618</v>
      </c>
      <c r="D85" s="185">
        <v>148</v>
      </c>
      <c r="E85" s="186">
        <v>43.6</v>
      </c>
      <c r="F85" s="186">
        <v>30.7</v>
      </c>
      <c r="G85" s="186">
        <v>10.5</v>
      </c>
      <c r="H85" s="190">
        <v>0.65</v>
      </c>
      <c r="I85" s="187">
        <v>1.18</v>
      </c>
      <c r="J85" s="188">
        <v>1.83</v>
      </c>
      <c r="K85" s="187">
        <v>4.4400000000000004</v>
      </c>
      <c r="L85" s="192">
        <v>41.6</v>
      </c>
      <c r="M85" s="189">
        <v>6680</v>
      </c>
      <c r="N85" s="189">
        <v>500</v>
      </c>
      <c r="O85" s="189">
        <v>436</v>
      </c>
      <c r="P85" s="192">
        <v>12.4</v>
      </c>
      <c r="Q85" s="189">
        <v>227</v>
      </c>
      <c r="R85" s="192">
        <v>68</v>
      </c>
      <c r="S85" s="192">
        <v>43.3</v>
      </c>
      <c r="T85" s="188">
        <v>2.2799999999999998</v>
      </c>
      <c r="U85" s="192">
        <v>14.5</v>
      </c>
      <c r="V85" s="189">
        <v>49400</v>
      </c>
      <c r="W85" s="187">
        <v>2.77</v>
      </c>
      <c r="X85" s="185">
        <v>29.5</v>
      </c>
      <c r="AA85" s="39" t="str">
        <f t="shared" si="1"/>
        <v>W</v>
      </c>
    </row>
    <row r="86" spans="1:27" x14ac:dyDescent="0.2">
      <c r="A86" s="185" t="s">
        <v>2</v>
      </c>
      <c r="B86" s="185" t="s">
        <v>84</v>
      </c>
      <c r="C86" s="14" t="s">
        <v>618</v>
      </c>
      <c r="D86" s="185">
        <v>132</v>
      </c>
      <c r="E86" s="186">
        <v>38.799999999999997</v>
      </c>
      <c r="F86" s="186">
        <v>30.3</v>
      </c>
      <c r="G86" s="186">
        <v>10.5</v>
      </c>
      <c r="H86" s="190">
        <v>0.61499999999999999</v>
      </c>
      <c r="I86" s="187">
        <v>1</v>
      </c>
      <c r="J86" s="188">
        <v>1.65</v>
      </c>
      <c r="K86" s="187">
        <v>5.27</v>
      </c>
      <c r="L86" s="192">
        <v>43.9</v>
      </c>
      <c r="M86" s="189">
        <v>5770</v>
      </c>
      <c r="N86" s="189">
        <v>437</v>
      </c>
      <c r="O86" s="189">
        <v>380</v>
      </c>
      <c r="P86" s="192">
        <v>12.2</v>
      </c>
      <c r="Q86" s="189">
        <v>196</v>
      </c>
      <c r="R86" s="192">
        <v>58.4</v>
      </c>
      <c r="S86" s="192">
        <v>37.200000000000003</v>
      </c>
      <c r="T86" s="188">
        <v>2.25</v>
      </c>
      <c r="U86" s="188">
        <v>9.7200000000000006</v>
      </c>
      <c r="V86" s="189">
        <v>42100</v>
      </c>
      <c r="W86" s="187">
        <v>2.75</v>
      </c>
      <c r="X86" s="185">
        <v>29.3</v>
      </c>
      <c r="AA86" s="39" t="str">
        <f t="shared" si="1"/>
        <v>W</v>
      </c>
    </row>
    <row r="87" spans="1:27" x14ac:dyDescent="0.2">
      <c r="A87" s="185" t="s">
        <v>2</v>
      </c>
      <c r="B87" s="185" t="s">
        <v>85</v>
      </c>
      <c r="C87" s="14" t="s">
        <v>618</v>
      </c>
      <c r="D87" s="185">
        <v>124</v>
      </c>
      <c r="E87" s="186">
        <v>36.5</v>
      </c>
      <c r="F87" s="186">
        <v>30.2</v>
      </c>
      <c r="G87" s="186">
        <v>10.5</v>
      </c>
      <c r="H87" s="190">
        <v>0.58499999999999996</v>
      </c>
      <c r="I87" s="190">
        <v>0.93</v>
      </c>
      <c r="J87" s="188">
        <v>1.58</v>
      </c>
      <c r="K87" s="187">
        <v>5.65</v>
      </c>
      <c r="L87" s="192">
        <v>46.2</v>
      </c>
      <c r="M87" s="189">
        <v>5360</v>
      </c>
      <c r="N87" s="189">
        <v>408</v>
      </c>
      <c r="O87" s="189">
        <v>355</v>
      </c>
      <c r="P87" s="192">
        <v>12.1</v>
      </c>
      <c r="Q87" s="189">
        <v>181</v>
      </c>
      <c r="R87" s="192">
        <v>54</v>
      </c>
      <c r="S87" s="192">
        <v>34.4</v>
      </c>
      <c r="T87" s="188">
        <v>2.23</v>
      </c>
      <c r="U87" s="188">
        <v>7.99</v>
      </c>
      <c r="V87" s="189">
        <v>38600</v>
      </c>
      <c r="W87" s="187">
        <v>2.73</v>
      </c>
      <c r="X87" s="185">
        <v>29.3</v>
      </c>
      <c r="AA87" s="39" t="str">
        <f t="shared" si="1"/>
        <v>W</v>
      </c>
    </row>
    <row r="88" spans="1:27" x14ac:dyDescent="0.2">
      <c r="A88" s="185" t="s">
        <v>2</v>
      </c>
      <c r="B88" s="185" t="s">
        <v>86</v>
      </c>
      <c r="C88" s="14" t="s">
        <v>618</v>
      </c>
      <c r="D88" s="185">
        <v>116</v>
      </c>
      <c r="E88" s="186">
        <v>34.200000000000003</v>
      </c>
      <c r="F88" s="186">
        <v>30</v>
      </c>
      <c r="G88" s="186">
        <v>10.5</v>
      </c>
      <c r="H88" s="190">
        <v>0.56499999999999995</v>
      </c>
      <c r="I88" s="190">
        <v>0.85</v>
      </c>
      <c r="J88" s="188">
        <v>1.5</v>
      </c>
      <c r="K88" s="187">
        <v>6.17</v>
      </c>
      <c r="L88" s="192">
        <v>47.8</v>
      </c>
      <c r="M88" s="189">
        <v>4930</v>
      </c>
      <c r="N88" s="189">
        <v>378</v>
      </c>
      <c r="O88" s="189">
        <v>329</v>
      </c>
      <c r="P88" s="192">
        <v>12</v>
      </c>
      <c r="Q88" s="189">
        <v>164</v>
      </c>
      <c r="R88" s="192">
        <v>49.2</v>
      </c>
      <c r="S88" s="192">
        <v>31.3</v>
      </c>
      <c r="T88" s="188">
        <v>2.19</v>
      </c>
      <c r="U88" s="188">
        <v>6.43</v>
      </c>
      <c r="V88" s="189">
        <v>34900</v>
      </c>
      <c r="W88" s="187">
        <v>2.7</v>
      </c>
      <c r="X88" s="185">
        <v>29.2</v>
      </c>
      <c r="AA88" s="39" t="str">
        <f t="shared" si="1"/>
        <v>W</v>
      </c>
    </row>
    <row r="89" spans="1:27" x14ac:dyDescent="0.2">
      <c r="A89" s="185" t="s">
        <v>2</v>
      </c>
      <c r="B89" s="185" t="s">
        <v>87</v>
      </c>
      <c r="C89" s="14" t="s">
        <v>618</v>
      </c>
      <c r="D89" s="185">
        <v>108</v>
      </c>
      <c r="E89" s="186">
        <v>31.7</v>
      </c>
      <c r="F89" s="186">
        <v>29.8</v>
      </c>
      <c r="G89" s="186">
        <v>10.5</v>
      </c>
      <c r="H89" s="190">
        <v>0.54500000000000004</v>
      </c>
      <c r="I89" s="190">
        <v>0.76</v>
      </c>
      <c r="J89" s="188">
        <v>1.41</v>
      </c>
      <c r="K89" s="187">
        <v>6.89</v>
      </c>
      <c r="L89" s="192">
        <v>49.6</v>
      </c>
      <c r="M89" s="189">
        <v>4470</v>
      </c>
      <c r="N89" s="189">
        <v>346</v>
      </c>
      <c r="O89" s="189">
        <v>299</v>
      </c>
      <c r="P89" s="192">
        <v>11.9</v>
      </c>
      <c r="Q89" s="189">
        <v>146</v>
      </c>
      <c r="R89" s="192">
        <v>43.9</v>
      </c>
      <c r="S89" s="192">
        <v>27.9</v>
      </c>
      <c r="T89" s="188">
        <v>2.15</v>
      </c>
      <c r="U89" s="188">
        <v>4.99</v>
      </c>
      <c r="V89" s="189">
        <v>30900</v>
      </c>
      <c r="W89" s="187">
        <v>2.67</v>
      </c>
      <c r="X89" s="186">
        <v>29</v>
      </c>
      <c r="AA89" s="39" t="str">
        <f t="shared" si="1"/>
        <v>W</v>
      </c>
    </row>
    <row r="90" spans="1:27" x14ac:dyDescent="0.2">
      <c r="A90" s="185" t="s">
        <v>2</v>
      </c>
      <c r="B90" s="185" t="s">
        <v>88</v>
      </c>
      <c r="C90" s="14" t="s">
        <v>618</v>
      </c>
      <c r="D90" s="186">
        <v>99</v>
      </c>
      <c r="E90" s="186">
        <v>29</v>
      </c>
      <c r="F90" s="186">
        <v>29.7</v>
      </c>
      <c r="G90" s="186">
        <v>10.5</v>
      </c>
      <c r="H90" s="190">
        <v>0.52</v>
      </c>
      <c r="I90" s="190">
        <v>0.67</v>
      </c>
      <c r="J90" s="188">
        <v>1.32</v>
      </c>
      <c r="K90" s="187">
        <v>7.8</v>
      </c>
      <c r="L90" s="192">
        <v>51.9</v>
      </c>
      <c r="M90" s="189">
        <v>3990</v>
      </c>
      <c r="N90" s="189">
        <v>312</v>
      </c>
      <c r="O90" s="189">
        <v>269</v>
      </c>
      <c r="P90" s="192">
        <v>11.7</v>
      </c>
      <c r="Q90" s="189">
        <v>128</v>
      </c>
      <c r="R90" s="192">
        <v>38.6</v>
      </c>
      <c r="S90" s="192">
        <v>24.5</v>
      </c>
      <c r="T90" s="188">
        <v>2.1</v>
      </c>
      <c r="U90" s="188">
        <v>3.77</v>
      </c>
      <c r="V90" s="189">
        <v>26800</v>
      </c>
      <c r="W90" s="187">
        <v>2.62</v>
      </c>
      <c r="X90" s="186">
        <v>29</v>
      </c>
      <c r="AA90" s="39" t="str">
        <f t="shared" si="1"/>
        <v>W</v>
      </c>
    </row>
    <row r="91" spans="1:27" x14ac:dyDescent="0.2">
      <c r="A91" s="185" t="s">
        <v>2</v>
      </c>
      <c r="B91" s="185" t="s">
        <v>89</v>
      </c>
      <c r="C91" s="14" t="s">
        <v>618</v>
      </c>
      <c r="D91" s="186">
        <v>90</v>
      </c>
      <c r="E91" s="186">
        <v>26.3</v>
      </c>
      <c r="F91" s="186">
        <v>29.5</v>
      </c>
      <c r="G91" s="186">
        <v>10.4</v>
      </c>
      <c r="H91" s="190">
        <v>0.47</v>
      </c>
      <c r="I91" s="190">
        <v>0.61</v>
      </c>
      <c r="J91" s="188">
        <v>1.26</v>
      </c>
      <c r="K91" s="187">
        <v>8.52</v>
      </c>
      <c r="L91" s="192">
        <v>57.5</v>
      </c>
      <c r="M91" s="189">
        <v>3610</v>
      </c>
      <c r="N91" s="189">
        <v>283</v>
      </c>
      <c r="O91" s="189">
        <v>245</v>
      </c>
      <c r="P91" s="192">
        <v>11.7</v>
      </c>
      <c r="Q91" s="189">
        <v>115</v>
      </c>
      <c r="R91" s="192">
        <v>34.700000000000003</v>
      </c>
      <c r="S91" s="192">
        <v>22.1</v>
      </c>
      <c r="T91" s="188">
        <v>2.09</v>
      </c>
      <c r="U91" s="188">
        <v>2.84</v>
      </c>
      <c r="V91" s="189">
        <v>24000</v>
      </c>
      <c r="W91" s="187">
        <v>2.6</v>
      </c>
      <c r="X91" s="185">
        <v>28.9</v>
      </c>
      <c r="AA91" s="39" t="str">
        <f t="shared" si="1"/>
        <v>W</v>
      </c>
    </row>
    <row r="92" spans="1:27" x14ac:dyDescent="0.2">
      <c r="A92" s="185" t="s">
        <v>2</v>
      </c>
      <c r="B92" s="185" t="s">
        <v>90</v>
      </c>
      <c r="C92" s="14" t="s">
        <v>618</v>
      </c>
      <c r="D92" s="185">
        <v>539</v>
      </c>
      <c r="E92" s="185">
        <v>159</v>
      </c>
      <c r="F92" s="186">
        <v>32.5</v>
      </c>
      <c r="G92" s="186">
        <v>15.3</v>
      </c>
      <c r="H92" s="187">
        <v>1.97</v>
      </c>
      <c r="I92" s="187">
        <v>3.54</v>
      </c>
      <c r="J92" s="187">
        <v>4.33</v>
      </c>
      <c r="K92" s="187">
        <v>2.15</v>
      </c>
      <c r="L92" s="186">
        <v>12.1</v>
      </c>
      <c r="M92" s="185">
        <v>25600</v>
      </c>
      <c r="N92" s="185">
        <v>1890</v>
      </c>
      <c r="O92" s="185">
        <v>1570</v>
      </c>
      <c r="P92" s="186">
        <v>12.7</v>
      </c>
      <c r="Q92" s="185">
        <v>2110</v>
      </c>
      <c r="R92" s="185">
        <v>437</v>
      </c>
      <c r="S92" s="185">
        <v>277</v>
      </c>
      <c r="T92" s="187">
        <v>3.65</v>
      </c>
      <c r="U92" s="185">
        <v>496</v>
      </c>
      <c r="V92" s="185">
        <v>443000</v>
      </c>
      <c r="W92" s="185">
        <v>4.41</v>
      </c>
      <c r="X92" s="186">
        <v>29</v>
      </c>
      <c r="AA92" s="39" t="str">
        <f t="shared" si="1"/>
        <v>W</v>
      </c>
    </row>
    <row r="93" spans="1:27" x14ac:dyDescent="0.2">
      <c r="A93" s="185" t="s">
        <v>2</v>
      </c>
      <c r="B93" s="185" t="s">
        <v>91</v>
      </c>
      <c r="C93" s="14" t="s">
        <v>618</v>
      </c>
      <c r="D93" s="185">
        <v>368</v>
      </c>
      <c r="E93" s="191">
        <v>109</v>
      </c>
      <c r="F93" s="186">
        <v>30.4</v>
      </c>
      <c r="G93" s="186">
        <v>14.7</v>
      </c>
      <c r="H93" s="187">
        <v>1.38</v>
      </c>
      <c r="I93" s="187">
        <v>2.48</v>
      </c>
      <c r="J93" s="188">
        <v>3.27</v>
      </c>
      <c r="K93" s="187">
        <v>2.96</v>
      </c>
      <c r="L93" s="192">
        <v>17.3</v>
      </c>
      <c r="M93" s="189">
        <v>16200</v>
      </c>
      <c r="N93" s="189">
        <v>1240</v>
      </c>
      <c r="O93" s="189">
        <v>1060</v>
      </c>
      <c r="P93" s="192">
        <v>12.2</v>
      </c>
      <c r="Q93" s="189">
        <v>1310</v>
      </c>
      <c r="R93" s="189">
        <v>279</v>
      </c>
      <c r="S93" s="189">
        <v>179</v>
      </c>
      <c r="T93" s="188">
        <v>3.48</v>
      </c>
      <c r="U93" s="189">
        <v>170</v>
      </c>
      <c r="V93" s="189">
        <v>255000</v>
      </c>
      <c r="W93" s="187">
        <v>4.1500000000000004</v>
      </c>
      <c r="X93" s="185">
        <v>27.9</v>
      </c>
      <c r="AA93" s="39" t="str">
        <f t="shared" si="1"/>
        <v>W</v>
      </c>
    </row>
    <row r="94" spans="1:27" x14ac:dyDescent="0.2">
      <c r="A94" s="185" t="s">
        <v>2</v>
      </c>
      <c r="B94" s="185" t="s">
        <v>92</v>
      </c>
      <c r="C94" s="14" t="s">
        <v>618</v>
      </c>
      <c r="D94" s="185">
        <v>336</v>
      </c>
      <c r="E94" s="186">
        <v>99.2</v>
      </c>
      <c r="F94" s="186">
        <v>30</v>
      </c>
      <c r="G94" s="186">
        <v>14.6</v>
      </c>
      <c r="H94" s="187">
        <v>1.26</v>
      </c>
      <c r="I94" s="187">
        <v>2.2799999999999998</v>
      </c>
      <c r="J94" s="188">
        <v>3.07</v>
      </c>
      <c r="K94" s="187">
        <v>3.19</v>
      </c>
      <c r="L94" s="192">
        <v>18.899999999999999</v>
      </c>
      <c r="M94" s="189">
        <v>14600</v>
      </c>
      <c r="N94" s="189">
        <v>1130</v>
      </c>
      <c r="O94" s="189">
        <v>972</v>
      </c>
      <c r="P94" s="192">
        <v>12.1</v>
      </c>
      <c r="Q94" s="189">
        <v>1180</v>
      </c>
      <c r="R94" s="189">
        <v>252</v>
      </c>
      <c r="S94" s="189">
        <v>162</v>
      </c>
      <c r="T94" s="188">
        <v>3.45</v>
      </c>
      <c r="U94" s="189">
        <v>131</v>
      </c>
      <c r="V94" s="189">
        <v>226000</v>
      </c>
      <c r="W94" s="187">
        <v>4.0999999999999996</v>
      </c>
      <c r="X94" s="185">
        <v>27.7</v>
      </c>
      <c r="AA94" s="39" t="str">
        <f t="shared" si="1"/>
        <v>W</v>
      </c>
    </row>
    <row r="95" spans="1:27" x14ac:dyDescent="0.2">
      <c r="A95" s="185" t="s">
        <v>2</v>
      </c>
      <c r="B95" s="185" t="s">
        <v>93</v>
      </c>
      <c r="C95" s="14" t="s">
        <v>618</v>
      </c>
      <c r="D95" s="185">
        <v>307</v>
      </c>
      <c r="E95" s="186">
        <v>90.2</v>
      </c>
      <c r="F95" s="186">
        <v>29.6</v>
      </c>
      <c r="G95" s="186">
        <v>14.4</v>
      </c>
      <c r="H95" s="187">
        <v>1.1599999999999999</v>
      </c>
      <c r="I95" s="187">
        <v>2.09</v>
      </c>
      <c r="J95" s="188">
        <v>2.88</v>
      </c>
      <c r="K95" s="187">
        <v>3.46</v>
      </c>
      <c r="L95" s="192">
        <v>20.6</v>
      </c>
      <c r="M95" s="189">
        <v>13100</v>
      </c>
      <c r="N95" s="189">
        <v>1030</v>
      </c>
      <c r="O95" s="189">
        <v>887</v>
      </c>
      <c r="P95" s="192">
        <v>12</v>
      </c>
      <c r="Q95" s="189">
        <v>1050</v>
      </c>
      <c r="R95" s="189">
        <v>227</v>
      </c>
      <c r="S95" s="189">
        <v>146</v>
      </c>
      <c r="T95" s="188">
        <v>3.41</v>
      </c>
      <c r="U95" s="189">
        <v>101</v>
      </c>
      <c r="V95" s="189">
        <v>199000</v>
      </c>
      <c r="W95" s="187">
        <v>4.04</v>
      </c>
      <c r="X95" s="185">
        <v>27.5</v>
      </c>
      <c r="AA95" s="39" t="str">
        <f t="shared" si="1"/>
        <v>W</v>
      </c>
    </row>
    <row r="96" spans="1:27" x14ac:dyDescent="0.2">
      <c r="A96" s="185" t="s">
        <v>2</v>
      </c>
      <c r="B96" s="185" t="s">
        <v>94</v>
      </c>
      <c r="C96" s="14" t="s">
        <v>618</v>
      </c>
      <c r="D96" s="185">
        <v>281</v>
      </c>
      <c r="E96" s="186">
        <v>83.1</v>
      </c>
      <c r="F96" s="186">
        <v>29.3</v>
      </c>
      <c r="G96" s="186">
        <v>14.4</v>
      </c>
      <c r="H96" s="187">
        <v>1.06</v>
      </c>
      <c r="I96" s="187">
        <v>1.93</v>
      </c>
      <c r="J96" s="188">
        <v>2.72</v>
      </c>
      <c r="K96" s="187">
        <v>3.72</v>
      </c>
      <c r="L96" s="192">
        <v>22.5</v>
      </c>
      <c r="M96" s="189">
        <v>11900</v>
      </c>
      <c r="N96" s="189">
        <v>936</v>
      </c>
      <c r="O96" s="189">
        <v>814</v>
      </c>
      <c r="P96" s="192">
        <v>12</v>
      </c>
      <c r="Q96" s="189">
        <v>953</v>
      </c>
      <c r="R96" s="189">
        <v>206</v>
      </c>
      <c r="S96" s="189">
        <v>133</v>
      </c>
      <c r="T96" s="188">
        <v>3.39</v>
      </c>
      <c r="U96" s="192">
        <v>79.5</v>
      </c>
      <c r="V96" s="189">
        <v>178000</v>
      </c>
      <c r="W96" s="187">
        <v>4</v>
      </c>
      <c r="X96" s="185">
        <v>27.4</v>
      </c>
      <c r="AA96" s="39" t="str">
        <f t="shared" si="1"/>
        <v>W</v>
      </c>
    </row>
    <row r="97" spans="1:27" x14ac:dyDescent="0.2">
      <c r="A97" s="185" t="s">
        <v>2</v>
      </c>
      <c r="B97" s="185" t="s">
        <v>95</v>
      </c>
      <c r="C97" s="14" t="s">
        <v>618</v>
      </c>
      <c r="D97" s="185">
        <v>258</v>
      </c>
      <c r="E97" s="186">
        <v>76.099999999999994</v>
      </c>
      <c r="F97" s="186">
        <v>29</v>
      </c>
      <c r="G97" s="186">
        <v>14.3</v>
      </c>
      <c r="H97" s="190">
        <v>0.98</v>
      </c>
      <c r="I97" s="187">
        <v>1.77</v>
      </c>
      <c r="J97" s="188">
        <v>2.56</v>
      </c>
      <c r="K97" s="187">
        <v>4.03</v>
      </c>
      <c r="L97" s="192">
        <v>24.4</v>
      </c>
      <c r="M97" s="189">
        <v>10800</v>
      </c>
      <c r="N97" s="189">
        <v>852</v>
      </c>
      <c r="O97" s="189">
        <v>745</v>
      </c>
      <c r="P97" s="192">
        <v>11.9</v>
      </c>
      <c r="Q97" s="189">
        <v>859</v>
      </c>
      <c r="R97" s="189">
        <v>187</v>
      </c>
      <c r="S97" s="189">
        <v>120</v>
      </c>
      <c r="T97" s="188">
        <v>3.36</v>
      </c>
      <c r="U97" s="192">
        <v>61.6</v>
      </c>
      <c r="V97" s="189">
        <v>159000</v>
      </c>
      <c r="W97" s="187">
        <v>3.96</v>
      </c>
      <c r="X97" s="185">
        <v>27.2</v>
      </c>
      <c r="AA97" s="39" t="str">
        <f t="shared" si="1"/>
        <v>W</v>
      </c>
    </row>
    <row r="98" spans="1:27" x14ac:dyDescent="0.2">
      <c r="A98" s="185" t="s">
        <v>2</v>
      </c>
      <c r="B98" s="185" t="s">
        <v>96</v>
      </c>
      <c r="C98" s="14" t="s">
        <v>618</v>
      </c>
      <c r="D98" s="185">
        <v>235</v>
      </c>
      <c r="E98" s="186">
        <v>69.400000000000006</v>
      </c>
      <c r="F98" s="186">
        <v>28.7</v>
      </c>
      <c r="G98" s="186">
        <v>14.2</v>
      </c>
      <c r="H98" s="190">
        <v>0.91</v>
      </c>
      <c r="I98" s="187">
        <v>1.61</v>
      </c>
      <c r="J98" s="188">
        <v>2.4</v>
      </c>
      <c r="K98" s="187">
        <v>4.41</v>
      </c>
      <c r="L98" s="192">
        <v>26.2</v>
      </c>
      <c r="M98" s="189">
        <v>9700</v>
      </c>
      <c r="N98" s="189">
        <v>772</v>
      </c>
      <c r="O98" s="189">
        <v>677</v>
      </c>
      <c r="P98" s="192">
        <v>11.8</v>
      </c>
      <c r="Q98" s="189">
        <v>769</v>
      </c>
      <c r="R98" s="189">
        <v>168</v>
      </c>
      <c r="S98" s="189">
        <v>108</v>
      </c>
      <c r="T98" s="188">
        <v>3.33</v>
      </c>
      <c r="U98" s="192">
        <v>47</v>
      </c>
      <c r="V98" s="189">
        <v>141000</v>
      </c>
      <c r="W98" s="187">
        <v>3.92</v>
      </c>
      <c r="X98" s="185">
        <v>27.1</v>
      </c>
      <c r="AA98" s="39" t="str">
        <f t="shared" si="1"/>
        <v>W</v>
      </c>
    </row>
    <row r="99" spans="1:27" x14ac:dyDescent="0.2">
      <c r="A99" s="185" t="s">
        <v>2</v>
      </c>
      <c r="B99" s="185" t="s">
        <v>97</v>
      </c>
      <c r="C99" s="14" t="s">
        <v>618</v>
      </c>
      <c r="D99" s="185">
        <v>217</v>
      </c>
      <c r="E99" s="186">
        <v>63.9</v>
      </c>
      <c r="F99" s="186">
        <v>28.4</v>
      </c>
      <c r="G99" s="186">
        <v>14.1</v>
      </c>
      <c r="H99" s="190">
        <v>0.83</v>
      </c>
      <c r="I99" s="187">
        <v>1.5</v>
      </c>
      <c r="J99" s="188">
        <v>2.29</v>
      </c>
      <c r="K99" s="187">
        <v>4.71</v>
      </c>
      <c r="L99" s="192">
        <v>28.7</v>
      </c>
      <c r="M99" s="189">
        <v>8910</v>
      </c>
      <c r="N99" s="189">
        <v>711</v>
      </c>
      <c r="O99" s="189">
        <v>627</v>
      </c>
      <c r="P99" s="192">
        <v>11.8</v>
      </c>
      <c r="Q99" s="189">
        <v>704</v>
      </c>
      <c r="R99" s="189">
        <v>154</v>
      </c>
      <c r="S99" s="189">
        <v>100</v>
      </c>
      <c r="T99" s="188">
        <v>3.32</v>
      </c>
      <c r="U99" s="192">
        <v>37.6</v>
      </c>
      <c r="V99" s="189">
        <v>128000</v>
      </c>
      <c r="W99" s="187">
        <v>3.89</v>
      </c>
      <c r="X99" s="185">
        <v>26.9</v>
      </c>
      <c r="AA99" s="39" t="str">
        <f t="shared" si="1"/>
        <v>W</v>
      </c>
    </row>
    <row r="100" spans="1:27" x14ac:dyDescent="0.2">
      <c r="A100" s="185" t="s">
        <v>2</v>
      </c>
      <c r="B100" s="185" t="s">
        <v>98</v>
      </c>
      <c r="C100" s="14" t="s">
        <v>618</v>
      </c>
      <c r="D100" s="185">
        <v>194</v>
      </c>
      <c r="E100" s="186">
        <v>57.1</v>
      </c>
      <c r="F100" s="186">
        <v>28.1</v>
      </c>
      <c r="G100" s="186">
        <v>14</v>
      </c>
      <c r="H100" s="190">
        <v>0.75</v>
      </c>
      <c r="I100" s="187">
        <v>1.34</v>
      </c>
      <c r="J100" s="188">
        <v>2.13</v>
      </c>
      <c r="K100" s="187">
        <v>5.24</v>
      </c>
      <c r="L100" s="192">
        <v>31.8</v>
      </c>
      <c r="M100" s="189">
        <v>7860</v>
      </c>
      <c r="N100" s="189">
        <v>631</v>
      </c>
      <c r="O100" s="189">
        <v>559</v>
      </c>
      <c r="P100" s="192">
        <v>11.7</v>
      </c>
      <c r="Q100" s="189">
        <v>619</v>
      </c>
      <c r="R100" s="189">
        <v>136</v>
      </c>
      <c r="S100" s="192">
        <v>88.1</v>
      </c>
      <c r="T100" s="188">
        <v>3.29</v>
      </c>
      <c r="U100" s="192">
        <v>27.1</v>
      </c>
      <c r="V100" s="189">
        <v>111000</v>
      </c>
      <c r="W100" s="187">
        <v>3.85</v>
      </c>
      <c r="X100" s="185">
        <v>26.8</v>
      </c>
      <c r="AA100" s="39" t="str">
        <f t="shared" si="1"/>
        <v>W</v>
      </c>
    </row>
    <row r="101" spans="1:27" x14ac:dyDescent="0.2">
      <c r="A101" s="185" t="s">
        <v>2</v>
      </c>
      <c r="B101" s="185" t="s">
        <v>99</v>
      </c>
      <c r="C101" s="14" t="s">
        <v>618</v>
      </c>
      <c r="D101" s="185">
        <v>178</v>
      </c>
      <c r="E101" s="186">
        <v>52.5</v>
      </c>
      <c r="F101" s="186">
        <v>27.8</v>
      </c>
      <c r="G101" s="186">
        <v>14.1</v>
      </c>
      <c r="H101" s="190">
        <v>0.72499999999999998</v>
      </c>
      <c r="I101" s="187">
        <v>1.19</v>
      </c>
      <c r="J101" s="188">
        <v>1.98</v>
      </c>
      <c r="K101" s="187">
        <v>5.92</v>
      </c>
      <c r="L101" s="192">
        <v>32.9</v>
      </c>
      <c r="M101" s="189">
        <v>7020</v>
      </c>
      <c r="N101" s="189">
        <v>570</v>
      </c>
      <c r="O101" s="189">
        <v>505</v>
      </c>
      <c r="P101" s="192">
        <v>11.6</v>
      </c>
      <c r="Q101" s="189">
        <v>555</v>
      </c>
      <c r="R101" s="189">
        <v>122</v>
      </c>
      <c r="S101" s="192">
        <v>78.8</v>
      </c>
      <c r="T101" s="188">
        <v>3.25</v>
      </c>
      <c r="U101" s="192">
        <v>20.100000000000001</v>
      </c>
      <c r="V101" s="189">
        <v>98400</v>
      </c>
      <c r="W101" s="187">
        <v>3.83</v>
      </c>
      <c r="X101" s="185">
        <v>26.6</v>
      </c>
      <c r="AA101" s="39" t="str">
        <f t="shared" si="1"/>
        <v>W</v>
      </c>
    </row>
    <row r="102" spans="1:27" x14ac:dyDescent="0.2">
      <c r="A102" s="185" t="s">
        <v>2</v>
      </c>
      <c r="B102" s="185" t="s">
        <v>100</v>
      </c>
      <c r="C102" s="14" t="s">
        <v>618</v>
      </c>
      <c r="D102" s="185">
        <v>161</v>
      </c>
      <c r="E102" s="186">
        <v>47.6</v>
      </c>
      <c r="F102" s="186">
        <v>27.6</v>
      </c>
      <c r="G102" s="186">
        <v>14</v>
      </c>
      <c r="H102" s="190">
        <v>0.66</v>
      </c>
      <c r="I102" s="187">
        <v>1.08</v>
      </c>
      <c r="J102" s="188">
        <v>1.87</v>
      </c>
      <c r="K102" s="187">
        <v>6.49</v>
      </c>
      <c r="L102" s="192">
        <v>36.1</v>
      </c>
      <c r="M102" s="189">
        <v>6310</v>
      </c>
      <c r="N102" s="189">
        <v>515</v>
      </c>
      <c r="O102" s="189">
        <v>458</v>
      </c>
      <c r="P102" s="192">
        <v>11.5</v>
      </c>
      <c r="Q102" s="189">
        <v>497</v>
      </c>
      <c r="R102" s="189">
        <v>109</v>
      </c>
      <c r="S102" s="192">
        <v>70.900000000000006</v>
      </c>
      <c r="T102" s="188">
        <v>3.23</v>
      </c>
      <c r="U102" s="192">
        <v>15.1</v>
      </c>
      <c r="V102" s="189">
        <v>87300</v>
      </c>
      <c r="W102" s="187">
        <v>3.79</v>
      </c>
      <c r="X102" s="185">
        <v>26.5</v>
      </c>
      <c r="AA102" s="39" t="str">
        <f t="shared" si="1"/>
        <v>W</v>
      </c>
    </row>
    <row r="103" spans="1:27" x14ac:dyDescent="0.2">
      <c r="A103" s="185" t="s">
        <v>2</v>
      </c>
      <c r="B103" s="185" t="s">
        <v>101</v>
      </c>
      <c r="C103" s="14" t="s">
        <v>618</v>
      </c>
      <c r="D103" s="185">
        <v>146</v>
      </c>
      <c r="E103" s="186">
        <v>43.2</v>
      </c>
      <c r="F103" s="186">
        <v>27.4</v>
      </c>
      <c r="G103" s="186">
        <v>14</v>
      </c>
      <c r="H103" s="190">
        <v>0.60499999999999998</v>
      </c>
      <c r="I103" s="190">
        <v>0.97499999999999998</v>
      </c>
      <c r="J103" s="188">
        <v>1.76</v>
      </c>
      <c r="K103" s="187">
        <v>7.16</v>
      </c>
      <c r="L103" s="192">
        <v>39.4</v>
      </c>
      <c r="M103" s="189">
        <v>5660</v>
      </c>
      <c r="N103" s="189">
        <v>464</v>
      </c>
      <c r="O103" s="189">
        <v>414</v>
      </c>
      <c r="P103" s="192">
        <v>11.5</v>
      </c>
      <c r="Q103" s="189">
        <v>443</v>
      </c>
      <c r="R103" s="192">
        <v>97.7</v>
      </c>
      <c r="S103" s="192">
        <v>63.5</v>
      </c>
      <c r="T103" s="188">
        <v>3.2</v>
      </c>
      <c r="U103" s="192">
        <v>11.3</v>
      </c>
      <c r="V103" s="189">
        <v>77200</v>
      </c>
      <c r="W103" s="187">
        <v>3.76</v>
      </c>
      <c r="X103" s="185">
        <v>26.4</v>
      </c>
      <c r="AA103" s="39" t="str">
        <f t="shared" si="1"/>
        <v>W</v>
      </c>
    </row>
    <row r="104" spans="1:27" x14ac:dyDescent="0.2">
      <c r="A104" s="185" t="s">
        <v>2</v>
      </c>
      <c r="B104" s="185" t="s">
        <v>102</v>
      </c>
      <c r="C104" s="14" t="s">
        <v>618</v>
      </c>
      <c r="D104" s="185">
        <v>129</v>
      </c>
      <c r="E104" s="186">
        <v>37.799999999999997</v>
      </c>
      <c r="F104" s="186">
        <v>27.6</v>
      </c>
      <c r="G104" s="186">
        <v>10</v>
      </c>
      <c r="H104" s="190">
        <v>0.61</v>
      </c>
      <c r="I104" s="187">
        <v>1.1000000000000001</v>
      </c>
      <c r="J104" s="188">
        <v>1.7</v>
      </c>
      <c r="K104" s="187">
        <v>4.55</v>
      </c>
      <c r="L104" s="192">
        <v>39.700000000000003</v>
      </c>
      <c r="M104" s="189">
        <v>4760</v>
      </c>
      <c r="N104" s="189">
        <v>395</v>
      </c>
      <c r="O104" s="189">
        <v>345</v>
      </c>
      <c r="P104" s="192">
        <v>11.2</v>
      </c>
      <c r="Q104" s="189">
        <v>184</v>
      </c>
      <c r="R104" s="192">
        <v>57.6</v>
      </c>
      <c r="S104" s="192">
        <v>36.799999999999997</v>
      </c>
      <c r="T104" s="188">
        <v>2.21</v>
      </c>
      <c r="U104" s="192">
        <v>11.1</v>
      </c>
      <c r="V104" s="189">
        <v>32500</v>
      </c>
      <c r="W104" s="187">
        <v>2.66</v>
      </c>
      <c r="X104" s="185">
        <v>26.5</v>
      </c>
      <c r="AA104" s="39" t="str">
        <f t="shared" si="1"/>
        <v>W</v>
      </c>
    </row>
    <row r="105" spans="1:27" x14ac:dyDescent="0.2">
      <c r="A105" s="185" t="s">
        <v>2</v>
      </c>
      <c r="B105" s="185" t="s">
        <v>103</v>
      </c>
      <c r="C105" s="14" t="s">
        <v>618</v>
      </c>
      <c r="D105" s="185">
        <v>114</v>
      </c>
      <c r="E105" s="186">
        <v>33.6</v>
      </c>
      <c r="F105" s="186">
        <v>27.3</v>
      </c>
      <c r="G105" s="186">
        <v>10.1</v>
      </c>
      <c r="H105" s="190">
        <v>0.56999999999999995</v>
      </c>
      <c r="I105" s="190">
        <v>0.93</v>
      </c>
      <c r="J105" s="188">
        <v>1.53</v>
      </c>
      <c r="K105" s="187">
        <v>5.41</v>
      </c>
      <c r="L105" s="192">
        <v>42.5</v>
      </c>
      <c r="M105" s="189">
        <v>4080</v>
      </c>
      <c r="N105" s="189">
        <v>343</v>
      </c>
      <c r="O105" s="189">
        <v>299</v>
      </c>
      <c r="P105" s="192">
        <v>11</v>
      </c>
      <c r="Q105" s="189">
        <v>159</v>
      </c>
      <c r="R105" s="192">
        <v>49.3</v>
      </c>
      <c r="S105" s="192">
        <v>31.5</v>
      </c>
      <c r="T105" s="188">
        <v>2.1800000000000002</v>
      </c>
      <c r="U105" s="188">
        <v>7.33</v>
      </c>
      <c r="V105" s="189">
        <v>27600</v>
      </c>
      <c r="W105" s="187">
        <v>2.65</v>
      </c>
      <c r="X105" s="185">
        <v>26.4</v>
      </c>
      <c r="AA105" s="39" t="str">
        <f t="shared" si="1"/>
        <v>W</v>
      </c>
    </row>
    <row r="106" spans="1:27" x14ac:dyDescent="0.2">
      <c r="A106" s="185" t="s">
        <v>2</v>
      </c>
      <c r="B106" s="185" t="s">
        <v>104</v>
      </c>
      <c r="C106" s="14" t="s">
        <v>618</v>
      </c>
      <c r="D106" s="185">
        <v>102</v>
      </c>
      <c r="E106" s="186">
        <v>30</v>
      </c>
      <c r="F106" s="186">
        <v>27.1</v>
      </c>
      <c r="G106" s="186">
        <v>10</v>
      </c>
      <c r="H106" s="190">
        <v>0.51500000000000001</v>
      </c>
      <c r="I106" s="190">
        <v>0.83</v>
      </c>
      <c r="J106" s="188">
        <v>1.43</v>
      </c>
      <c r="K106" s="187">
        <v>6.03</v>
      </c>
      <c r="L106" s="192">
        <v>47.1</v>
      </c>
      <c r="M106" s="189">
        <v>3620</v>
      </c>
      <c r="N106" s="189">
        <v>305</v>
      </c>
      <c r="O106" s="189">
        <v>267</v>
      </c>
      <c r="P106" s="192">
        <v>11</v>
      </c>
      <c r="Q106" s="189">
        <v>139</v>
      </c>
      <c r="R106" s="192">
        <v>43.4</v>
      </c>
      <c r="S106" s="192">
        <v>27.8</v>
      </c>
      <c r="T106" s="188">
        <v>2.15</v>
      </c>
      <c r="U106" s="188">
        <v>5.28</v>
      </c>
      <c r="V106" s="189">
        <v>24000</v>
      </c>
      <c r="W106" s="187">
        <v>2.62</v>
      </c>
      <c r="X106" s="185">
        <v>26.3</v>
      </c>
      <c r="AA106" s="39" t="str">
        <f t="shared" si="1"/>
        <v>W</v>
      </c>
    </row>
    <row r="107" spans="1:27" x14ac:dyDescent="0.2">
      <c r="A107" s="185" t="s">
        <v>2</v>
      </c>
      <c r="B107" s="185" t="s">
        <v>105</v>
      </c>
      <c r="C107" s="14" t="s">
        <v>618</v>
      </c>
      <c r="D107" s="186">
        <v>94</v>
      </c>
      <c r="E107" s="186">
        <v>27.6</v>
      </c>
      <c r="F107" s="186">
        <v>26.9</v>
      </c>
      <c r="G107" s="186">
        <v>10</v>
      </c>
      <c r="H107" s="190">
        <v>0.49</v>
      </c>
      <c r="I107" s="190">
        <v>0.745</v>
      </c>
      <c r="J107" s="188">
        <v>1.34</v>
      </c>
      <c r="K107" s="187">
        <v>6.7</v>
      </c>
      <c r="L107" s="192">
        <v>49.5</v>
      </c>
      <c r="M107" s="189">
        <v>3270</v>
      </c>
      <c r="N107" s="189">
        <v>278</v>
      </c>
      <c r="O107" s="189">
        <v>243</v>
      </c>
      <c r="P107" s="192">
        <v>10.9</v>
      </c>
      <c r="Q107" s="189">
        <v>124</v>
      </c>
      <c r="R107" s="192">
        <v>38.799999999999997</v>
      </c>
      <c r="S107" s="192">
        <v>24.8</v>
      </c>
      <c r="T107" s="188">
        <v>2.12</v>
      </c>
      <c r="U107" s="188">
        <v>4.03</v>
      </c>
      <c r="V107" s="189">
        <v>21300</v>
      </c>
      <c r="W107" s="187">
        <v>2.59</v>
      </c>
      <c r="X107" s="185">
        <v>26.2</v>
      </c>
      <c r="AA107" s="39" t="str">
        <f t="shared" si="1"/>
        <v>W</v>
      </c>
    </row>
    <row r="108" spans="1:27" x14ac:dyDescent="0.2">
      <c r="A108" s="185" t="s">
        <v>2</v>
      </c>
      <c r="B108" s="185" t="s">
        <v>106</v>
      </c>
      <c r="C108" s="14" t="s">
        <v>618</v>
      </c>
      <c r="D108" s="186">
        <v>84</v>
      </c>
      <c r="E108" s="186">
        <v>24.7</v>
      </c>
      <c r="F108" s="186">
        <v>26.7</v>
      </c>
      <c r="G108" s="186">
        <v>10</v>
      </c>
      <c r="H108" s="190">
        <v>0.46</v>
      </c>
      <c r="I108" s="190">
        <v>0.64</v>
      </c>
      <c r="J108" s="188">
        <v>1.24</v>
      </c>
      <c r="K108" s="187">
        <v>7.78</v>
      </c>
      <c r="L108" s="192">
        <v>52.7</v>
      </c>
      <c r="M108" s="189">
        <v>2850</v>
      </c>
      <c r="N108" s="189">
        <v>244</v>
      </c>
      <c r="O108" s="189">
        <v>213</v>
      </c>
      <c r="P108" s="192">
        <v>10.7</v>
      </c>
      <c r="Q108" s="189">
        <v>106</v>
      </c>
      <c r="R108" s="192">
        <v>33.200000000000003</v>
      </c>
      <c r="S108" s="192">
        <v>21.2</v>
      </c>
      <c r="T108" s="188">
        <v>2.0699999999999998</v>
      </c>
      <c r="U108" s="188">
        <v>2.81</v>
      </c>
      <c r="V108" s="189">
        <v>17900</v>
      </c>
      <c r="W108" s="187">
        <v>2.54</v>
      </c>
      <c r="X108" s="185">
        <v>26.1</v>
      </c>
      <c r="AA108" s="39" t="str">
        <f t="shared" si="1"/>
        <v>W</v>
      </c>
    </row>
    <row r="109" spans="1:27" x14ac:dyDescent="0.2">
      <c r="A109" s="185" t="s">
        <v>2</v>
      </c>
      <c r="B109" s="185" t="s">
        <v>107</v>
      </c>
      <c r="C109" s="14" t="s">
        <v>618</v>
      </c>
      <c r="D109" s="185">
        <v>370</v>
      </c>
      <c r="E109" s="191">
        <v>109</v>
      </c>
      <c r="F109" s="186">
        <v>28</v>
      </c>
      <c r="G109" s="186">
        <v>13.7</v>
      </c>
      <c r="H109" s="187">
        <v>1.52</v>
      </c>
      <c r="I109" s="187">
        <v>2.72</v>
      </c>
      <c r="J109" s="188">
        <v>3.22</v>
      </c>
      <c r="K109" s="187">
        <v>2.5099999999999998</v>
      </c>
      <c r="L109" s="192">
        <v>14.2</v>
      </c>
      <c r="M109" s="189">
        <v>13400</v>
      </c>
      <c r="N109" s="189">
        <v>1130</v>
      </c>
      <c r="O109" s="189">
        <v>957</v>
      </c>
      <c r="P109" s="192">
        <v>11.1</v>
      </c>
      <c r="Q109" s="189">
        <v>1160</v>
      </c>
      <c r="R109" s="189">
        <v>267</v>
      </c>
      <c r="S109" s="189">
        <v>170</v>
      </c>
      <c r="T109" s="188">
        <v>3.27</v>
      </c>
      <c r="U109" s="189">
        <v>201</v>
      </c>
      <c r="V109" s="189">
        <v>186000</v>
      </c>
      <c r="W109" s="187">
        <v>3.92</v>
      </c>
      <c r="X109" s="185">
        <v>25.3</v>
      </c>
      <c r="AA109" s="39" t="str">
        <f t="shared" si="1"/>
        <v>W</v>
      </c>
    </row>
    <row r="110" spans="1:27" x14ac:dyDescent="0.2">
      <c r="A110" s="185" t="s">
        <v>2</v>
      </c>
      <c r="B110" s="185" t="s">
        <v>108</v>
      </c>
      <c r="C110" s="14" t="s">
        <v>618</v>
      </c>
      <c r="D110" s="185">
        <v>335</v>
      </c>
      <c r="E110" s="186">
        <v>98.3</v>
      </c>
      <c r="F110" s="186">
        <v>27.5</v>
      </c>
      <c r="G110" s="186">
        <v>13.5</v>
      </c>
      <c r="H110" s="187">
        <v>1.38</v>
      </c>
      <c r="I110" s="187">
        <v>2.48</v>
      </c>
      <c r="J110" s="188">
        <v>2.98</v>
      </c>
      <c r="K110" s="187">
        <v>2.73</v>
      </c>
      <c r="L110" s="192">
        <v>15.6</v>
      </c>
      <c r="M110" s="189">
        <v>11900</v>
      </c>
      <c r="N110" s="189">
        <v>1020</v>
      </c>
      <c r="O110" s="189">
        <v>864</v>
      </c>
      <c r="P110" s="192">
        <v>11</v>
      </c>
      <c r="Q110" s="189">
        <v>1030</v>
      </c>
      <c r="R110" s="189">
        <v>238</v>
      </c>
      <c r="S110" s="189">
        <v>152</v>
      </c>
      <c r="T110" s="188">
        <v>3.23</v>
      </c>
      <c r="U110" s="189">
        <v>152</v>
      </c>
      <c r="V110" s="189">
        <v>161000</v>
      </c>
      <c r="W110" s="187">
        <v>3.86</v>
      </c>
      <c r="X110" s="186">
        <v>25</v>
      </c>
      <c r="AA110" s="39" t="str">
        <f t="shared" si="1"/>
        <v>W</v>
      </c>
    </row>
    <row r="111" spans="1:27" x14ac:dyDescent="0.2">
      <c r="A111" s="185" t="s">
        <v>2</v>
      </c>
      <c r="B111" s="185" t="s">
        <v>109</v>
      </c>
      <c r="C111" s="14" t="s">
        <v>618</v>
      </c>
      <c r="D111" s="185">
        <v>306</v>
      </c>
      <c r="E111" s="186">
        <v>89.7</v>
      </c>
      <c r="F111" s="186">
        <v>27.1</v>
      </c>
      <c r="G111" s="186">
        <v>13.4</v>
      </c>
      <c r="H111" s="187">
        <v>1.26</v>
      </c>
      <c r="I111" s="187">
        <v>2.2799999999999998</v>
      </c>
      <c r="J111" s="188">
        <v>2.78</v>
      </c>
      <c r="K111" s="187">
        <v>2.94</v>
      </c>
      <c r="L111" s="192">
        <v>17.100000000000001</v>
      </c>
      <c r="M111" s="189">
        <v>10700</v>
      </c>
      <c r="N111" s="189">
        <v>922</v>
      </c>
      <c r="O111" s="189">
        <v>789</v>
      </c>
      <c r="P111" s="192">
        <v>10.9</v>
      </c>
      <c r="Q111" s="189">
        <v>919</v>
      </c>
      <c r="R111" s="189">
        <v>214</v>
      </c>
      <c r="S111" s="189">
        <v>137</v>
      </c>
      <c r="T111" s="188">
        <v>3.2</v>
      </c>
      <c r="U111" s="189">
        <v>117</v>
      </c>
      <c r="V111" s="189">
        <v>142000</v>
      </c>
      <c r="W111" s="187">
        <v>3.81</v>
      </c>
      <c r="X111" s="185">
        <v>24.8</v>
      </c>
      <c r="AA111" s="39" t="str">
        <f t="shared" si="1"/>
        <v>W</v>
      </c>
    </row>
    <row r="112" spans="1:27" x14ac:dyDescent="0.2">
      <c r="A112" s="185" t="s">
        <v>2</v>
      </c>
      <c r="B112" s="185" t="s">
        <v>110</v>
      </c>
      <c r="C112" s="14" t="s">
        <v>618</v>
      </c>
      <c r="D112" s="185">
        <v>279</v>
      </c>
      <c r="E112" s="186">
        <v>81.900000000000006</v>
      </c>
      <c r="F112" s="186">
        <v>26.7</v>
      </c>
      <c r="G112" s="186">
        <v>13.3</v>
      </c>
      <c r="H112" s="187">
        <v>1.1599999999999999</v>
      </c>
      <c r="I112" s="187">
        <v>2.09</v>
      </c>
      <c r="J112" s="188">
        <v>2.59</v>
      </c>
      <c r="K112" s="187">
        <v>3.18</v>
      </c>
      <c r="L112" s="192">
        <v>18.600000000000001</v>
      </c>
      <c r="M112" s="189">
        <v>9600</v>
      </c>
      <c r="N112" s="189">
        <v>835</v>
      </c>
      <c r="O112" s="189">
        <v>718</v>
      </c>
      <c r="P112" s="192">
        <v>10.8</v>
      </c>
      <c r="Q112" s="189">
        <v>823</v>
      </c>
      <c r="R112" s="189">
        <v>193</v>
      </c>
      <c r="S112" s="189">
        <v>124</v>
      </c>
      <c r="T112" s="188">
        <v>3.17</v>
      </c>
      <c r="U112" s="192">
        <v>90.5</v>
      </c>
      <c r="V112" s="189">
        <v>125000</v>
      </c>
      <c r="W112" s="187">
        <v>3.76</v>
      </c>
      <c r="X112" s="185">
        <v>24.6</v>
      </c>
      <c r="AA112" s="39" t="str">
        <f t="shared" si="1"/>
        <v>W</v>
      </c>
    </row>
    <row r="113" spans="1:27" x14ac:dyDescent="0.2">
      <c r="A113" s="185" t="s">
        <v>2</v>
      </c>
      <c r="B113" s="185" t="s">
        <v>111</v>
      </c>
      <c r="C113" s="14" t="s">
        <v>618</v>
      </c>
      <c r="D113" s="185">
        <v>250</v>
      </c>
      <c r="E113" s="186">
        <v>73.5</v>
      </c>
      <c r="F113" s="186">
        <v>26.3</v>
      </c>
      <c r="G113" s="186">
        <v>13.2</v>
      </c>
      <c r="H113" s="187">
        <v>1.04</v>
      </c>
      <c r="I113" s="187">
        <v>1.89</v>
      </c>
      <c r="J113" s="188">
        <v>2.39</v>
      </c>
      <c r="K113" s="187">
        <v>3.49</v>
      </c>
      <c r="L113" s="192">
        <v>20.7</v>
      </c>
      <c r="M113" s="189">
        <v>8490</v>
      </c>
      <c r="N113" s="189">
        <v>744</v>
      </c>
      <c r="O113" s="189">
        <v>644</v>
      </c>
      <c r="P113" s="192">
        <v>10.7</v>
      </c>
      <c r="Q113" s="189">
        <v>724</v>
      </c>
      <c r="R113" s="189">
        <v>171</v>
      </c>
      <c r="S113" s="189">
        <v>110</v>
      </c>
      <c r="T113" s="188">
        <v>3.14</v>
      </c>
      <c r="U113" s="192">
        <v>66.599999999999994</v>
      </c>
      <c r="V113" s="189">
        <v>108000</v>
      </c>
      <c r="W113" s="187">
        <v>3.71</v>
      </c>
      <c r="X113" s="185">
        <v>24.4</v>
      </c>
      <c r="AA113" s="39" t="str">
        <f t="shared" si="1"/>
        <v>W</v>
      </c>
    </row>
    <row r="114" spans="1:27" x14ac:dyDescent="0.2">
      <c r="A114" s="185" t="s">
        <v>2</v>
      </c>
      <c r="B114" s="185" t="s">
        <v>112</v>
      </c>
      <c r="C114" s="14" t="s">
        <v>618</v>
      </c>
      <c r="D114" s="185">
        <v>229</v>
      </c>
      <c r="E114" s="186">
        <v>67.2</v>
      </c>
      <c r="F114" s="186">
        <v>26</v>
      </c>
      <c r="G114" s="186">
        <v>13.1</v>
      </c>
      <c r="H114" s="190">
        <v>0.96</v>
      </c>
      <c r="I114" s="187">
        <v>1.73</v>
      </c>
      <c r="J114" s="188">
        <v>2.23</v>
      </c>
      <c r="K114" s="187">
        <v>3.79</v>
      </c>
      <c r="L114" s="192">
        <v>22.5</v>
      </c>
      <c r="M114" s="189">
        <v>7650</v>
      </c>
      <c r="N114" s="189">
        <v>675</v>
      </c>
      <c r="O114" s="189">
        <v>588</v>
      </c>
      <c r="P114" s="192">
        <v>10.7</v>
      </c>
      <c r="Q114" s="189">
        <v>651</v>
      </c>
      <c r="R114" s="189">
        <v>154</v>
      </c>
      <c r="S114" s="192">
        <v>99.4</v>
      </c>
      <c r="T114" s="188">
        <v>3.11</v>
      </c>
      <c r="U114" s="192">
        <v>51.3</v>
      </c>
      <c r="V114" s="189">
        <v>96100</v>
      </c>
      <c r="W114" s="187">
        <v>3.67</v>
      </c>
      <c r="X114" s="185">
        <v>24.3</v>
      </c>
      <c r="AA114" s="39" t="str">
        <f t="shared" si="1"/>
        <v>W</v>
      </c>
    </row>
    <row r="115" spans="1:27" x14ac:dyDescent="0.2">
      <c r="A115" s="185" t="s">
        <v>2</v>
      </c>
      <c r="B115" s="185" t="s">
        <v>113</v>
      </c>
      <c r="C115" s="14" t="s">
        <v>618</v>
      </c>
      <c r="D115" s="185">
        <v>207</v>
      </c>
      <c r="E115" s="186">
        <v>60.7</v>
      </c>
      <c r="F115" s="186">
        <v>25.7</v>
      </c>
      <c r="G115" s="186">
        <v>13</v>
      </c>
      <c r="H115" s="190">
        <v>0.87</v>
      </c>
      <c r="I115" s="187">
        <v>1.57</v>
      </c>
      <c r="J115" s="188">
        <v>2.0699999999999998</v>
      </c>
      <c r="K115" s="187">
        <v>4.1399999999999997</v>
      </c>
      <c r="L115" s="192">
        <v>24.8</v>
      </c>
      <c r="M115" s="189">
        <v>6820</v>
      </c>
      <c r="N115" s="189">
        <v>606</v>
      </c>
      <c r="O115" s="189">
        <v>531</v>
      </c>
      <c r="P115" s="192">
        <v>10.6</v>
      </c>
      <c r="Q115" s="189">
        <v>578</v>
      </c>
      <c r="R115" s="189">
        <v>137</v>
      </c>
      <c r="S115" s="192">
        <v>88.8</v>
      </c>
      <c r="T115" s="188">
        <v>3.08</v>
      </c>
      <c r="U115" s="192">
        <v>38.299999999999997</v>
      </c>
      <c r="V115" s="189">
        <v>84100</v>
      </c>
      <c r="W115" s="187">
        <v>3.62</v>
      </c>
      <c r="X115" s="185">
        <v>24.1</v>
      </c>
      <c r="AA115" s="39" t="str">
        <f t="shared" si="1"/>
        <v>W</v>
      </c>
    </row>
    <row r="116" spans="1:27" x14ac:dyDescent="0.2">
      <c r="A116" s="185" t="s">
        <v>2</v>
      </c>
      <c r="B116" s="185" t="s">
        <v>114</v>
      </c>
      <c r="C116" s="14" t="s">
        <v>618</v>
      </c>
      <c r="D116" s="185">
        <v>192</v>
      </c>
      <c r="E116" s="186">
        <v>56.5</v>
      </c>
      <c r="F116" s="186">
        <v>25.5</v>
      </c>
      <c r="G116" s="186">
        <v>13</v>
      </c>
      <c r="H116" s="190">
        <v>0.81</v>
      </c>
      <c r="I116" s="187">
        <v>1.46</v>
      </c>
      <c r="J116" s="188">
        <v>1.96</v>
      </c>
      <c r="K116" s="187">
        <v>4.43</v>
      </c>
      <c r="L116" s="192">
        <v>26.6</v>
      </c>
      <c r="M116" s="189">
        <v>6260</v>
      </c>
      <c r="N116" s="189">
        <v>559</v>
      </c>
      <c r="O116" s="189">
        <v>491</v>
      </c>
      <c r="P116" s="192">
        <v>10.5</v>
      </c>
      <c r="Q116" s="189">
        <v>530</v>
      </c>
      <c r="R116" s="189">
        <v>126</v>
      </c>
      <c r="S116" s="192">
        <v>81.8</v>
      </c>
      <c r="T116" s="188">
        <v>3.07</v>
      </c>
      <c r="U116" s="192">
        <v>30.8</v>
      </c>
      <c r="V116" s="189">
        <v>76300</v>
      </c>
      <c r="W116" s="187">
        <v>3.6</v>
      </c>
      <c r="X116" s="186">
        <v>24</v>
      </c>
      <c r="AA116" s="39" t="str">
        <f t="shared" si="1"/>
        <v>W</v>
      </c>
    </row>
    <row r="117" spans="1:27" x14ac:dyDescent="0.2">
      <c r="A117" s="185" t="s">
        <v>2</v>
      </c>
      <c r="B117" s="185" t="s">
        <v>115</v>
      </c>
      <c r="C117" s="14" t="s">
        <v>618</v>
      </c>
      <c r="D117" s="185">
        <v>176</v>
      </c>
      <c r="E117" s="186">
        <v>51.7</v>
      </c>
      <c r="F117" s="186">
        <v>25.2</v>
      </c>
      <c r="G117" s="186">
        <v>12.9</v>
      </c>
      <c r="H117" s="190">
        <v>0.75</v>
      </c>
      <c r="I117" s="187">
        <v>1.34</v>
      </c>
      <c r="J117" s="188">
        <v>1.84</v>
      </c>
      <c r="K117" s="187">
        <v>4.8099999999999996</v>
      </c>
      <c r="L117" s="192">
        <v>28.7</v>
      </c>
      <c r="M117" s="189">
        <v>5680</v>
      </c>
      <c r="N117" s="189">
        <v>511</v>
      </c>
      <c r="O117" s="189">
        <v>450</v>
      </c>
      <c r="P117" s="192">
        <v>10.5</v>
      </c>
      <c r="Q117" s="189">
        <v>479</v>
      </c>
      <c r="R117" s="189">
        <v>115</v>
      </c>
      <c r="S117" s="192">
        <v>74.3</v>
      </c>
      <c r="T117" s="188">
        <v>3.04</v>
      </c>
      <c r="U117" s="192">
        <v>23.9</v>
      </c>
      <c r="V117" s="189">
        <v>68400</v>
      </c>
      <c r="W117" s="187">
        <v>3.57</v>
      </c>
      <c r="X117" s="185">
        <v>23.9</v>
      </c>
      <c r="AA117" s="39" t="str">
        <f t="shared" si="1"/>
        <v>W</v>
      </c>
    </row>
    <row r="118" spans="1:27" x14ac:dyDescent="0.2">
      <c r="A118" s="185" t="s">
        <v>2</v>
      </c>
      <c r="B118" s="185" t="s">
        <v>116</v>
      </c>
      <c r="C118" s="14" t="s">
        <v>618</v>
      </c>
      <c r="D118" s="185">
        <v>162</v>
      </c>
      <c r="E118" s="186">
        <v>47.8</v>
      </c>
      <c r="F118" s="186">
        <v>25</v>
      </c>
      <c r="G118" s="186">
        <v>13</v>
      </c>
      <c r="H118" s="190">
        <v>0.70499999999999996</v>
      </c>
      <c r="I118" s="187">
        <v>1.22</v>
      </c>
      <c r="J118" s="188">
        <v>1.72</v>
      </c>
      <c r="K118" s="187">
        <v>5.31</v>
      </c>
      <c r="L118" s="192">
        <v>30.6</v>
      </c>
      <c r="M118" s="189">
        <v>5170</v>
      </c>
      <c r="N118" s="189">
        <v>468</v>
      </c>
      <c r="O118" s="189">
        <v>414</v>
      </c>
      <c r="P118" s="192">
        <v>10.4</v>
      </c>
      <c r="Q118" s="189">
        <v>443</v>
      </c>
      <c r="R118" s="189">
        <v>105</v>
      </c>
      <c r="S118" s="192">
        <v>68.400000000000006</v>
      </c>
      <c r="T118" s="188">
        <v>3.05</v>
      </c>
      <c r="U118" s="192">
        <v>18.5</v>
      </c>
      <c r="V118" s="189">
        <v>62600</v>
      </c>
      <c r="W118" s="187">
        <v>3.57</v>
      </c>
      <c r="X118" s="185">
        <v>23.8</v>
      </c>
      <c r="AA118" s="39" t="str">
        <f t="shared" si="1"/>
        <v>W</v>
      </c>
    </row>
    <row r="119" spans="1:27" x14ac:dyDescent="0.2">
      <c r="A119" s="185" t="s">
        <v>2</v>
      </c>
      <c r="B119" s="185" t="s">
        <v>117</v>
      </c>
      <c r="C119" s="14" t="s">
        <v>618</v>
      </c>
      <c r="D119" s="185">
        <v>146</v>
      </c>
      <c r="E119" s="186">
        <v>43</v>
      </c>
      <c r="F119" s="186">
        <v>24.7</v>
      </c>
      <c r="G119" s="186">
        <v>12.9</v>
      </c>
      <c r="H119" s="190">
        <v>0.65</v>
      </c>
      <c r="I119" s="187">
        <v>1.0900000000000001</v>
      </c>
      <c r="J119" s="188">
        <v>1.59</v>
      </c>
      <c r="K119" s="187">
        <v>5.92</v>
      </c>
      <c r="L119" s="192">
        <v>33.200000000000003</v>
      </c>
      <c r="M119" s="189">
        <v>4580</v>
      </c>
      <c r="N119" s="189">
        <v>418</v>
      </c>
      <c r="O119" s="189">
        <v>371</v>
      </c>
      <c r="P119" s="192">
        <v>10.3</v>
      </c>
      <c r="Q119" s="189">
        <v>391</v>
      </c>
      <c r="R119" s="192">
        <v>93.2</v>
      </c>
      <c r="S119" s="192">
        <v>60.5</v>
      </c>
      <c r="T119" s="188">
        <v>3.01</v>
      </c>
      <c r="U119" s="192">
        <v>13.4</v>
      </c>
      <c r="V119" s="189">
        <v>54600</v>
      </c>
      <c r="W119" s="187">
        <v>3.53</v>
      </c>
      <c r="X119" s="185">
        <v>23.6</v>
      </c>
      <c r="AA119" s="39" t="str">
        <f t="shared" si="1"/>
        <v>W</v>
      </c>
    </row>
    <row r="120" spans="1:27" x14ac:dyDescent="0.2">
      <c r="A120" s="185" t="s">
        <v>2</v>
      </c>
      <c r="B120" s="185" t="s">
        <v>118</v>
      </c>
      <c r="C120" s="14" t="s">
        <v>618</v>
      </c>
      <c r="D120" s="185">
        <v>131</v>
      </c>
      <c r="E120" s="186">
        <v>38.6</v>
      </c>
      <c r="F120" s="186">
        <v>24.5</v>
      </c>
      <c r="G120" s="186">
        <v>12.9</v>
      </c>
      <c r="H120" s="190">
        <v>0.60499999999999998</v>
      </c>
      <c r="I120" s="190">
        <v>0.96</v>
      </c>
      <c r="J120" s="188">
        <v>1.46</v>
      </c>
      <c r="K120" s="187">
        <v>6.7</v>
      </c>
      <c r="L120" s="192">
        <v>35.6</v>
      </c>
      <c r="M120" s="189">
        <v>4020</v>
      </c>
      <c r="N120" s="189">
        <v>370</v>
      </c>
      <c r="O120" s="189">
        <v>329</v>
      </c>
      <c r="P120" s="192">
        <v>10.199999999999999</v>
      </c>
      <c r="Q120" s="189">
        <v>340</v>
      </c>
      <c r="R120" s="192">
        <v>81.5</v>
      </c>
      <c r="S120" s="192">
        <v>53</v>
      </c>
      <c r="T120" s="188">
        <v>2.97</v>
      </c>
      <c r="U120" s="188">
        <v>9.5</v>
      </c>
      <c r="V120" s="189">
        <v>47100</v>
      </c>
      <c r="W120" s="187">
        <v>3.49</v>
      </c>
      <c r="X120" s="185">
        <v>23.5</v>
      </c>
      <c r="AA120" s="39" t="str">
        <f t="shared" si="1"/>
        <v>W</v>
      </c>
    </row>
    <row r="121" spans="1:27" x14ac:dyDescent="0.2">
      <c r="A121" s="185" t="s">
        <v>2</v>
      </c>
      <c r="B121" s="185" t="s">
        <v>119</v>
      </c>
      <c r="C121" s="14" t="s">
        <v>618</v>
      </c>
      <c r="D121" s="185">
        <v>117</v>
      </c>
      <c r="E121" s="186">
        <v>34.4</v>
      </c>
      <c r="F121" s="186">
        <v>24.3</v>
      </c>
      <c r="G121" s="186">
        <v>12.8</v>
      </c>
      <c r="H121" s="190">
        <v>0.55000000000000004</v>
      </c>
      <c r="I121" s="190">
        <v>0.85</v>
      </c>
      <c r="J121" s="188">
        <v>1.35</v>
      </c>
      <c r="K121" s="187">
        <v>7.53</v>
      </c>
      <c r="L121" s="192">
        <v>39.200000000000003</v>
      </c>
      <c r="M121" s="189">
        <v>3540</v>
      </c>
      <c r="N121" s="189">
        <v>327</v>
      </c>
      <c r="O121" s="189">
        <v>291</v>
      </c>
      <c r="P121" s="192">
        <v>10.1</v>
      </c>
      <c r="Q121" s="189">
        <v>297</v>
      </c>
      <c r="R121" s="192">
        <v>71.400000000000006</v>
      </c>
      <c r="S121" s="192">
        <v>46.5</v>
      </c>
      <c r="T121" s="188">
        <v>2.94</v>
      </c>
      <c r="U121" s="188">
        <v>6.72</v>
      </c>
      <c r="V121" s="189">
        <v>40800</v>
      </c>
      <c r="W121" s="187">
        <v>3.46</v>
      </c>
      <c r="X121" s="185">
        <v>23.5</v>
      </c>
      <c r="AA121" s="39" t="str">
        <f t="shared" si="1"/>
        <v>W</v>
      </c>
    </row>
    <row r="122" spans="1:27" x14ac:dyDescent="0.2">
      <c r="A122" s="185" t="s">
        <v>2</v>
      </c>
      <c r="B122" s="185" t="s">
        <v>120</v>
      </c>
      <c r="C122" s="14" t="s">
        <v>618</v>
      </c>
      <c r="D122" s="185">
        <v>104</v>
      </c>
      <c r="E122" s="186">
        <v>30.7</v>
      </c>
      <c r="F122" s="186">
        <v>24.1</v>
      </c>
      <c r="G122" s="186">
        <v>12.8</v>
      </c>
      <c r="H122" s="190">
        <v>0.5</v>
      </c>
      <c r="I122" s="190">
        <v>0.75</v>
      </c>
      <c r="J122" s="188">
        <v>1.25</v>
      </c>
      <c r="K122" s="187">
        <v>8.5</v>
      </c>
      <c r="L122" s="192">
        <v>43.1</v>
      </c>
      <c r="M122" s="189">
        <v>3100</v>
      </c>
      <c r="N122" s="189">
        <v>289</v>
      </c>
      <c r="O122" s="189">
        <v>258</v>
      </c>
      <c r="P122" s="192">
        <v>10.1</v>
      </c>
      <c r="Q122" s="189">
        <v>259</v>
      </c>
      <c r="R122" s="192">
        <v>62.4</v>
      </c>
      <c r="S122" s="192">
        <v>40.700000000000003</v>
      </c>
      <c r="T122" s="188">
        <v>2.91</v>
      </c>
      <c r="U122" s="188">
        <v>4.72</v>
      </c>
      <c r="V122" s="189">
        <v>35200</v>
      </c>
      <c r="W122" s="187">
        <v>3.42</v>
      </c>
      <c r="X122" s="185">
        <v>23.4</v>
      </c>
      <c r="AA122" s="39" t="str">
        <f t="shared" si="1"/>
        <v>W</v>
      </c>
    </row>
    <row r="123" spans="1:27" x14ac:dyDescent="0.2">
      <c r="A123" s="185" t="s">
        <v>2</v>
      </c>
      <c r="B123" s="185" t="s">
        <v>121</v>
      </c>
      <c r="C123" s="14" t="s">
        <v>618</v>
      </c>
      <c r="D123" s="185">
        <v>103</v>
      </c>
      <c r="E123" s="186">
        <v>30.3</v>
      </c>
      <c r="F123" s="186">
        <v>24.5</v>
      </c>
      <c r="G123" s="187">
        <v>9</v>
      </c>
      <c r="H123" s="190">
        <v>0.55000000000000004</v>
      </c>
      <c r="I123" s="190">
        <v>0.98</v>
      </c>
      <c r="J123" s="188">
        <v>1.48</v>
      </c>
      <c r="K123" s="187">
        <v>4.59</v>
      </c>
      <c r="L123" s="192">
        <v>39.200000000000003</v>
      </c>
      <c r="M123" s="189">
        <v>3000</v>
      </c>
      <c r="N123" s="189">
        <v>280</v>
      </c>
      <c r="O123" s="189">
        <v>245</v>
      </c>
      <c r="P123" s="192">
        <v>10</v>
      </c>
      <c r="Q123" s="189">
        <v>119</v>
      </c>
      <c r="R123" s="192">
        <v>41.5</v>
      </c>
      <c r="S123" s="192">
        <v>26.5</v>
      </c>
      <c r="T123" s="188">
        <v>1.99</v>
      </c>
      <c r="U123" s="188">
        <v>7.07</v>
      </c>
      <c r="V123" s="189">
        <v>16600</v>
      </c>
      <c r="W123" s="187">
        <v>2.4</v>
      </c>
      <c r="X123" s="185">
        <v>23.5</v>
      </c>
      <c r="AA123" s="39" t="str">
        <f t="shared" si="1"/>
        <v>W</v>
      </c>
    </row>
    <row r="124" spans="1:27" x14ac:dyDescent="0.2">
      <c r="A124" s="185" t="s">
        <v>2</v>
      </c>
      <c r="B124" s="185" t="s">
        <v>122</v>
      </c>
      <c r="C124" s="14" t="s">
        <v>618</v>
      </c>
      <c r="D124" s="186">
        <v>94</v>
      </c>
      <c r="E124" s="186">
        <v>27.7</v>
      </c>
      <c r="F124" s="186">
        <v>24.3</v>
      </c>
      <c r="G124" s="187">
        <v>9.07</v>
      </c>
      <c r="H124" s="190">
        <v>0.51500000000000001</v>
      </c>
      <c r="I124" s="190">
        <v>0.875</v>
      </c>
      <c r="J124" s="188">
        <v>1.38</v>
      </c>
      <c r="K124" s="187">
        <v>5.18</v>
      </c>
      <c r="L124" s="192">
        <v>41.9</v>
      </c>
      <c r="M124" s="189">
        <v>2700</v>
      </c>
      <c r="N124" s="189">
        <v>254</v>
      </c>
      <c r="O124" s="189">
        <v>222</v>
      </c>
      <c r="P124" s="188">
        <v>9.8699999999999992</v>
      </c>
      <c r="Q124" s="189">
        <v>109</v>
      </c>
      <c r="R124" s="192">
        <v>37.5</v>
      </c>
      <c r="S124" s="192">
        <v>24</v>
      </c>
      <c r="T124" s="188">
        <v>1.98</v>
      </c>
      <c r="U124" s="188">
        <v>5.26</v>
      </c>
      <c r="V124" s="189">
        <v>15000</v>
      </c>
      <c r="W124" s="187">
        <v>2.4</v>
      </c>
      <c r="X124" s="185">
        <v>23.4</v>
      </c>
      <c r="AA124" s="39" t="str">
        <f t="shared" si="1"/>
        <v>W</v>
      </c>
    </row>
    <row r="125" spans="1:27" x14ac:dyDescent="0.2">
      <c r="A125" s="185" t="s">
        <v>2</v>
      </c>
      <c r="B125" s="185" t="s">
        <v>123</v>
      </c>
      <c r="C125" s="14" t="s">
        <v>618</v>
      </c>
      <c r="D125" s="186">
        <v>84</v>
      </c>
      <c r="E125" s="186">
        <v>24.7</v>
      </c>
      <c r="F125" s="186">
        <v>24.1</v>
      </c>
      <c r="G125" s="187">
        <v>9.02</v>
      </c>
      <c r="H125" s="190">
        <v>0.47</v>
      </c>
      <c r="I125" s="190">
        <v>0.77</v>
      </c>
      <c r="J125" s="188">
        <v>1.27</v>
      </c>
      <c r="K125" s="187">
        <v>5.86</v>
      </c>
      <c r="L125" s="192">
        <v>45.9</v>
      </c>
      <c r="M125" s="189">
        <v>2370</v>
      </c>
      <c r="N125" s="189">
        <v>224</v>
      </c>
      <c r="O125" s="189">
        <v>196</v>
      </c>
      <c r="P125" s="188">
        <v>9.7899999999999991</v>
      </c>
      <c r="Q125" s="192">
        <v>94.4</v>
      </c>
      <c r="R125" s="192">
        <v>32.6</v>
      </c>
      <c r="S125" s="192">
        <v>20.9</v>
      </c>
      <c r="T125" s="188">
        <v>1.95</v>
      </c>
      <c r="U125" s="188">
        <v>3.7</v>
      </c>
      <c r="V125" s="189">
        <v>12800</v>
      </c>
      <c r="W125" s="187">
        <v>2.37</v>
      </c>
      <c r="X125" s="185">
        <v>23.3</v>
      </c>
      <c r="AA125" s="39" t="str">
        <f t="shared" si="1"/>
        <v>W</v>
      </c>
    </row>
    <row r="126" spans="1:27" x14ac:dyDescent="0.2">
      <c r="A126" s="185" t="s">
        <v>2</v>
      </c>
      <c r="B126" s="185" t="s">
        <v>124</v>
      </c>
      <c r="C126" s="14" t="s">
        <v>618</v>
      </c>
      <c r="D126" s="186">
        <v>76</v>
      </c>
      <c r="E126" s="186">
        <v>22.4</v>
      </c>
      <c r="F126" s="186">
        <v>23.9</v>
      </c>
      <c r="G126" s="187">
        <v>8.99</v>
      </c>
      <c r="H126" s="190">
        <v>0.44</v>
      </c>
      <c r="I126" s="190">
        <v>0.68</v>
      </c>
      <c r="J126" s="188">
        <v>1.18</v>
      </c>
      <c r="K126" s="187">
        <v>6.61</v>
      </c>
      <c r="L126" s="192">
        <v>49</v>
      </c>
      <c r="M126" s="189">
        <v>2100</v>
      </c>
      <c r="N126" s="189">
        <v>200</v>
      </c>
      <c r="O126" s="189">
        <v>176</v>
      </c>
      <c r="P126" s="188">
        <v>9.69</v>
      </c>
      <c r="Q126" s="192">
        <v>82.5</v>
      </c>
      <c r="R126" s="192">
        <v>28.6</v>
      </c>
      <c r="S126" s="192">
        <v>18.399999999999999</v>
      </c>
      <c r="T126" s="188">
        <v>1.92</v>
      </c>
      <c r="U126" s="188">
        <v>2.68</v>
      </c>
      <c r="V126" s="189">
        <v>11100</v>
      </c>
      <c r="W126" s="187">
        <v>2.33</v>
      </c>
      <c r="X126" s="185">
        <v>23.2</v>
      </c>
      <c r="AA126" s="39" t="str">
        <f t="shared" si="1"/>
        <v>W</v>
      </c>
    </row>
    <row r="127" spans="1:27" x14ac:dyDescent="0.2">
      <c r="A127" s="185" t="s">
        <v>2</v>
      </c>
      <c r="B127" s="185" t="s">
        <v>125</v>
      </c>
      <c r="C127" s="14" t="s">
        <v>618</v>
      </c>
      <c r="D127" s="186">
        <v>68</v>
      </c>
      <c r="E127" s="186">
        <v>20.100000000000001</v>
      </c>
      <c r="F127" s="186">
        <v>23.7</v>
      </c>
      <c r="G127" s="187">
        <v>8.9700000000000006</v>
      </c>
      <c r="H127" s="190">
        <v>0.41499999999999998</v>
      </c>
      <c r="I127" s="190">
        <v>0.58499999999999996</v>
      </c>
      <c r="J127" s="188">
        <v>1.0900000000000001</v>
      </c>
      <c r="K127" s="187">
        <v>7.66</v>
      </c>
      <c r="L127" s="192">
        <v>52</v>
      </c>
      <c r="M127" s="189">
        <v>1830</v>
      </c>
      <c r="N127" s="189">
        <v>177</v>
      </c>
      <c r="O127" s="189">
        <v>154</v>
      </c>
      <c r="P127" s="188">
        <v>9.5500000000000007</v>
      </c>
      <c r="Q127" s="192">
        <v>70.400000000000006</v>
      </c>
      <c r="R127" s="192">
        <v>24.5</v>
      </c>
      <c r="S127" s="192">
        <v>15.7</v>
      </c>
      <c r="T127" s="188">
        <v>1.87</v>
      </c>
      <c r="U127" s="188">
        <v>1.87</v>
      </c>
      <c r="V127" s="189">
        <v>9430</v>
      </c>
      <c r="W127" s="187">
        <v>2.2999999999999998</v>
      </c>
      <c r="X127" s="185">
        <v>23.1</v>
      </c>
      <c r="AA127" s="39" t="str">
        <f t="shared" si="1"/>
        <v>W</v>
      </c>
    </row>
    <row r="128" spans="1:27" x14ac:dyDescent="0.2">
      <c r="A128" s="185" t="s">
        <v>2</v>
      </c>
      <c r="B128" s="185" t="s">
        <v>126</v>
      </c>
      <c r="C128" s="14" t="s">
        <v>618</v>
      </c>
      <c r="D128" s="186">
        <v>62</v>
      </c>
      <c r="E128" s="186">
        <v>18.2</v>
      </c>
      <c r="F128" s="186">
        <v>23.7</v>
      </c>
      <c r="G128" s="187">
        <v>7.04</v>
      </c>
      <c r="H128" s="190">
        <v>0.43</v>
      </c>
      <c r="I128" s="190">
        <v>0.59</v>
      </c>
      <c r="J128" s="187">
        <v>1.0900000000000001</v>
      </c>
      <c r="K128" s="187">
        <v>5.97</v>
      </c>
      <c r="L128" s="186">
        <v>50.1</v>
      </c>
      <c r="M128" s="185">
        <v>1550</v>
      </c>
      <c r="N128" s="185">
        <v>153</v>
      </c>
      <c r="O128" s="185">
        <v>131</v>
      </c>
      <c r="P128" s="187">
        <v>9.23</v>
      </c>
      <c r="Q128" s="186">
        <v>34.5</v>
      </c>
      <c r="R128" s="186">
        <v>15.7</v>
      </c>
      <c r="S128" s="187">
        <v>9.8000000000000007</v>
      </c>
      <c r="T128" s="187">
        <v>1.38</v>
      </c>
      <c r="U128" s="187">
        <v>1.71</v>
      </c>
      <c r="V128" s="185">
        <v>4620</v>
      </c>
      <c r="W128" s="185">
        <v>1.75</v>
      </c>
      <c r="X128" s="185">
        <v>23.1</v>
      </c>
      <c r="AA128" s="39" t="str">
        <f t="shared" si="1"/>
        <v>W</v>
      </c>
    </row>
    <row r="129" spans="1:27" x14ac:dyDescent="0.2">
      <c r="A129" s="185" t="s">
        <v>2</v>
      </c>
      <c r="B129" s="185" t="s">
        <v>127</v>
      </c>
      <c r="C129" s="14" t="s">
        <v>618</v>
      </c>
      <c r="D129" s="186">
        <v>55</v>
      </c>
      <c r="E129" s="186">
        <v>16.2</v>
      </c>
      <c r="F129" s="186">
        <v>23.6</v>
      </c>
      <c r="G129" s="187">
        <v>7.01</v>
      </c>
      <c r="H129" s="190">
        <v>0.39500000000000002</v>
      </c>
      <c r="I129" s="190">
        <v>0.505</v>
      </c>
      <c r="J129" s="187">
        <v>1.01</v>
      </c>
      <c r="K129" s="187">
        <v>6.94</v>
      </c>
      <c r="L129" s="186">
        <v>54.6</v>
      </c>
      <c r="M129" s="185">
        <v>1350</v>
      </c>
      <c r="N129" s="185">
        <v>134</v>
      </c>
      <c r="O129" s="185">
        <v>114</v>
      </c>
      <c r="P129" s="187">
        <v>9.11</v>
      </c>
      <c r="Q129" s="186">
        <v>29.1</v>
      </c>
      <c r="R129" s="186">
        <v>13.3</v>
      </c>
      <c r="S129" s="187">
        <v>8.3000000000000007</v>
      </c>
      <c r="T129" s="187">
        <v>1.34</v>
      </c>
      <c r="U129" s="187">
        <v>1.18</v>
      </c>
      <c r="V129" s="185">
        <v>3870</v>
      </c>
      <c r="W129" s="185">
        <v>1.72</v>
      </c>
      <c r="X129" s="185">
        <v>23.1</v>
      </c>
      <c r="AA129" s="39" t="str">
        <f t="shared" si="1"/>
        <v>W</v>
      </c>
    </row>
    <row r="130" spans="1:27" x14ac:dyDescent="0.2">
      <c r="A130" s="185" t="s">
        <v>2</v>
      </c>
      <c r="B130" s="185" t="s">
        <v>128</v>
      </c>
      <c r="C130" s="14" t="s">
        <v>618</v>
      </c>
      <c r="D130" s="191">
        <v>275</v>
      </c>
      <c r="E130" s="21">
        <v>81.8</v>
      </c>
      <c r="F130" s="186">
        <v>24.1</v>
      </c>
      <c r="G130" s="186">
        <v>12.9</v>
      </c>
      <c r="H130" s="187">
        <v>1.22</v>
      </c>
      <c r="I130" s="187">
        <v>2.19</v>
      </c>
      <c r="J130" s="187">
        <v>3.37</v>
      </c>
      <c r="K130" s="187">
        <v>2.95</v>
      </c>
      <c r="L130" s="186">
        <v>14.2</v>
      </c>
      <c r="M130" s="19">
        <v>7690</v>
      </c>
      <c r="N130" s="19">
        <v>749</v>
      </c>
      <c r="O130" s="19">
        <v>638</v>
      </c>
      <c r="P130" s="187">
        <v>9.6999999999999993</v>
      </c>
      <c r="Q130" s="19">
        <v>787</v>
      </c>
      <c r="R130" s="19">
        <v>191</v>
      </c>
      <c r="S130" s="19">
        <v>122</v>
      </c>
      <c r="T130" s="20">
        <v>3.1</v>
      </c>
      <c r="U130" s="18">
        <v>107</v>
      </c>
      <c r="V130" s="19">
        <v>94400</v>
      </c>
      <c r="W130" s="187">
        <v>3.68</v>
      </c>
      <c r="X130" s="186">
        <v>21.9</v>
      </c>
      <c r="AA130" s="39" t="str">
        <f t="shared" si="1"/>
        <v>W</v>
      </c>
    </row>
    <row r="131" spans="1:27" x14ac:dyDescent="0.2">
      <c r="A131" s="185" t="s">
        <v>2</v>
      </c>
      <c r="B131" s="185" t="s">
        <v>129</v>
      </c>
      <c r="C131" s="14" t="s">
        <v>618</v>
      </c>
      <c r="D131" s="191">
        <v>248</v>
      </c>
      <c r="E131" s="21">
        <v>73.8</v>
      </c>
      <c r="F131" s="186">
        <v>23.7</v>
      </c>
      <c r="G131" s="186">
        <v>12.8</v>
      </c>
      <c r="H131" s="187">
        <v>1.1000000000000001</v>
      </c>
      <c r="I131" s="187">
        <v>1.99</v>
      </c>
      <c r="J131" s="187">
        <v>3.17</v>
      </c>
      <c r="K131" s="187">
        <v>3.22</v>
      </c>
      <c r="L131" s="186">
        <v>15.8</v>
      </c>
      <c r="M131" s="19">
        <v>6830</v>
      </c>
      <c r="N131" s="19">
        <v>671</v>
      </c>
      <c r="O131" s="19">
        <v>576</v>
      </c>
      <c r="P131" s="187">
        <v>9.6199999999999992</v>
      </c>
      <c r="Q131" s="19">
        <v>699</v>
      </c>
      <c r="R131" s="19">
        <v>170</v>
      </c>
      <c r="S131" s="19">
        <v>109</v>
      </c>
      <c r="T131" s="20">
        <v>3.08</v>
      </c>
      <c r="U131" s="21">
        <v>80.7</v>
      </c>
      <c r="V131" s="19">
        <v>82400</v>
      </c>
      <c r="W131" s="187">
        <v>3.63</v>
      </c>
      <c r="X131" s="186">
        <v>21.7</v>
      </c>
      <c r="AA131" s="39" t="str">
        <f t="shared" si="1"/>
        <v>W</v>
      </c>
    </row>
    <row r="132" spans="1:27" x14ac:dyDescent="0.2">
      <c r="A132" s="185" t="s">
        <v>2</v>
      </c>
      <c r="B132" s="185" t="s">
        <v>130</v>
      </c>
      <c r="C132" s="14" t="s">
        <v>618</v>
      </c>
      <c r="D132" s="191">
        <v>223</v>
      </c>
      <c r="E132" s="21">
        <v>66.5</v>
      </c>
      <c r="F132" s="186">
        <v>23.4</v>
      </c>
      <c r="G132" s="186">
        <v>12.7</v>
      </c>
      <c r="H132" s="187">
        <v>1</v>
      </c>
      <c r="I132" s="187">
        <v>1.79</v>
      </c>
      <c r="J132" s="187">
        <v>2.9699999999999998</v>
      </c>
      <c r="K132" s="187">
        <v>3.55</v>
      </c>
      <c r="L132" s="186">
        <v>17.5</v>
      </c>
      <c r="M132" s="19">
        <v>6080</v>
      </c>
      <c r="N132" s="19">
        <v>601</v>
      </c>
      <c r="O132" s="19">
        <v>520</v>
      </c>
      <c r="P132" s="187">
        <v>9.56</v>
      </c>
      <c r="Q132" s="19">
        <v>614</v>
      </c>
      <c r="R132" s="19">
        <v>150</v>
      </c>
      <c r="S132" s="19">
        <v>96.7</v>
      </c>
      <c r="T132" s="20">
        <v>3.04</v>
      </c>
      <c r="U132" s="21">
        <v>59.5</v>
      </c>
      <c r="V132" s="19">
        <v>71700</v>
      </c>
      <c r="W132" s="187">
        <v>3.57</v>
      </c>
      <c r="X132" s="186">
        <v>21.6</v>
      </c>
      <c r="AA132" s="39" t="str">
        <f t="shared" ref="AA132:AA195" si="2">A132</f>
        <v>W</v>
      </c>
    </row>
    <row r="133" spans="1:27" x14ac:dyDescent="0.2">
      <c r="A133" s="185" t="s">
        <v>2</v>
      </c>
      <c r="B133" s="185" t="s">
        <v>131</v>
      </c>
      <c r="C133" s="14" t="s">
        <v>618</v>
      </c>
      <c r="D133" s="185">
        <v>201</v>
      </c>
      <c r="E133" s="186">
        <v>59.3</v>
      </c>
      <c r="F133" s="186">
        <v>23</v>
      </c>
      <c r="G133" s="186">
        <v>12.6</v>
      </c>
      <c r="H133" s="190">
        <v>0.91</v>
      </c>
      <c r="I133" s="187">
        <v>1.63</v>
      </c>
      <c r="J133" s="188">
        <v>2.13</v>
      </c>
      <c r="K133" s="187">
        <v>3.86</v>
      </c>
      <c r="L133" s="192">
        <v>20.6</v>
      </c>
      <c r="M133" s="189">
        <v>5310</v>
      </c>
      <c r="N133" s="189">
        <v>530</v>
      </c>
      <c r="O133" s="189">
        <v>461</v>
      </c>
      <c r="P133" s="188">
        <v>9.4700000000000006</v>
      </c>
      <c r="Q133" s="189">
        <v>542</v>
      </c>
      <c r="R133" s="189">
        <v>133</v>
      </c>
      <c r="S133" s="192">
        <v>86.1</v>
      </c>
      <c r="T133" s="188">
        <v>3.02</v>
      </c>
      <c r="U133" s="192">
        <v>40.9</v>
      </c>
      <c r="V133" s="189">
        <v>62000</v>
      </c>
      <c r="W133" s="187">
        <v>3.55</v>
      </c>
      <c r="X133" s="185">
        <v>21.4</v>
      </c>
      <c r="AA133" s="39" t="str">
        <f t="shared" si="2"/>
        <v>W</v>
      </c>
    </row>
    <row r="134" spans="1:27" x14ac:dyDescent="0.2">
      <c r="A134" s="185" t="s">
        <v>2</v>
      </c>
      <c r="B134" s="185" t="s">
        <v>132</v>
      </c>
      <c r="C134" s="14" t="s">
        <v>618</v>
      </c>
      <c r="D134" s="185">
        <v>182</v>
      </c>
      <c r="E134" s="186">
        <v>53.6</v>
      </c>
      <c r="F134" s="186">
        <v>22.7</v>
      </c>
      <c r="G134" s="186">
        <v>12.5</v>
      </c>
      <c r="H134" s="190">
        <v>0.83</v>
      </c>
      <c r="I134" s="187">
        <v>1.48</v>
      </c>
      <c r="J134" s="188">
        <v>1.98</v>
      </c>
      <c r="K134" s="187">
        <v>4.22</v>
      </c>
      <c r="L134" s="192">
        <v>22.6</v>
      </c>
      <c r="M134" s="189">
        <v>4730</v>
      </c>
      <c r="N134" s="189">
        <v>476</v>
      </c>
      <c r="O134" s="189">
        <v>417</v>
      </c>
      <c r="P134" s="188">
        <v>9.4</v>
      </c>
      <c r="Q134" s="189">
        <v>483</v>
      </c>
      <c r="R134" s="189">
        <v>119</v>
      </c>
      <c r="S134" s="192">
        <v>77.2</v>
      </c>
      <c r="T134" s="188">
        <v>3</v>
      </c>
      <c r="U134" s="192">
        <v>30.7</v>
      </c>
      <c r="V134" s="189">
        <v>54400</v>
      </c>
      <c r="W134" s="187">
        <v>3.51</v>
      </c>
      <c r="X134" s="185">
        <v>21.2</v>
      </c>
      <c r="AA134" s="39" t="str">
        <f t="shared" si="2"/>
        <v>W</v>
      </c>
    </row>
    <row r="135" spans="1:27" x14ac:dyDescent="0.2">
      <c r="A135" s="185" t="s">
        <v>2</v>
      </c>
      <c r="B135" s="185" t="s">
        <v>133</v>
      </c>
      <c r="C135" s="14" t="s">
        <v>618</v>
      </c>
      <c r="D135" s="185">
        <v>166</v>
      </c>
      <c r="E135" s="186">
        <v>48.8</v>
      </c>
      <c r="F135" s="186">
        <v>22.5</v>
      </c>
      <c r="G135" s="186">
        <v>12.4</v>
      </c>
      <c r="H135" s="190">
        <v>0.75</v>
      </c>
      <c r="I135" s="187">
        <v>1.36</v>
      </c>
      <c r="J135" s="188">
        <v>1.86</v>
      </c>
      <c r="K135" s="187">
        <v>4.57</v>
      </c>
      <c r="L135" s="192">
        <v>25</v>
      </c>
      <c r="M135" s="189">
        <v>4280</v>
      </c>
      <c r="N135" s="189">
        <v>432</v>
      </c>
      <c r="O135" s="189">
        <v>380</v>
      </c>
      <c r="P135" s="188">
        <v>9.36</v>
      </c>
      <c r="Q135" s="189">
        <v>435</v>
      </c>
      <c r="R135" s="189">
        <v>108</v>
      </c>
      <c r="S135" s="192">
        <v>70</v>
      </c>
      <c r="T135" s="188">
        <v>2.99</v>
      </c>
      <c r="U135" s="192">
        <v>23.6</v>
      </c>
      <c r="V135" s="189">
        <v>48500</v>
      </c>
      <c r="W135" s="187">
        <v>3.48</v>
      </c>
      <c r="X135" s="185">
        <v>21.1</v>
      </c>
      <c r="AA135" s="39" t="str">
        <f t="shared" si="2"/>
        <v>W</v>
      </c>
    </row>
    <row r="136" spans="1:27" x14ac:dyDescent="0.2">
      <c r="A136" s="185" t="s">
        <v>2</v>
      </c>
      <c r="B136" s="185" t="s">
        <v>134</v>
      </c>
      <c r="C136" s="14" t="s">
        <v>618</v>
      </c>
      <c r="D136" s="185">
        <v>147</v>
      </c>
      <c r="E136" s="186">
        <v>43.2</v>
      </c>
      <c r="F136" s="186">
        <v>22.1</v>
      </c>
      <c r="G136" s="186">
        <v>12.5</v>
      </c>
      <c r="H136" s="190">
        <v>0.72</v>
      </c>
      <c r="I136" s="187">
        <v>1.1499999999999999</v>
      </c>
      <c r="J136" s="188">
        <v>1.65</v>
      </c>
      <c r="K136" s="187">
        <v>5.44</v>
      </c>
      <c r="L136" s="192">
        <v>26.1</v>
      </c>
      <c r="M136" s="189">
        <v>3630</v>
      </c>
      <c r="N136" s="189">
        <v>373</v>
      </c>
      <c r="O136" s="189">
        <v>329</v>
      </c>
      <c r="P136" s="188">
        <v>9.17</v>
      </c>
      <c r="Q136" s="189">
        <v>376</v>
      </c>
      <c r="R136" s="192">
        <v>92.6</v>
      </c>
      <c r="S136" s="192">
        <v>60.1</v>
      </c>
      <c r="T136" s="188">
        <v>2.95</v>
      </c>
      <c r="U136" s="192">
        <v>15.4</v>
      </c>
      <c r="V136" s="189">
        <v>41100</v>
      </c>
      <c r="W136" s="187">
        <v>3.46</v>
      </c>
      <c r="X136" s="186">
        <v>21</v>
      </c>
      <c r="AA136" s="39" t="str">
        <f t="shared" si="2"/>
        <v>W</v>
      </c>
    </row>
    <row r="137" spans="1:27" x14ac:dyDescent="0.2">
      <c r="A137" s="185" t="s">
        <v>2</v>
      </c>
      <c r="B137" s="185" t="s">
        <v>135</v>
      </c>
      <c r="C137" s="14" t="s">
        <v>618</v>
      </c>
      <c r="D137" s="185">
        <v>132</v>
      </c>
      <c r="E137" s="186">
        <v>38.799999999999997</v>
      </c>
      <c r="F137" s="186">
        <v>21.8</v>
      </c>
      <c r="G137" s="186">
        <v>12.4</v>
      </c>
      <c r="H137" s="190">
        <v>0.65</v>
      </c>
      <c r="I137" s="187">
        <v>1.04</v>
      </c>
      <c r="J137" s="188">
        <v>1.54</v>
      </c>
      <c r="K137" s="187">
        <v>6.01</v>
      </c>
      <c r="L137" s="192">
        <v>28.9</v>
      </c>
      <c r="M137" s="189">
        <v>3220</v>
      </c>
      <c r="N137" s="189">
        <v>333</v>
      </c>
      <c r="O137" s="189">
        <v>295</v>
      </c>
      <c r="P137" s="188">
        <v>9.1199999999999992</v>
      </c>
      <c r="Q137" s="189">
        <v>333</v>
      </c>
      <c r="R137" s="192">
        <v>82.3</v>
      </c>
      <c r="S137" s="192">
        <v>53.5</v>
      </c>
      <c r="T137" s="188">
        <v>2.93</v>
      </c>
      <c r="U137" s="192">
        <v>11.3</v>
      </c>
      <c r="V137" s="189">
        <v>36000</v>
      </c>
      <c r="W137" s="187">
        <v>3.43</v>
      </c>
      <c r="X137" s="185">
        <v>20.8</v>
      </c>
      <c r="AA137" s="39" t="str">
        <f t="shared" si="2"/>
        <v>W</v>
      </c>
    </row>
    <row r="138" spans="1:27" x14ac:dyDescent="0.2">
      <c r="A138" s="185" t="s">
        <v>2</v>
      </c>
      <c r="B138" s="185" t="s">
        <v>136</v>
      </c>
      <c r="C138" s="14" t="s">
        <v>618</v>
      </c>
      <c r="D138" s="185">
        <v>122</v>
      </c>
      <c r="E138" s="186">
        <v>35.9</v>
      </c>
      <c r="F138" s="186">
        <v>21.7</v>
      </c>
      <c r="G138" s="186">
        <v>12.4</v>
      </c>
      <c r="H138" s="190">
        <v>0.6</v>
      </c>
      <c r="I138" s="190">
        <v>0.96</v>
      </c>
      <c r="J138" s="188">
        <v>1.46</v>
      </c>
      <c r="K138" s="187">
        <v>6.45</v>
      </c>
      <c r="L138" s="192">
        <v>31.3</v>
      </c>
      <c r="M138" s="189">
        <v>2960</v>
      </c>
      <c r="N138" s="189">
        <v>307</v>
      </c>
      <c r="O138" s="189">
        <v>273</v>
      </c>
      <c r="P138" s="188">
        <v>9.09</v>
      </c>
      <c r="Q138" s="189">
        <v>305</v>
      </c>
      <c r="R138" s="192">
        <v>75.599999999999994</v>
      </c>
      <c r="S138" s="192">
        <v>49.2</v>
      </c>
      <c r="T138" s="188">
        <v>2.92</v>
      </c>
      <c r="U138" s="188">
        <v>8.98</v>
      </c>
      <c r="V138" s="189">
        <v>32700</v>
      </c>
      <c r="W138" s="187">
        <v>3.4</v>
      </c>
      <c r="X138" s="185">
        <v>20.7</v>
      </c>
      <c r="AA138" s="39" t="str">
        <f t="shared" si="2"/>
        <v>W</v>
      </c>
    </row>
    <row r="139" spans="1:27" x14ac:dyDescent="0.2">
      <c r="A139" s="185" t="s">
        <v>2</v>
      </c>
      <c r="B139" s="185" t="s">
        <v>137</v>
      </c>
      <c r="C139" s="14" t="s">
        <v>618</v>
      </c>
      <c r="D139" s="185">
        <v>111</v>
      </c>
      <c r="E139" s="186">
        <v>32.6</v>
      </c>
      <c r="F139" s="186">
        <v>21.5</v>
      </c>
      <c r="G139" s="186">
        <v>12.3</v>
      </c>
      <c r="H139" s="190">
        <v>0.55000000000000004</v>
      </c>
      <c r="I139" s="190">
        <v>0.875</v>
      </c>
      <c r="J139" s="188">
        <v>1.38</v>
      </c>
      <c r="K139" s="187">
        <v>7.05</v>
      </c>
      <c r="L139" s="192">
        <v>34.1</v>
      </c>
      <c r="M139" s="189">
        <v>2670</v>
      </c>
      <c r="N139" s="189">
        <v>279</v>
      </c>
      <c r="O139" s="189">
        <v>249</v>
      </c>
      <c r="P139" s="188">
        <v>9.0500000000000007</v>
      </c>
      <c r="Q139" s="189">
        <v>274</v>
      </c>
      <c r="R139" s="192">
        <v>68.2</v>
      </c>
      <c r="S139" s="192">
        <v>44.5</v>
      </c>
      <c r="T139" s="188">
        <v>2.9</v>
      </c>
      <c r="U139" s="188">
        <v>6.83</v>
      </c>
      <c r="V139" s="189">
        <v>29200</v>
      </c>
      <c r="W139" s="187">
        <v>3.37</v>
      </c>
      <c r="X139" s="185">
        <v>20.6</v>
      </c>
      <c r="AA139" s="39" t="str">
        <f t="shared" si="2"/>
        <v>W</v>
      </c>
    </row>
    <row r="140" spans="1:27" x14ac:dyDescent="0.2">
      <c r="A140" s="185" t="s">
        <v>2</v>
      </c>
      <c r="B140" s="185" t="s">
        <v>138</v>
      </c>
      <c r="C140" s="14" t="s">
        <v>618</v>
      </c>
      <c r="D140" s="185">
        <v>101</v>
      </c>
      <c r="E140" s="186">
        <v>29.8</v>
      </c>
      <c r="F140" s="186">
        <v>21.4</v>
      </c>
      <c r="G140" s="186">
        <v>12.3</v>
      </c>
      <c r="H140" s="190">
        <v>0.5</v>
      </c>
      <c r="I140" s="190">
        <v>0.8</v>
      </c>
      <c r="J140" s="188">
        <v>1.3</v>
      </c>
      <c r="K140" s="187">
        <v>7.68</v>
      </c>
      <c r="L140" s="192">
        <v>37.5</v>
      </c>
      <c r="M140" s="189">
        <v>2420</v>
      </c>
      <c r="N140" s="189">
        <v>253</v>
      </c>
      <c r="O140" s="189">
        <v>227</v>
      </c>
      <c r="P140" s="188">
        <v>9.02</v>
      </c>
      <c r="Q140" s="189">
        <v>248</v>
      </c>
      <c r="R140" s="192">
        <v>61.7</v>
      </c>
      <c r="S140" s="192">
        <v>40.299999999999997</v>
      </c>
      <c r="T140" s="188">
        <v>2.89</v>
      </c>
      <c r="U140" s="188">
        <v>5.21</v>
      </c>
      <c r="V140" s="189">
        <v>26200</v>
      </c>
      <c r="W140" s="187">
        <v>3.35</v>
      </c>
      <c r="X140" s="185">
        <v>20.6</v>
      </c>
      <c r="AA140" s="39" t="str">
        <f t="shared" si="2"/>
        <v>W</v>
      </c>
    </row>
    <row r="141" spans="1:27" x14ac:dyDescent="0.2">
      <c r="A141" s="185" t="s">
        <v>2</v>
      </c>
      <c r="B141" s="185" t="s">
        <v>139</v>
      </c>
      <c r="C141" s="14" t="s">
        <v>618</v>
      </c>
      <c r="D141" s="186">
        <v>93</v>
      </c>
      <c r="E141" s="186">
        <v>27.3</v>
      </c>
      <c r="F141" s="186">
        <v>21.6</v>
      </c>
      <c r="G141" s="187">
        <v>8.42</v>
      </c>
      <c r="H141" s="190">
        <v>0.57999999999999996</v>
      </c>
      <c r="I141" s="190">
        <v>0.93</v>
      </c>
      <c r="J141" s="187">
        <v>1.43</v>
      </c>
      <c r="K141" s="187">
        <v>4.53</v>
      </c>
      <c r="L141" s="186">
        <v>32.299999999999997</v>
      </c>
      <c r="M141" s="185">
        <v>2070</v>
      </c>
      <c r="N141" s="185">
        <v>221</v>
      </c>
      <c r="O141" s="185">
        <v>192</v>
      </c>
      <c r="P141" s="187">
        <v>8.6999999999999993</v>
      </c>
      <c r="Q141" s="186">
        <v>92.9</v>
      </c>
      <c r="R141" s="186">
        <v>34.700000000000003</v>
      </c>
      <c r="S141" s="186">
        <v>22.1</v>
      </c>
      <c r="T141" s="187">
        <v>1.84</v>
      </c>
      <c r="U141" s="187">
        <v>6.03</v>
      </c>
      <c r="V141" s="185">
        <v>9940</v>
      </c>
      <c r="W141" s="185">
        <v>2.2400000000000002</v>
      </c>
      <c r="X141" s="185">
        <v>20.7</v>
      </c>
      <c r="AA141" s="39" t="str">
        <f t="shared" si="2"/>
        <v>W</v>
      </c>
    </row>
    <row r="142" spans="1:27" x14ac:dyDescent="0.2">
      <c r="A142" s="185" t="s">
        <v>2</v>
      </c>
      <c r="B142" s="185" t="s">
        <v>140</v>
      </c>
      <c r="C142" s="14" t="s">
        <v>618</v>
      </c>
      <c r="D142" s="186">
        <v>83</v>
      </c>
      <c r="E142" s="186">
        <v>24.4</v>
      </c>
      <c r="F142" s="186">
        <v>21.4</v>
      </c>
      <c r="G142" s="187">
        <v>8.36</v>
      </c>
      <c r="H142" s="190">
        <v>0.51500000000000001</v>
      </c>
      <c r="I142" s="190">
        <v>0.83499999999999996</v>
      </c>
      <c r="J142" s="187">
        <v>1.34</v>
      </c>
      <c r="K142" s="187">
        <v>5</v>
      </c>
      <c r="L142" s="186">
        <v>36.4</v>
      </c>
      <c r="M142" s="185">
        <v>1830</v>
      </c>
      <c r="N142" s="185">
        <v>196</v>
      </c>
      <c r="O142" s="185">
        <v>171</v>
      </c>
      <c r="P142" s="187">
        <v>8.67</v>
      </c>
      <c r="Q142" s="186">
        <v>81.400000000000006</v>
      </c>
      <c r="R142" s="186">
        <v>30.5</v>
      </c>
      <c r="S142" s="186">
        <v>19.5</v>
      </c>
      <c r="T142" s="187">
        <v>1.83</v>
      </c>
      <c r="U142" s="187">
        <v>4.34</v>
      </c>
      <c r="V142" s="185">
        <v>8630</v>
      </c>
      <c r="W142" s="185">
        <v>2.21</v>
      </c>
      <c r="X142" s="185">
        <v>20.6</v>
      </c>
      <c r="AA142" s="39" t="str">
        <f t="shared" si="2"/>
        <v>W</v>
      </c>
    </row>
    <row r="143" spans="1:27" x14ac:dyDescent="0.2">
      <c r="A143" s="185" t="s">
        <v>2</v>
      </c>
      <c r="B143" s="185" t="s">
        <v>141</v>
      </c>
      <c r="C143" s="14" t="s">
        <v>618</v>
      </c>
      <c r="D143" s="186">
        <v>73</v>
      </c>
      <c r="E143" s="186">
        <v>21.5</v>
      </c>
      <c r="F143" s="186">
        <v>21.2</v>
      </c>
      <c r="G143" s="187">
        <v>8.3000000000000007</v>
      </c>
      <c r="H143" s="190">
        <v>0.45500000000000002</v>
      </c>
      <c r="I143" s="190">
        <v>0.74</v>
      </c>
      <c r="J143" s="187">
        <v>1.24</v>
      </c>
      <c r="K143" s="187">
        <v>5.6</v>
      </c>
      <c r="L143" s="186">
        <v>41.2</v>
      </c>
      <c r="M143" s="185">
        <v>1600</v>
      </c>
      <c r="N143" s="185">
        <v>172</v>
      </c>
      <c r="O143" s="185">
        <v>151</v>
      </c>
      <c r="P143" s="187">
        <v>8.64</v>
      </c>
      <c r="Q143" s="186">
        <v>70.599999999999994</v>
      </c>
      <c r="R143" s="186">
        <v>26.6</v>
      </c>
      <c r="S143" s="186">
        <v>17</v>
      </c>
      <c r="T143" s="187">
        <v>1.81</v>
      </c>
      <c r="U143" s="187">
        <v>3.02</v>
      </c>
      <c r="V143" s="185">
        <v>7410</v>
      </c>
      <c r="W143" s="185">
        <v>2.19</v>
      </c>
      <c r="X143" s="185">
        <v>20.5</v>
      </c>
      <c r="AA143" s="39" t="str">
        <f t="shared" si="2"/>
        <v>W</v>
      </c>
    </row>
    <row r="144" spans="1:27" x14ac:dyDescent="0.2">
      <c r="A144" s="185" t="s">
        <v>2</v>
      </c>
      <c r="B144" s="185" t="s">
        <v>142</v>
      </c>
      <c r="C144" s="14" t="s">
        <v>618</v>
      </c>
      <c r="D144" s="186">
        <v>68</v>
      </c>
      <c r="E144" s="186">
        <v>20</v>
      </c>
      <c r="F144" s="186">
        <v>21.1</v>
      </c>
      <c r="G144" s="187">
        <v>8.27</v>
      </c>
      <c r="H144" s="190">
        <v>0.43</v>
      </c>
      <c r="I144" s="190">
        <v>0.68500000000000005</v>
      </c>
      <c r="J144" s="187">
        <v>1.19</v>
      </c>
      <c r="K144" s="187">
        <v>6.04</v>
      </c>
      <c r="L144" s="186">
        <v>43.6</v>
      </c>
      <c r="M144" s="185">
        <v>1480</v>
      </c>
      <c r="N144" s="185">
        <v>160</v>
      </c>
      <c r="O144" s="185">
        <v>140</v>
      </c>
      <c r="P144" s="187">
        <v>8.6</v>
      </c>
      <c r="Q144" s="186">
        <v>64.7</v>
      </c>
      <c r="R144" s="186">
        <v>24.4</v>
      </c>
      <c r="S144" s="186">
        <v>15.7</v>
      </c>
      <c r="T144" s="187">
        <v>1.8</v>
      </c>
      <c r="U144" s="187">
        <v>2.4500000000000002</v>
      </c>
      <c r="V144" s="185">
        <v>6760</v>
      </c>
      <c r="W144" s="185">
        <v>2.17</v>
      </c>
      <c r="X144" s="185">
        <v>20.399999999999999</v>
      </c>
      <c r="AA144" s="39" t="str">
        <f t="shared" si="2"/>
        <v>W</v>
      </c>
    </row>
    <row r="145" spans="1:27" x14ac:dyDescent="0.2">
      <c r="A145" s="185" t="s">
        <v>2</v>
      </c>
      <c r="B145" s="185" t="s">
        <v>143</v>
      </c>
      <c r="C145" s="14" t="s">
        <v>618</v>
      </c>
      <c r="D145" s="186">
        <v>62</v>
      </c>
      <c r="E145" s="186">
        <v>18.3</v>
      </c>
      <c r="F145" s="186">
        <v>21</v>
      </c>
      <c r="G145" s="187">
        <v>8.24</v>
      </c>
      <c r="H145" s="190">
        <v>0.4</v>
      </c>
      <c r="I145" s="190">
        <v>0.61499999999999999</v>
      </c>
      <c r="J145" s="187">
        <v>1.1200000000000001</v>
      </c>
      <c r="K145" s="187">
        <v>6.7</v>
      </c>
      <c r="L145" s="186">
        <v>46.9</v>
      </c>
      <c r="M145" s="185">
        <v>1330</v>
      </c>
      <c r="N145" s="185">
        <v>144</v>
      </c>
      <c r="O145" s="185">
        <v>127</v>
      </c>
      <c r="P145" s="187">
        <v>8.5399999999999991</v>
      </c>
      <c r="Q145" s="186">
        <v>57.5</v>
      </c>
      <c r="R145" s="186">
        <v>21.7</v>
      </c>
      <c r="S145" s="186">
        <v>14</v>
      </c>
      <c r="T145" s="187">
        <v>1.77</v>
      </c>
      <c r="U145" s="187">
        <v>1.83</v>
      </c>
      <c r="V145" s="185">
        <v>5960</v>
      </c>
      <c r="W145" s="185">
        <v>2.15</v>
      </c>
      <c r="X145" s="185">
        <v>20.399999999999999</v>
      </c>
      <c r="AA145" s="39" t="str">
        <f t="shared" si="2"/>
        <v>W</v>
      </c>
    </row>
    <row r="146" spans="1:27" x14ac:dyDescent="0.2">
      <c r="A146" s="185" t="s">
        <v>2</v>
      </c>
      <c r="B146" s="185" t="s">
        <v>144</v>
      </c>
      <c r="C146" s="14" t="s">
        <v>618</v>
      </c>
      <c r="D146" s="186">
        <v>55</v>
      </c>
      <c r="E146" s="186">
        <v>16.2</v>
      </c>
      <c r="F146" s="186">
        <v>20.8</v>
      </c>
      <c r="G146" s="187">
        <v>8.2200000000000006</v>
      </c>
      <c r="H146" s="190">
        <v>0.375</v>
      </c>
      <c r="I146" s="190">
        <v>0.52200000000000002</v>
      </c>
      <c r="J146" s="187">
        <v>1.02</v>
      </c>
      <c r="K146" s="187">
        <v>7.87</v>
      </c>
      <c r="L146" s="186">
        <v>50</v>
      </c>
      <c r="M146" s="185">
        <v>1140</v>
      </c>
      <c r="N146" s="185">
        <v>126</v>
      </c>
      <c r="O146" s="185">
        <v>110</v>
      </c>
      <c r="P146" s="187">
        <v>8.4</v>
      </c>
      <c r="Q146" s="186">
        <v>48.4</v>
      </c>
      <c r="R146" s="186">
        <v>18.399999999999999</v>
      </c>
      <c r="S146" s="186">
        <v>11.8</v>
      </c>
      <c r="T146" s="187">
        <v>1.73</v>
      </c>
      <c r="U146" s="187">
        <v>1.24</v>
      </c>
      <c r="V146" s="185">
        <v>4980</v>
      </c>
      <c r="W146" s="185">
        <v>2.11</v>
      </c>
      <c r="X146" s="186">
        <v>20.3</v>
      </c>
      <c r="AA146" s="39" t="str">
        <f t="shared" si="2"/>
        <v>W</v>
      </c>
    </row>
    <row r="147" spans="1:27" x14ac:dyDescent="0.2">
      <c r="A147" s="185" t="s">
        <v>2</v>
      </c>
      <c r="B147" s="185" t="s">
        <v>145</v>
      </c>
      <c r="C147" s="14" t="s">
        <v>618</v>
      </c>
      <c r="D147" s="186">
        <v>48</v>
      </c>
      <c r="E147" s="186">
        <v>14.1</v>
      </c>
      <c r="F147" s="186">
        <v>20.6</v>
      </c>
      <c r="G147" s="187">
        <v>8.14</v>
      </c>
      <c r="H147" s="190">
        <v>0.35</v>
      </c>
      <c r="I147" s="190">
        <v>0.43</v>
      </c>
      <c r="J147" s="190">
        <v>0.93</v>
      </c>
      <c r="K147" s="187">
        <v>9.4700000000000006</v>
      </c>
      <c r="L147" s="186">
        <v>53.6</v>
      </c>
      <c r="M147" s="185">
        <v>959</v>
      </c>
      <c r="N147" s="185">
        <v>107</v>
      </c>
      <c r="O147" s="186">
        <v>93</v>
      </c>
      <c r="P147" s="187">
        <v>8.24</v>
      </c>
      <c r="Q147" s="186">
        <v>38.700000000000003</v>
      </c>
      <c r="R147" s="186">
        <v>14.9</v>
      </c>
      <c r="S147" s="187">
        <v>9.52</v>
      </c>
      <c r="T147" s="187">
        <v>1.66</v>
      </c>
      <c r="U147" s="190">
        <v>0.80300000000000005</v>
      </c>
      <c r="V147" s="185">
        <v>3950</v>
      </c>
      <c r="W147" s="185">
        <v>2.0499999999999998</v>
      </c>
      <c r="X147" s="186">
        <v>20.2</v>
      </c>
      <c r="AA147" s="39" t="str">
        <f t="shared" si="2"/>
        <v>W</v>
      </c>
    </row>
    <row r="148" spans="1:27" x14ac:dyDescent="0.2">
      <c r="A148" s="185" t="s">
        <v>2</v>
      </c>
      <c r="B148" s="185" t="s">
        <v>146</v>
      </c>
      <c r="C148" s="14" t="s">
        <v>618</v>
      </c>
      <c r="D148" s="186">
        <v>57</v>
      </c>
      <c r="E148" s="186">
        <v>16.7</v>
      </c>
      <c r="F148" s="186">
        <v>21.1</v>
      </c>
      <c r="G148" s="187">
        <v>6.56</v>
      </c>
      <c r="H148" s="190">
        <v>0.40500000000000003</v>
      </c>
      <c r="I148" s="190">
        <v>0.65</v>
      </c>
      <c r="J148" s="187">
        <v>1.1499999999999999</v>
      </c>
      <c r="K148" s="187">
        <v>5.04</v>
      </c>
      <c r="L148" s="186">
        <v>46.3</v>
      </c>
      <c r="M148" s="185">
        <v>1170</v>
      </c>
      <c r="N148" s="185">
        <v>129</v>
      </c>
      <c r="O148" s="185">
        <v>111</v>
      </c>
      <c r="P148" s="187">
        <v>8.36</v>
      </c>
      <c r="Q148" s="186">
        <v>30.6</v>
      </c>
      <c r="R148" s="186">
        <v>14.8</v>
      </c>
      <c r="S148" s="187">
        <v>9.35</v>
      </c>
      <c r="T148" s="187">
        <v>1.35</v>
      </c>
      <c r="U148" s="187">
        <v>1.77</v>
      </c>
      <c r="V148" s="185">
        <v>3190</v>
      </c>
      <c r="W148" s="185">
        <v>1.68</v>
      </c>
      <c r="X148" s="186">
        <v>20.5</v>
      </c>
      <c r="AA148" s="39" t="str">
        <f t="shared" si="2"/>
        <v>W</v>
      </c>
    </row>
    <row r="149" spans="1:27" x14ac:dyDescent="0.2">
      <c r="A149" s="185" t="s">
        <v>2</v>
      </c>
      <c r="B149" s="185" t="s">
        <v>147</v>
      </c>
      <c r="C149" s="14" t="s">
        <v>618</v>
      </c>
      <c r="D149" s="186">
        <v>50</v>
      </c>
      <c r="E149" s="186">
        <v>14.7</v>
      </c>
      <c r="F149" s="186">
        <v>20.8</v>
      </c>
      <c r="G149" s="187">
        <v>6.53</v>
      </c>
      <c r="H149" s="190">
        <v>0.38</v>
      </c>
      <c r="I149" s="190">
        <v>0.53500000000000003</v>
      </c>
      <c r="J149" s="187">
        <v>1.04</v>
      </c>
      <c r="K149" s="187">
        <v>6.1</v>
      </c>
      <c r="L149" s="186">
        <v>49.4</v>
      </c>
      <c r="M149" s="185">
        <v>984</v>
      </c>
      <c r="N149" s="185">
        <v>110</v>
      </c>
      <c r="O149" s="186">
        <v>94.5</v>
      </c>
      <c r="P149" s="187">
        <v>8.18</v>
      </c>
      <c r="Q149" s="186">
        <v>24.9</v>
      </c>
      <c r="R149" s="186">
        <v>12.2</v>
      </c>
      <c r="S149" s="187">
        <v>7.64</v>
      </c>
      <c r="T149" s="187">
        <v>1.3</v>
      </c>
      <c r="U149" s="187">
        <v>1.1399999999999999</v>
      </c>
      <c r="V149" s="185">
        <v>2570</v>
      </c>
      <c r="W149" s="185">
        <v>1.64</v>
      </c>
      <c r="X149" s="186">
        <v>20.3</v>
      </c>
      <c r="AA149" s="39" t="str">
        <f t="shared" si="2"/>
        <v>W</v>
      </c>
    </row>
    <row r="150" spans="1:27" x14ac:dyDescent="0.2">
      <c r="A150" s="185" t="s">
        <v>2</v>
      </c>
      <c r="B150" s="185" t="s">
        <v>148</v>
      </c>
      <c r="C150" s="14" t="s">
        <v>618</v>
      </c>
      <c r="D150" s="186">
        <v>44</v>
      </c>
      <c r="E150" s="186">
        <v>13</v>
      </c>
      <c r="F150" s="186">
        <v>20.7</v>
      </c>
      <c r="G150" s="187">
        <v>6.5</v>
      </c>
      <c r="H150" s="190">
        <v>0.35</v>
      </c>
      <c r="I150" s="190">
        <v>0.45</v>
      </c>
      <c r="J150" s="190">
        <v>0.95</v>
      </c>
      <c r="K150" s="187">
        <v>7.22</v>
      </c>
      <c r="L150" s="186">
        <v>53.6</v>
      </c>
      <c r="M150" s="185">
        <v>843</v>
      </c>
      <c r="N150" s="186">
        <v>95.4</v>
      </c>
      <c r="O150" s="186">
        <v>81.599999999999994</v>
      </c>
      <c r="P150" s="187">
        <v>8.06</v>
      </c>
      <c r="Q150" s="186">
        <v>20.7</v>
      </c>
      <c r="R150" s="186">
        <v>10.199999999999999</v>
      </c>
      <c r="S150" s="187">
        <v>6.37</v>
      </c>
      <c r="T150" s="187">
        <v>1.26</v>
      </c>
      <c r="U150" s="190">
        <v>0.77</v>
      </c>
      <c r="V150" s="185">
        <v>2110</v>
      </c>
      <c r="W150" s="187">
        <v>1.6</v>
      </c>
      <c r="X150" s="185">
        <v>20.3</v>
      </c>
      <c r="AA150" s="39" t="str">
        <f t="shared" si="2"/>
        <v>W</v>
      </c>
    </row>
    <row r="151" spans="1:27" x14ac:dyDescent="0.2">
      <c r="A151" s="185" t="s">
        <v>2</v>
      </c>
      <c r="B151" s="185" t="s">
        <v>149</v>
      </c>
      <c r="C151" s="14" t="s">
        <v>618</v>
      </c>
      <c r="D151" s="185">
        <v>311</v>
      </c>
      <c r="E151" s="186">
        <v>91.6</v>
      </c>
      <c r="F151" s="186">
        <v>22.3</v>
      </c>
      <c r="G151" s="186">
        <v>12</v>
      </c>
      <c r="H151" s="187">
        <v>1.52</v>
      </c>
      <c r="I151" s="187">
        <v>2.74</v>
      </c>
      <c r="J151" s="188">
        <v>3.24</v>
      </c>
      <c r="K151" s="187">
        <v>2.19</v>
      </c>
      <c r="L151" s="192">
        <v>10.4</v>
      </c>
      <c r="M151" s="189">
        <v>6970</v>
      </c>
      <c r="N151" s="189">
        <v>754</v>
      </c>
      <c r="O151" s="189">
        <v>624</v>
      </c>
      <c r="P151" s="188">
        <v>8.7200000000000006</v>
      </c>
      <c r="Q151" s="189">
        <v>795</v>
      </c>
      <c r="R151" s="189">
        <v>207</v>
      </c>
      <c r="S151" s="189">
        <v>132</v>
      </c>
      <c r="T151" s="188">
        <v>2.95</v>
      </c>
      <c r="U151" s="189">
        <v>176</v>
      </c>
      <c r="V151" s="189">
        <v>76200</v>
      </c>
      <c r="W151" s="187">
        <v>3.53</v>
      </c>
      <c r="X151" s="185">
        <v>19.600000000000001</v>
      </c>
      <c r="AA151" s="39" t="str">
        <f t="shared" si="2"/>
        <v>W</v>
      </c>
    </row>
    <row r="152" spans="1:27" x14ac:dyDescent="0.2">
      <c r="A152" s="185" t="s">
        <v>2</v>
      </c>
      <c r="B152" s="185" t="s">
        <v>150</v>
      </c>
      <c r="C152" s="14" t="s">
        <v>618</v>
      </c>
      <c r="D152" s="185">
        <v>283</v>
      </c>
      <c r="E152" s="186">
        <v>83.3</v>
      </c>
      <c r="F152" s="186">
        <v>21.9</v>
      </c>
      <c r="G152" s="186">
        <v>11.9</v>
      </c>
      <c r="H152" s="187">
        <v>1.4</v>
      </c>
      <c r="I152" s="187">
        <v>2.5</v>
      </c>
      <c r="J152" s="188">
        <v>3</v>
      </c>
      <c r="K152" s="187">
        <v>2.38</v>
      </c>
      <c r="L152" s="192">
        <v>11.3</v>
      </c>
      <c r="M152" s="189">
        <v>6170</v>
      </c>
      <c r="N152" s="189">
        <v>676</v>
      </c>
      <c r="O152" s="189">
        <v>565</v>
      </c>
      <c r="P152" s="188">
        <v>8.61</v>
      </c>
      <c r="Q152" s="189">
        <v>704</v>
      </c>
      <c r="R152" s="189">
        <v>185</v>
      </c>
      <c r="S152" s="189">
        <v>118</v>
      </c>
      <c r="T152" s="188">
        <v>2.91</v>
      </c>
      <c r="U152" s="189">
        <v>134</v>
      </c>
      <c r="V152" s="189">
        <v>65900</v>
      </c>
      <c r="W152" s="187">
        <v>3.47</v>
      </c>
      <c r="X152" s="185">
        <v>19.399999999999999</v>
      </c>
      <c r="AA152" s="39" t="str">
        <f t="shared" si="2"/>
        <v>W</v>
      </c>
    </row>
    <row r="153" spans="1:27" x14ac:dyDescent="0.2">
      <c r="A153" s="185" t="s">
        <v>2</v>
      </c>
      <c r="B153" s="185" t="s">
        <v>151</v>
      </c>
      <c r="C153" s="14" t="s">
        <v>618</v>
      </c>
      <c r="D153" s="185">
        <v>258</v>
      </c>
      <c r="E153" s="186">
        <v>76</v>
      </c>
      <c r="F153" s="186">
        <v>21.5</v>
      </c>
      <c r="G153" s="186">
        <v>11.8</v>
      </c>
      <c r="H153" s="187">
        <v>1.28</v>
      </c>
      <c r="I153" s="187">
        <v>2.2999999999999998</v>
      </c>
      <c r="J153" s="188">
        <v>2.7</v>
      </c>
      <c r="K153" s="187">
        <v>2.56</v>
      </c>
      <c r="L153" s="192">
        <v>12.5</v>
      </c>
      <c r="M153" s="189">
        <v>5510</v>
      </c>
      <c r="N153" s="189">
        <v>611</v>
      </c>
      <c r="O153" s="189">
        <v>514</v>
      </c>
      <c r="P153" s="188">
        <v>8.5299999999999994</v>
      </c>
      <c r="Q153" s="189">
        <v>628</v>
      </c>
      <c r="R153" s="189">
        <v>166</v>
      </c>
      <c r="S153" s="189">
        <v>107</v>
      </c>
      <c r="T153" s="188">
        <v>2.88</v>
      </c>
      <c r="U153" s="189">
        <v>103</v>
      </c>
      <c r="V153" s="189">
        <v>57600</v>
      </c>
      <c r="W153" s="187">
        <v>3.42</v>
      </c>
      <c r="X153" s="185">
        <v>19.2</v>
      </c>
      <c r="AA153" s="39" t="str">
        <f t="shared" si="2"/>
        <v>W</v>
      </c>
    </row>
    <row r="154" spans="1:27" x14ac:dyDescent="0.2">
      <c r="A154" s="185" t="s">
        <v>2</v>
      </c>
      <c r="B154" s="185" t="s">
        <v>152</v>
      </c>
      <c r="C154" s="14" t="s">
        <v>618</v>
      </c>
      <c r="D154" s="185">
        <v>234</v>
      </c>
      <c r="E154" s="186">
        <v>68.599999999999994</v>
      </c>
      <c r="F154" s="186">
        <v>21.1</v>
      </c>
      <c r="G154" s="186">
        <v>11.7</v>
      </c>
      <c r="H154" s="187">
        <v>1.1599999999999999</v>
      </c>
      <c r="I154" s="187">
        <v>2.11</v>
      </c>
      <c r="J154" s="188">
        <v>2.5099999999999998</v>
      </c>
      <c r="K154" s="187">
        <v>2.76</v>
      </c>
      <c r="L154" s="192">
        <v>13.8</v>
      </c>
      <c r="M154" s="189">
        <v>4900</v>
      </c>
      <c r="N154" s="189">
        <v>549</v>
      </c>
      <c r="O154" s="189">
        <v>466</v>
      </c>
      <c r="P154" s="188">
        <v>8.44</v>
      </c>
      <c r="Q154" s="189">
        <v>558</v>
      </c>
      <c r="R154" s="189">
        <v>149</v>
      </c>
      <c r="S154" s="192">
        <v>95.8</v>
      </c>
      <c r="T154" s="188">
        <v>2.85</v>
      </c>
      <c r="U154" s="192">
        <v>78.7</v>
      </c>
      <c r="V154" s="189">
        <v>50100</v>
      </c>
      <c r="W154" s="187">
        <v>3.37</v>
      </c>
      <c r="X154" s="186">
        <v>19</v>
      </c>
      <c r="AA154" s="39" t="str">
        <f t="shared" si="2"/>
        <v>W</v>
      </c>
    </row>
    <row r="155" spans="1:27" x14ac:dyDescent="0.2">
      <c r="A155" s="185" t="s">
        <v>2</v>
      </c>
      <c r="B155" s="185" t="s">
        <v>153</v>
      </c>
      <c r="C155" s="14" t="s">
        <v>618</v>
      </c>
      <c r="D155" s="185">
        <v>211</v>
      </c>
      <c r="E155" s="186">
        <v>62.3</v>
      </c>
      <c r="F155" s="186">
        <v>20.7</v>
      </c>
      <c r="G155" s="186">
        <v>11.6</v>
      </c>
      <c r="H155" s="187">
        <v>1.06</v>
      </c>
      <c r="I155" s="187">
        <v>1.91</v>
      </c>
      <c r="J155" s="188">
        <v>2.31</v>
      </c>
      <c r="K155" s="187">
        <v>3.02</v>
      </c>
      <c r="L155" s="192">
        <v>15.1</v>
      </c>
      <c r="M155" s="189">
        <v>4330</v>
      </c>
      <c r="N155" s="189">
        <v>490</v>
      </c>
      <c r="O155" s="189">
        <v>419</v>
      </c>
      <c r="P155" s="188">
        <v>8.35</v>
      </c>
      <c r="Q155" s="189">
        <v>493</v>
      </c>
      <c r="R155" s="189">
        <v>132</v>
      </c>
      <c r="S155" s="192">
        <v>85.3</v>
      </c>
      <c r="T155" s="188">
        <v>2.82</v>
      </c>
      <c r="U155" s="192">
        <v>58.6</v>
      </c>
      <c r="V155" s="189">
        <v>43400</v>
      </c>
      <c r="W155" s="187">
        <v>3.32</v>
      </c>
      <c r="X155" s="185">
        <v>18.8</v>
      </c>
      <c r="AA155" s="39" t="str">
        <f t="shared" si="2"/>
        <v>W</v>
      </c>
    </row>
    <row r="156" spans="1:27" x14ac:dyDescent="0.2">
      <c r="A156" s="185" t="s">
        <v>2</v>
      </c>
      <c r="B156" s="185" t="s">
        <v>154</v>
      </c>
      <c r="C156" s="14" t="s">
        <v>618</v>
      </c>
      <c r="D156" s="185">
        <v>192</v>
      </c>
      <c r="E156" s="186">
        <v>56.2</v>
      </c>
      <c r="F156" s="186">
        <v>20.399999999999999</v>
      </c>
      <c r="G156" s="186">
        <v>11.5</v>
      </c>
      <c r="H156" s="190">
        <v>0.96</v>
      </c>
      <c r="I156" s="187">
        <v>1.75</v>
      </c>
      <c r="J156" s="188">
        <v>2.15</v>
      </c>
      <c r="K156" s="187">
        <v>3.27</v>
      </c>
      <c r="L156" s="192">
        <v>16.7</v>
      </c>
      <c r="M156" s="189">
        <v>3870</v>
      </c>
      <c r="N156" s="189">
        <v>442</v>
      </c>
      <c r="O156" s="189">
        <v>380</v>
      </c>
      <c r="P156" s="188">
        <v>8.2799999999999994</v>
      </c>
      <c r="Q156" s="189">
        <v>440</v>
      </c>
      <c r="R156" s="189">
        <v>119</v>
      </c>
      <c r="S156" s="192">
        <v>76.8</v>
      </c>
      <c r="T156" s="188">
        <v>2.79</v>
      </c>
      <c r="U156" s="192">
        <v>44.7</v>
      </c>
      <c r="V156" s="189">
        <v>38000</v>
      </c>
      <c r="W156" s="187">
        <v>3.28</v>
      </c>
      <c r="X156" s="185">
        <v>18.7</v>
      </c>
      <c r="AA156" s="39" t="str">
        <f t="shared" si="2"/>
        <v>W</v>
      </c>
    </row>
    <row r="157" spans="1:27" x14ac:dyDescent="0.2">
      <c r="A157" s="185" t="s">
        <v>2</v>
      </c>
      <c r="B157" s="185" t="s">
        <v>155</v>
      </c>
      <c r="C157" s="14" t="s">
        <v>618</v>
      </c>
      <c r="D157" s="185">
        <v>175</v>
      </c>
      <c r="E157" s="186">
        <v>51.4</v>
      </c>
      <c r="F157" s="186">
        <v>20</v>
      </c>
      <c r="G157" s="186">
        <v>11.4</v>
      </c>
      <c r="H157" s="190">
        <v>0.89</v>
      </c>
      <c r="I157" s="187">
        <v>1.59</v>
      </c>
      <c r="J157" s="187">
        <v>1.99</v>
      </c>
      <c r="K157" s="187">
        <v>3.58</v>
      </c>
      <c r="L157" s="186">
        <v>18</v>
      </c>
      <c r="M157" s="185">
        <v>3450</v>
      </c>
      <c r="N157" s="185">
        <v>398</v>
      </c>
      <c r="O157" s="185">
        <v>344</v>
      </c>
      <c r="P157" s="187">
        <v>8.1999999999999993</v>
      </c>
      <c r="Q157" s="185">
        <v>391</v>
      </c>
      <c r="R157" s="185">
        <v>106</v>
      </c>
      <c r="S157" s="186">
        <v>68.8</v>
      </c>
      <c r="T157" s="187">
        <v>2.76</v>
      </c>
      <c r="U157" s="186">
        <v>33.799999999999997</v>
      </c>
      <c r="V157" s="185">
        <v>33300</v>
      </c>
      <c r="W157" s="185">
        <v>3.24</v>
      </c>
      <c r="X157" s="185">
        <v>18.399999999999999</v>
      </c>
      <c r="AA157" s="39" t="str">
        <f t="shared" si="2"/>
        <v>W</v>
      </c>
    </row>
    <row r="158" spans="1:27" x14ac:dyDescent="0.2">
      <c r="A158" s="185" t="s">
        <v>2</v>
      </c>
      <c r="B158" s="185" t="s">
        <v>156</v>
      </c>
      <c r="C158" s="14" t="s">
        <v>618</v>
      </c>
      <c r="D158" s="185">
        <v>158</v>
      </c>
      <c r="E158" s="186">
        <v>46.3</v>
      </c>
      <c r="F158" s="186">
        <v>19.7</v>
      </c>
      <c r="G158" s="186">
        <v>11.3</v>
      </c>
      <c r="H158" s="190">
        <v>0.81</v>
      </c>
      <c r="I158" s="187">
        <v>1.44</v>
      </c>
      <c r="J158" s="187">
        <v>1.84</v>
      </c>
      <c r="K158" s="187">
        <v>3.92</v>
      </c>
      <c r="L158" s="186">
        <v>19.8</v>
      </c>
      <c r="M158" s="185">
        <v>3060</v>
      </c>
      <c r="N158" s="185">
        <v>356</v>
      </c>
      <c r="O158" s="185">
        <v>310</v>
      </c>
      <c r="P158" s="187">
        <v>8.1199999999999992</v>
      </c>
      <c r="Q158" s="185">
        <v>347</v>
      </c>
      <c r="R158" s="186">
        <v>94.8</v>
      </c>
      <c r="S158" s="186">
        <v>61.4</v>
      </c>
      <c r="T158" s="187">
        <v>2.74</v>
      </c>
      <c r="U158" s="186">
        <v>25.2</v>
      </c>
      <c r="V158" s="185">
        <v>29000</v>
      </c>
      <c r="W158" s="187">
        <v>3.2</v>
      </c>
      <c r="X158" s="185">
        <v>18.3</v>
      </c>
      <c r="AA158" s="39" t="str">
        <f t="shared" si="2"/>
        <v>W</v>
      </c>
    </row>
    <row r="159" spans="1:27" x14ac:dyDescent="0.2">
      <c r="A159" s="185" t="s">
        <v>2</v>
      </c>
      <c r="B159" s="185" t="s">
        <v>157</v>
      </c>
      <c r="C159" s="14" t="s">
        <v>618</v>
      </c>
      <c r="D159" s="185">
        <v>143</v>
      </c>
      <c r="E159" s="186">
        <v>42</v>
      </c>
      <c r="F159" s="186">
        <v>19.5</v>
      </c>
      <c r="G159" s="186">
        <v>11.2</v>
      </c>
      <c r="H159" s="190">
        <v>0.73</v>
      </c>
      <c r="I159" s="187">
        <v>1.32</v>
      </c>
      <c r="J159" s="187">
        <v>1.72</v>
      </c>
      <c r="K159" s="187">
        <v>4.25</v>
      </c>
      <c r="L159" s="186">
        <v>22</v>
      </c>
      <c r="M159" s="185">
        <v>2750</v>
      </c>
      <c r="N159" s="185">
        <v>322</v>
      </c>
      <c r="O159" s="185">
        <v>282</v>
      </c>
      <c r="P159" s="187">
        <v>8.09</v>
      </c>
      <c r="Q159" s="185">
        <v>311</v>
      </c>
      <c r="R159" s="186">
        <v>85.4</v>
      </c>
      <c r="S159" s="186">
        <v>55.5</v>
      </c>
      <c r="T159" s="187">
        <v>2.72</v>
      </c>
      <c r="U159" s="186">
        <v>19.2</v>
      </c>
      <c r="V159" s="185">
        <v>25700</v>
      </c>
      <c r="W159" s="185">
        <v>3.17</v>
      </c>
      <c r="X159" s="185">
        <v>18.2</v>
      </c>
      <c r="AA159" s="39" t="str">
        <f t="shared" si="2"/>
        <v>W</v>
      </c>
    </row>
    <row r="160" spans="1:27" x14ac:dyDescent="0.2">
      <c r="A160" s="185" t="s">
        <v>2</v>
      </c>
      <c r="B160" s="185" t="s">
        <v>158</v>
      </c>
      <c r="C160" s="14" t="s">
        <v>618</v>
      </c>
      <c r="D160" s="185">
        <v>130</v>
      </c>
      <c r="E160" s="186">
        <v>38.299999999999997</v>
      </c>
      <c r="F160" s="186">
        <v>19.3</v>
      </c>
      <c r="G160" s="186">
        <v>11.2</v>
      </c>
      <c r="H160" s="190">
        <v>0.67</v>
      </c>
      <c r="I160" s="187">
        <v>1.2</v>
      </c>
      <c r="J160" s="187">
        <v>1.6</v>
      </c>
      <c r="K160" s="187">
        <v>4.6500000000000004</v>
      </c>
      <c r="L160" s="186">
        <v>23.9</v>
      </c>
      <c r="M160" s="185">
        <v>2460</v>
      </c>
      <c r="N160" s="185">
        <v>290</v>
      </c>
      <c r="O160" s="185">
        <v>256</v>
      </c>
      <c r="P160" s="187">
        <v>8.0299999999999994</v>
      </c>
      <c r="Q160" s="185">
        <v>278</v>
      </c>
      <c r="R160" s="186">
        <v>76.7</v>
      </c>
      <c r="S160" s="186">
        <v>49.9</v>
      </c>
      <c r="T160" s="187">
        <v>2.7</v>
      </c>
      <c r="U160" s="186">
        <v>14.5</v>
      </c>
      <c r="V160" s="185">
        <v>22700</v>
      </c>
      <c r="W160" s="185">
        <v>3.13</v>
      </c>
      <c r="X160" s="185">
        <v>18.100000000000001</v>
      </c>
      <c r="AA160" s="39" t="str">
        <f t="shared" si="2"/>
        <v>W</v>
      </c>
    </row>
    <row r="161" spans="1:27" x14ac:dyDescent="0.2">
      <c r="A161" s="185" t="s">
        <v>2</v>
      </c>
      <c r="B161" s="185" t="s">
        <v>159</v>
      </c>
      <c r="C161" s="14" t="s">
        <v>618</v>
      </c>
      <c r="D161" s="185">
        <v>119</v>
      </c>
      <c r="E161" s="186">
        <v>35.1</v>
      </c>
      <c r="F161" s="186">
        <v>19</v>
      </c>
      <c r="G161" s="186">
        <v>11.3</v>
      </c>
      <c r="H161" s="190">
        <v>0.65500000000000003</v>
      </c>
      <c r="I161" s="187">
        <v>1.06</v>
      </c>
      <c r="J161" s="187">
        <v>1.46</v>
      </c>
      <c r="K161" s="187">
        <v>5.31</v>
      </c>
      <c r="L161" s="186">
        <v>24.5</v>
      </c>
      <c r="M161" s="185">
        <v>2190</v>
      </c>
      <c r="N161" s="185">
        <v>262</v>
      </c>
      <c r="O161" s="185">
        <v>231</v>
      </c>
      <c r="P161" s="187">
        <v>7.9</v>
      </c>
      <c r="Q161" s="185">
        <v>253</v>
      </c>
      <c r="R161" s="186">
        <v>69.099999999999994</v>
      </c>
      <c r="S161" s="186">
        <v>44.9</v>
      </c>
      <c r="T161" s="187">
        <v>2.69</v>
      </c>
      <c r="U161" s="186">
        <v>10.6</v>
      </c>
      <c r="V161" s="185">
        <v>20300</v>
      </c>
      <c r="W161" s="185">
        <v>3.13</v>
      </c>
      <c r="X161" s="185">
        <v>17.899999999999999</v>
      </c>
      <c r="AA161" s="39" t="str">
        <f t="shared" si="2"/>
        <v>W</v>
      </c>
    </row>
    <row r="162" spans="1:27" x14ac:dyDescent="0.2">
      <c r="A162" s="185" t="s">
        <v>2</v>
      </c>
      <c r="B162" s="185" t="s">
        <v>160</v>
      </c>
      <c r="C162" s="14" t="s">
        <v>618</v>
      </c>
      <c r="D162" s="185">
        <v>106</v>
      </c>
      <c r="E162" s="186">
        <v>31.1</v>
      </c>
      <c r="F162" s="186">
        <v>18.7</v>
      </c>
      <c r="G162" s="186">
        <v>11.2</v>
      </c>
      <c r="H162" s="190">
        <v>0.59</v>
      </c>
      <c r="I162" s="190">
        <v>0.94</v>
      </c>
      <c r="J162" s="187">
        <v>1.34</v>
      </c>
      <c r="K162" s="187">
        <v>5.96</v>
      </c>
      <c r="L162" s="186">
        <v>27.2</v>
      </c>
      <c r="M162" s="185">
        <v>1910</v>
      </c>
      <c r="N162" s="185">
        <v>230</v>
      </c>
      <c r="O162" s="185">
        <v>204</v>
      </c>
      <c r="P162" s="187">
        <v>7.84</v>
      </c>
      <c r="Q162" s="185">
        <v>220</v>
      </c>
      <c r="R162" s="186">
        <v>60.5</v>
      </c>
      <c r="S162" s="186">
        <v>39.4</v>
      </c>
      <c r="T162" s="187">
        <v>2.66</v>
      </c>
      <c r="U162" s="187">
        <v>7.48</v>
      </c>
      <c r="V162" s="185">
        <v>17400</v>
      </c>
      <c r="W162" s="187">
        <v>3.1</v>
      </c>
      <c r="X162" s="185">
        <v>17.8</v>
      </c>
      <c r="AA162" s="39" t="str">
        <f t="shared" si="2"/>
        <v>W</v>
      </c>
    </row>
    <row r="163" spans="1:27" x14ac:dyDescent="0.2">
      <c r="A163" s="185" t="s">
        <v>2</v>
      </c>
      <c r="B163" s="185" t="s">
        <v>161</v>
      </c>
      <c r="C163" s="14" t="s">
        <v>618</v>
      </c>
      <c r="D163" s="186">
        <v>97</v>
      </c>
      <c r="E163" s="186">
        <v>28.5</v>
      </c>
      <c r="F163" s="186">
        <v>18.600000000000001</v>
      </c>
      <c r="G163" s="186">
        <v>11.1</v>
      </c>
      <c r="H163" s="190">
        <v>0.53500000000000003</v>
      </c>
      <c r="I163" s="190">
        <v>0.87</v>
      </c>
      <c r="J163" s="187">
        <v>1.27</v>
      </c>
      <c r="K163" s="187">
        <v>6.41</v>
      </c>
      <c r="L163" s="186">
        <v>30</v>
      </c>
      <c r="M163" s="185">
        <v>1750</v>
      </c>
      <c r="N163" s="185">
        <v>211</v>
      </c>
      <c r="O163" s="185">
        <v>188</v>
      </c>
      <c r="P163" s="187">
        <v>7.82</v>
      </c>
      <c r="Q163" s="185">
        <v>201</v>
      </c>
      <c r="R163" s="186">
        <v>55.3</v>
      </c>
      <c r="S163" s="186">
        <v>36.1</v>
      </c>
      <c r="T163" s="187">
        <v>2.65</v>
      </c>
      <c r="U163" s="187">
        <v>5.86</v>
      </c>
      <c r="V163" s="185">
        <v>15800</v>
      </c>
      <c r="W163" s="185">
        <v>3.08</v>
      </c>
      <c r="X163" s="185">
        <v>17.7</v>
      </c>
      <c r="AA163" s="39" t="str">
        <f t="shared" si="2"/>
        <v>W</v>
      </c>
    </row>
    <row r="164" spans="1:27" x14ac:dyDescent="0.2">
      <c r="A164" s="185" t="s">
        <v>2</v>
      </c>
      <c r="B164" s="185" t="s">
        <v>162</v>
      </c>
      <c r="C164" s="14" t="s">
        <v>618</v>
      </c>
      <c r="D164" s="186">
        <v>86</v>
      </c>
      <c r="E164" s="186">
        <v>25.3</v>
      </c>
      <c r="F164" s="186">
        <v>18.399999999999999</v>
      </c>
      <c r="G164" s="186">
        <v>11.1</v>
      </c>
      <c r="H164" s="190">
        <v>0.48</v>
      </c>
      <c r="I164" s="190">
        <v>0.77</v>
      </c>
      <c r="J164" s="187">
        <v>1.17</v>
      </c>
      <c r="K164" s="187">
        <v>7.2</v>
      </c>
      <c r="L164" s="186">
        <v>33.4</v>
      </c>
      <c r="M164" s="185">
        <v>1530</v>
      </c>
      <c r="N164" s="185">
        <v>186</v>
      </c>
      <c r="O164" s="185">
        <v>166</v>
      </c>
      <c r="P164" s="187">
        <v>7.77</v>
      </c>
      <c r="Q164" s="185">
        <v>175</v>
      </c>
      <c r="R164" s="186">
        <v>48.4</v>
      </c>
      <c r="S164" s="186">
        <v>31.6</v>
      </c>
      <c r="T164" s="187">
        <v>2.63</v>
      </c>
      <c r="U164" s="187">
        <v>4.0999999999999996</v>
      </c>
      <c r="V164" s="185">
        <v>13600</v>
      </c>
      <c r="W164" s="185">
        <v>3.05</v>
      </c>
      <c r="X164" s="185">
        <v>17.600000000000001</v>
      </c>
      <c r="AA164" s="39" t="str">
        <f t="shared" si="2"/>
        <v>W</v>
      </c>
    </row>
    <row r="165" spans="1:27" x14ac:dyDescent="0.2">
      <c r="A165" s="185" t="s">
        <v>2</v>
      </c>
      <c r="B165" s="185" t="s">
        <v>163</v>
      </c>
      <c r="C165" s="14" t="s">
        <v>618</v>
      </c>
      <c r="D165" s="186">
        <v>76</v>
      </c>
      <c r="E165" s="186">
        <v>22.3</v>
      </c>
      <c r="F165" s="186">
        <v>18.2</v>
      </c>
      <c r="G165" s="186">
        <v>11</v>
      </c>
      <c r="H165" s="190">
        <v>0.42499999999999999</v>
      </c>
      <c r="I165" s="190">
        <v>0.68</v>
      </c>
      <c r="J165" s="187">
        <v>1.08</v>
      </c>
      <c r="K165" s="187">
        <v>8.11</v>
      </c>
      <c r="L165" s="186">
        <v>37.799999999999997</v>
      </c>
      <c r="M165" s="185">
        <v>1330</v>
      </c>
      <c r="N165" s="185">
        <v>163</v>
      </c>
      <c r="O165" s="185">
        <v>146</v>
      </c>
      <c r="P165" s="187">
        <v>7.73</v>
      </c>
      <c r="Q165" s="185">
        <v>152</v>
      </c>
      <c r="R165" s="186">
        <v>42.2</v>
      </c>
      <c r="S165" s="186">
        <v>27.6</v>
      </c>
      <c r="T165" s="187">
        <v>2.61</v>
      </c>
      <c r="U165" s="187">
        <v>2.83</v>
      </c>
      <c r="V165" s="185">
        <v>11700</v>
      </c>
      <c r="W165" s="185">
        <v>3.02</v>
      </c>
      <c r="X165" s="185">
        <v>17.5</v>
      </c>
      <c r="AA165" s="39" t="str">
        <f t="shared" si="2"/>
        <v>W</v>
      </c>
    </row>
    <row r="166" spans="1:27" x14ac:dyDescent="0.2">
      <c r="A166" s="185" t="s">
        <v>2</v>
      </c>
      <c r="B166" s="185" t="s">
        <v>164</v>
      </c>
      <c r="C166" s="14" t="s">
        <v>618</v>
      </c>
      <c r="D166" s="186">
        <v>71</v>
      </c>
      <c r="E166" s="186">
        <v>20.9</v>
      </c>
      <c r="F166" s="186">
        <v>18.5</v>
      </c>
      <c r="G166" s="187">
        <v>7.64</v>
      </c>
      <c r="H166" s="190">
        <v>0.495</v>
      </c>
      <c r="I166" s="190">
        <v>0.81</v>
      </c>
      <c r="J166" s="187">
        <v>1.21</v>
      </c>
      <c r="K166" s="187">
        <v>4.71</v>
      </c>
      <c r="L166" s="186">
        <v>32.4</v>
      </c>
      <c r="M166" s="185">
        <v>1170</v>
      </c>
      <c r="N166" s="185">
        <v>146</v>
      </c>
      <c r="O166" s="185">
        <v>127</v>
      </c>
      <c r="P166" s="187">
        <v>7.5</v>
      </c>
      <c r="Q166" s="186">
        <v>60.3</v>
      </c>
      <c r="R166" s="186">
        <v>24.7</v>
      </c>
      <c r="S166" s="186">
        <v>15.8</v>
      </c>
      <c r="T166" s="187">
        <v>1.7</v>
      </c>
      <c r="U166" s="187">
        <v>3.49</v>
      </c>
      <c r="V166" s="185">
        <v>4700</v>
      </c>
      <c r="W166" s="185">
        <v>2.0499999999999998</v>
      </c>
      <c r="X166" s="185">
        <v>17.7</v>
      </c>
      <c r="AA166" s="39" t="str">
        <f t="shared" si="2"/>
        <v>W</v>
      </c>
    </row>
    <row r="167" spans="1:27" x14ac:dyDescent="0.2">
      <c r="A167" s="185" t="s">
        <v>2</v>
      </c>
      <c r="B167" s="185" t="s">
        <v>165</v>
      </c>
      <c r="C167" s="14" t="s">
        <v>618</v>
      </c>
      <c r="D167" s="186">
        <v>65</v>
      </c>
      <c r="E167" s="186">
        <v>19.100000000000001</v>
      </c>
      <c r="F167" s="186">
        <v>18.399999999999999</v>
      </c>
      <c r="G167" s="187">
        <v>7.59</v>
      </c>
      <c r="H167" s="190">
        <v>0.45</v>
      </c>
      <c r="I167" s="190">
        <v>0.75</v>
      </c>
      <c r="J167" s="187">
        <v>1.1499999999999999</v>
      </c>
      <c r="K167" s="187">
        <v>5.0599999999999996</v>
      </c>
      <c r="L167" s="186">
        <v>35.700000000000003</v>
      </c>
      <c r="M167" s="185">
        <v>1070</v>
      </c>
      <c r="N167" s="185">
        <v>133</v>
      </c>
      <c r="O167" s="185">
        <v>117</v>
      </c>
      <c r="P167" s="187">
        <v>7.49</v>
      </c>
      <c r="Q167" s="186">
        <v>54.8</v>
      </c>
      <c r="R167" s="186">
        <v>22.5</v>
      </c>
      <c r="S167" s="186">
        <v>14.4</v>
      </c>
      <c r="T167" s="187">
        <v>1.69</v>
      </c>
      <c r="U167" s="187">
        <v>2.73</v>
      </c>
      <c r="V167" s="185">
        <v>4240</v>
      </c>
      <c r="W167" s="185">
        <v>2.0299999999999998</v>
      </c>
      <c r="X167" s="185">
        <v>17.7</v>
      </c>
      <c r="AA167" s="39" t="str">
        <f t="shared" si="2"/>
        <v>W</v>
      </c>
    </row>
    <row r="168" spans="1:27" x14ac:dyDescent="0.2">
      <c r="A168" s="185" t="s">
        <v>2</v>
      </c>
      <c r="B168" s="185" t="s">
        <v>166</v>
      </c>
      <c r="C168" s="14" t="s">
        <v>618</v>
      </c>
      <c r="D168" s="186">
        <v>60</v>
      </c>
      <c r="E168" s="186">
        <v>17.600000000000001</v>
      </c>
      <c r="F168" s="186">
        <v>18.2</v>
      </c>
      <c r="G168" s="187">
        <v>7.56</v>
      </c>
      <c r="H168" s="190">
        <v>0.41499999999999998</v>
      </c>
      <c r="I168" s="190">
        <v>0.69499999999999995</v>
      </c>
      <c r="J168" s="187">
        <v>1.1000000000000001</v>
      </c>
      <c r="K168" s="187">
        <v>5.44</v>
      </c>
      <c r="L168" s="186">
        <v>38.700000000000003</v>
      </c>
      <c r="M168" s="185">
        <v>984</v>
      </c>
      <c r="N168" s="185">
        <v>123</v>
      </c>
      <c r="O168" s="185">
        <v>108</v>
      </c>
      <c r="P168" s="187">
        <v>7.47</v>
      </c>
      <c r="Q168" s="186">
        <v>50.1</v>
      </c>
      <c r="R168" s="186">
        <v>20.6</v>
      </c>
      <c r="S168" s="186">
        <v>13.3</v>
      </c>
      <c r="T168" s="187">
        <v>1.68</v>
      </c>
      <c r="U168" s="187">
        <v>2.17</v>
      </c>
      <c r="V168" s="185">
        <v>3850</v>
      </c>
      <c r="W168" s="185">
        <v>2.02</v>
      </c>
      <c r="X168" s="185">
        <v>17.5</v>
      </c>
      <c r="AA168" s="39" t="str">
        <f t="shared" si="2"/>
        <v>W</v>
      </c>
    </row>
    <row r="169" spans="1:27" x14ac:dyDescent="0.2">
      <c r="A169" s="185" t="s">
        <v>2</v>
      </c>
      <c r="B169" s="185" t="s">
        <v>167</v>
      </c>
      <c r="C169" s="14" t="s">
        <v>618</v>
      </c>
      <c r="D169" s="186">
        <v>55</v>
      </c>
      <c r="E169" s="186">
        <v>16.2</v>
      </c>
      <c r="F169" s="186">
        <v>18.100000000000001</v>
      </c>
      <c r="G169" s="187">
        <v>7.53</v>
      </c>
      <c r="H169" s="190">
        <v>0.39</v>
      </c>
      <c r="I169" s="190">
        <v>0.63</v>
      </c>
      <c r="J169" s="187">
        <v>1.03</v>
      </c>
      <c r="K169" s="187">
        <v>5.98</v>
      </c>
      <c r="L169" s="186">
        <v>41.1</v>
      </c>
      <c r="M169" s="185">
        <v>890</v>
      </c>
      <c r="N169" s="185">
        <v>112</v>
      </c>
      <c r="O169" s="186">
        <v>98.3</v>
      </c>
      <c r="P169" s="187">
        <v>7.41</v>
      </c>
      <c r="Q169" s="186">
        <v>44.9</v>
      </c>
      <c r="R169" s="186">
        <v>18.5</v>
      </c>
      <c r="S169" s="186">
        <v>11.9</v>
      </c>
      <c r="T169" s="187">
        <v>1.67</v>
      </c>
      <c r="U169" s="187">
        <v>1.66</v>
      </c>
      <c r="V169" s="185">
        <v>3430</v>
      </c>
      <c r="W169" s="187">
        <v>2</v>
      </c>
      <c r="X169" s="185">
        <v>17.5</v>
      </c>
      <c r="AA169" s="39" t="str">
        <f t="shared" si="2"/>
        <v>W</v>
      </c>
    </row>
    <row r="170" spans="1:27" x14ac:dyDescent="0.2">
      <c r="A170" s="185" t="s">
        <v>2</v>
      </c>
      <c r="B170" s="185" t="s">
        <v>168</v>
      </c>
      <c r="C170" s="14" t="s">
        <v>618</v>
      </c>
      <c r="D170" s="186">
        <v>50</v>
      </c>
      <c r="E170" s="186">
        <v>14.7</v>
      </c>
      <c r="F170" s="186">
        <v>18</v>
      </c>
      <c r="G170" s="187">
        <v>7.5</v>
      </c>
      <c r="H170" s="190">
        <v>0.35499999999999998</v>
      </c>
      <c r="I170" s="190">
        <v>0.56999999999999995</v>
      </c>
      <c r="J170" s="190">
        <v>0.97199999999999998</v>
      </c>
      <c r="K170" s="187">
        <v>6.57</v>
      </c>
      <c r="L170" s="186">
        <v>45.2</v>
      </c>
      <c r="M170" s="185">
        <v>800</v>
      </c>
      <c r="N170" s="185">
        <v>101</v>
      </c>
      <c r="O170" s="186">
        <v>88.9</v>
      </c>
      <c r="P170" s="187">
        <v>7.38</v>
      </c>
      <c r="Q170" s="186">
        <v>40.1</v>
      </c>
      <c r="R170" s="186">
        <v>16.600000000000001</v>
      </c>
      <c r="S170" s="186">
        <v>10.7</v>
      </c>
      <c r="T170" s="187">
        <v>1.65</v>
      </c>
      <c r="U170" s="187">
        <v>1.24</v>
      </c>
      <c r="V170" s="185">
        <v>3040</v>
      </c>
      <c r="W170" s="185">
        <v>1.98</v>
      </c>
      <c r="X170" s="185">
        <v>17.399999999999999</v>
      </c>
      <c r="AA170" s="39" t="str">
        <f t="shared" si="2"/>
        <v>W</v>
      </c>
    </row>
    <row r="171" spans="1:27" x14ac:dyDescent="0.2">
      <c r="A171" s="185" t="s">
        <v>2</v>
      </c>
      <c r="B171" s="185" t="s">
        <v>169</v>
      </c>
      <c r="C171" s="14" t="s">
        <v>618</v>
      </c>
      <c r="D171" s="186">
        <v>46</v>
      </c>
      <c r="E171" s="186">
        <v>13.5</v>
      </c>
      <c r="F171" s="186">
        <v>18.100000000000001</v>
      </c>
      <c r="G171" s="187">
        <v>6.06</v>
      </c>
      <c r="H171" s="190">
        <v>0.36</v>
      </c>
      <c r="I171" s="190">
        <v>0.60499999999999998</v>
      </c>
      <c r="J171" s="187">
        <v>1.01</v>
      </c>
      <c r="K171" s="187">
        <v>5.01</v>
      </c>
      <c r="L171" s="186">
        <v>44.6</v>
      </c>
      <c r="M171" s="185">
        <v>712</v>
      </c>
      <c r="N171" s="186">
        <v>90.7</v>
      </c>
      <c r="O171" s="186">
        <v>78.8</v>
      </c>
      <c r="P171" s="187">
        <v>7.25</v>
      </c>
      <c r="Q171" s="186">
        <v>22.5</v>
      </c>
      <c r="R171" s="186">
        <v>11.7</v>
      </c>
      <c r="S171" s="187">
        <v>7.43</v>
      </c>
      <c r="T171" s="187">
        <v>1.29</v>
      </c>
      <c r="U171" s="187">
        <v>1.22</v>
      </c>
      <c r="V171" s="185">
        <v>1720</v>
      </c>
      <c r="W171" s="185">
        <v>1.58</v>
      </c>
      <c r="X171" s="185">
        <v>17.5</v>
      </c>
      <c r="AA171" s="39" t="str">
        <f t="shared" si="2"/>
        <v>W</v>
      </c>
    </row>
    <row r="172" spans="1:27" x14ac:dyDescent="0.2">
      <c r="A172" s="185" t="s">
        <v>2</v>
      </c>
      <c r="B172" s="185" t="s">
        <v>170</v>
      </c>
      <c r="C172" s="14" t="s">
        <v>618</v>
      </c>
      <c r="D172" s="186">
        <v>40</v>
      </c>
      <c r="E172" s="186">
        <v>11.8</v>
      </c>
      <c r="F172" s="186">
        <v>17.899999999999999</v>
      </c>
      <c r="G172" s="187">
        <v>6.02</v>
      </c>
      <c r="H172" s="190">
        <v>0.315</v>
      </c>
      <c r="I172" s="190">
        <v>0.52500000000000002</v>
      </c>
      <c r="J172" s="190">
        <v>0.92700000000000005</v>
      </c>
      <c r="K172" s="187">
        <v>5.73</v>
      </c>
      <c r="L172" s="186">
        <v>50.9</v>
      </c>
      <c r="M172" s="185">
        <v>612</v>
      </c>
      <c r="N172" s="186">
        <v>78.400000000000006</v>
      </c>
      <c r="O172" s="186">
        <v>68.400000000000006</v>
      </c>
      <c r="P172" s="187">
        <v>7.21</v>
      </c>
      <c r="Q172" s="186">
        <v>19.100000000000001</v>
      </c>
      <c r="R172" s="186">
        <v>10</v>
      </c>
      <c r="S172" s="187">
        <v>6.35</v>
      </c>
      <c r="T172" s="187">
        <v>1.27</v>
      </c>
      <c r="U172" s="190">
        <v>0.81</v>
      </c>
      <c r="V172" s="185">
        <v>1440</v>
      </c>
      <c r="W172" s="185">
        <v>1.56</v>
      </c>
      <c r="X172" s="185">
        <v>17.399999999999999</v>
      </c>
      <c r="AA172" s="39" t="str">
        <f t="shared" si="2"/>
        <v>W</v>
      </c>
    </row>
    <row r="173" spans="1:27" x14ac:dyDescent="0.2">
      <c r="A173" s="185" t="s">
        <v>2</v>
      </c>
      <c r="B173" s="185" t="s">
        <v>171</v>
      </c>
      <c r="C173" s="14" t="s">
        <v>618</v>
      </c>
      <c r="D173" s="186">
        <v>35</v>
      </c>
      <c r="E173" s="186">
        <v>10.3</v>
      </c>
      <c r="F173" s="186">
        <v>17.7</v>
      </c>
      <c r="G173" s="187">
        <v>6</v>
      </c>
      <c r="H173" s="190">
        <v>0.3</v>
      </c>
      <c r="I173" s="190">
        <v>0.42499999999999999</v>
      </c>
      <c r="J173" s="190">
        <v>0.82699999999999996</v>
      </c>
      <c r="K173" s="187">
        <v>7.06</v>
      </c>
      <c r="L173" s="186">
        <v>53.5</v>
      </c>
      <c r="M173" s="185">
        <v>510</v>
      </c>
      <c r="N173" s="186">
        <v>66.5</v>
      </c>
      <c r="O173" s="186">
        <v>57.6</v>
      </c>
      <c r="P173" s="187">
        <v>7.04</v>
      </c>
      <c r="Q173" s="186">
        <v>15.3</v>
      </c>
      <c r="R173" s="187">
        <v>8.06</v>
      </c>
      <c r="S173" s="187">
        <v>5.12</v>
      </c>
      <c r="T173" s="187">
        <v>1.22</v>
      </c>
      <c r="U173" s="190">
        <v>0.50600000000000001</v>
      </c>
      <c r="V173" s="185">
        <v>1140</v>
      </c>
      <c r="W173" s="185">
        <v>1.51</v>
      </c>
      <c r="X173" s="185">
        <v>17.3</v>
      </c>
      <c r="AA173" s="39" t="str">
        <f t="shared" si="2"/>
        <v>W</v>
      </c>
    </row>
    <row r="174" spans="1:27" x14ac:dyDescent="0.2">
      <c r="A174" s="185" t="s">
        <v>2</v>
      </c>
      <c r="B174" s="185" t="s">
        <v>172</v>
      </c>
      <c r="C174" s="14" t="s">
        <v>618</v>
      </c>
      <c r="D174" s="185">
        <v>100</v>
      </c>
      <c r="E174" s="186">
        <v>29.4</v>
      </c>
      <c r="F174" s="186">
        <v>17</v>
      </c>
      <c r="G174" s="186">
        <v>10.4</v>
      </c>
      <c r="H174" s="190">
        <v>0.58499999999999996</v>
      </c>
      <c r="I174" s="190">
        <v>0.98499999999999999</v>
      </c>
      <c r="J174" s="187">
        <v>1.39</v>
      </c>
      <c r="K174" s="187">
        <v>5.29</v>
      </c>
      <c r="L174" s="186">
        <v>24.3</v>
      </c>
      <c r="M174" s="185">
        <v>1490</v>
      </c>
      <c r="N174" s="185">
        <v>198</v>
      </c>
      <c r="O174" s="185">
        <v>175</v>
      </c>
      <c r="P174" s="187">
        <v>7.1</v>
      </c>
      <c r="Q174" s="185">
        <v>186</v>
      </c>
      <c r="R174" s="186">
        <v>54.9</v>
      </c>
      <c r="S174" s="186">
        <v>35.700000000000003</v>
      </c>
      <c r="T174" s="187">
        <v>2.5099999999999998</v>
      </c>
      <c r="U174" s="187">
        <v>7.73</v>
      </c>
      <c r="V174" s="185">
        <v>11900</v>
      </c>
      <c r="W174" s="185">
        <v>2.92</v>
      </c>
      <c r="X174" s="186">
        <v>16</v>
      </c>
      <c r="AA174" s="39" t="str">
        <f t="shared" si="2"/>
        <v>W</v>
      </c>
    </row>
    <row r="175" spans="1:27" x14ac:dyDescent="0.2">
      <c r="A175" s="185" t="s">
        <v>2</v>
      </c>
      <c r="B175" s="185" t="s">
        <v>173</v>
      </c>
      <c r="C175" s="14" t="s">
        <v>618</v>
      </c>
      <c r="D175" s="186">
        <v>89</v>
      </c>
      <c r="E175" s="186">
        <v>26.2</v>
      </c>
      <c r="F175" s="186">
        <v>16.8</v>
      </c>
      <c r="G175" s="186">
        <v>10.4</v>
      </c>
      <c r="H175" s="190">
        <v>0.52500000000000002</v>
      </c>
      <c r="I175" s="190">
        <v>0.875</v>
      </c>
      <c r="J175" s="187">
        <v>1.28</v>
      </c>
      <c r="K175" s="187">
        <v>5.92</v>
      </c>
      <c r="L175" s="186">
        <v>27</v>
      </c>
      <c r="M175" s="185">
        <v>1300</v>
      </c>
      <c r="N175" s="185">
        <v>175</v>
      </c>
      <c r="O175" s="185">
        <v>155</v>
      </c>
      <c r="P175" s="187">
        <v>7.05</v>
      </c>
      <c r="Q175" s="185">
        <v>163</v>
      </c>
      <c r="R175" s="186">
        <v>48.1</v>
      </c>
      <c r="S175" s="186">
        <v>31.4</v>
      </c>
      <c r="T175" s="187">
        <v>2.4900000000000002</v>
      </c>
      <c r="U175" s="187">
        <v>5.45</v>
      </c>
      <c r="V175" s="185">
        <v>10200</v>
      </c>
      <c r="W175" s="185">
        <v>2.88</v>
      </c>
      <c r="X175" s="185">
        <v>15.9</v>
      </c>
      <c r="AA175" s="39" t="str">
        <f t="shared" si="2"/>
        <v>W</v>
      </c>
    </row>
    <row r="176" spans="1:27" x14ac:dyDescent="0.2">
      <c r="A176" s="185" t="s">
        <v>2</v>
      </c>
      <c r="B176" s="185" t="s">
        <v>174</v>
      </c>
      <c r="C176" s="14" t="s">
        <v>618</v>
      </c>
      <c r="D176" s="186">
        <v>77</v>
      </c>
      <c r="E176" s="186">
        <v>22.6</v>
      </c>
      <c r="F176" s="186">
        <v>16.5</v>
      </c>
      <c r="G176" s="186">
        <v>10.3</v>
      </c>
      <c r="H176" s="190">
        <v>0.45500000000000002</v>
      </c>
      <c r="I176" s="190">
        <v>0.76</v>
      </c>
      <c r="J176" s="187">
        <v>1.1599999999999999</v>
      </c>
      <c r="K176" s="187">
        <v>6.77</v>
      </c>
      <c r="L176" s="186">
        <v>31.2</v>
      </c>
      <c r="M176" s="185">
        <v>1110</v>
      </c>
      <c r="N176" s="185">
        <v>150</v>
      </c>
      <c r="O176" s="185">
        <v>134</v>
      </c>
      <c r="P176" s="187">
        <v>7</v>
      </c>
      <c r="Q176" s="185">
        <v>138</v>
      </c>
      <c r="R176" s="186">
        <v>41.1</v>
      </c>
      <c r="S176" s="186">
        <v>26.9</v>
      </c>
      <c r="T176" s="187">
        <v>2.4700000000000002</v>
      </c>
      <c r="U176" s="187">
        <v>3.57</v>
      </c>
      <c r="V176" s="185">
        <v>8590</v>
      </c>
      <c r="W176" s="185">
        <v>2.85</v>
      </c>
      <c r="X176" s="185">
        <v>15.7</v>
      </c>
      <c r="AA176" s="39" t="str">
        <f t="shared" si="2"/>
        <v>W</v>
      </c>
    </row>
    <row r="177" spans="1:27" x14ac:dyDescent="0.2">
      <c r="A177" s="185" t="s">
        <v>2</v>
      </c>
      <c r="B177" s="185" t="s">
        <v>175</v>
      </c>
      <c r="C177" s="14" t="s">
        <v>618</v>
      </c>
      <c r="D177" s="186">
        <v>67</v>
      </c>
      <c r="E177" s="186">
        <v>19.600000000000001</v>
      </c>
      <c r="F177" s="186">
        <v>16.3</v>
      </c>
      <c r="G177" s="186">
        <v>10.199999999999999</v>
      </c>
      <c r="H177" s="190">
        <v>0.39500000000000002</v>
      </c>
      <c r="I177" s="190">
        <v>0.66500000000000004</v>
      </c>
      <c r="J177" s="187">
        <v>1.07</v>
      </c>
      <c r="K177" s="187">
        <v>7.7</v>
      </c>
      <c r="L177" s="186">
        <v>35.9</v>
      </c>
      <c r="M177" s="185">
        <v>954</v>
      </c>
      <c r="N177" s="185">
        <v>130</v>
      </c>
      <c r="O177" s="185">
        <v>117</v>
      </c>
      <c r="P177" s="187">
        <v>6.96</v>
      </c>
      <c r="Q177" s="185">
        <v>119</v>
      </c>
      <c r="R177" s="186">
        <v>35.5</v>
      </c>
      <c r="S177" s="186">
        <v>23.2</v>
      </c>
      <c r="T177" s="187">
        <v>2.46</v>
      </c>
      <c r="U177" s="187">
        <v>2.39</v>
      </c>
      <c r="V177" s="185">
        <v>7300</v>
      </c>
      <c r="W177" s="185">
        <v>2.82</v>
      </c>
      <c r="X177" s="185">
        <v>15.6</v>
      </c>
      <c r="AA177" s="39" t="str">
        <f t="shared" si="2"/>
        <v>W</v>
      </c>
    </row>
    <row r="178" spans="1:27" x14ac:dyDescent="0.2">
      <c r="A178" s="185" t="s">
        <v>2</v>
      </c>
      <c r="B178" s="185" t="s">
        <v>176</v>
      </c>
      <c r="C178" s="14" t="s">
        <v>618</v>
      </c>
      <c r="D178" s="186">
        <v>57</v>
      </c>
      <c r="E178" s="186">
        <v>16.8</v>
      </c>
      <c r="F178" s="186">
        <v>16.399999999999999</v>
      </c>
      <c r="G178" s="187">
        <v>7.12</v>
      </c>
      <c r="H178" s="190">
        <v>0.43</v>
      </c>
      <c r="I178" s="190">
        <v>0.71499999999999997</v>
      </c>
      <c r="J178" s="187">
        <v>1.1200000000000001</v>
      </c>
      <c r="K178" s="187">
        <v>4.9800000000000004</v>
      </c>
      <c r="L178" s="186">
        <v>33</v>
      </c>
      <c r="M178" s="185">
        <v>758</v>
      </c>
      <c r="N178" s="185">
        <v>105</v>
      </c>
      <c r="O178" s="186">
        <v>92.2</v>
      </c>
      <c r="P178" s="187">
        <v>6.72</v>
      </c>
      <c r="Q178" s="186">
        <v>43.1</v>
      </c>
      <c r="R178" s="186">
        <v>18.899999999999999</v>
      </c>
      <c r="S178" s="186">
        <v>12.1</v>
      </c>
      <c r="T178" s="187">
        <v>1.6</v>
      </c>
      <c r="U178" s="187">
        <v>2.2200000000000002</v>
      </c>
      <c r="V178" s="185">
        <v>2660</v>
      </c>
      <c r="W178" s="185">
        <v>1.92</v>
      </c>
      <c r="X178" s="185">
        <v>15.7</v>
      </c>
      <c r="AA178" s="39" t="str">
        <f t="shared" si="2"/>
        <v>W</v>
      </c>
    </row>
    <row r="179" spans="1:27" x14ac:dyDescent="0.2">
      <c r="A179" s="185" t="s">
        <v>2</v>
      </c>
      <c r="B179" s="185" t="s">
        <v>177</v>
      </c>
      <c r="C179" s="14" t="s">
        <v>618</v>
      </c>
      <c r="D179" s="186">
        <v>50</v>
      </c>
      <c r="E179" s="186">
        <v>14.7</v>
      </c>
      <c r="F179" s="186">
        <v>16.3</v>
      </c>
      <c r="G179" s="187">
        <v>7.07</v>
      </c>
      <c r="H179" s="190">
        <v>0.38</v>
      </c>
      <c r="I179" s="190">
        <v>0.63</v>
      </c>
      <c r="J179" s="187">
        <v>1.03</v>
      </c>
      <c r="K179" s="187">
        <v>5.61</v>
      </c>
      <c r="L179" s="186">
        <v>37.4</v>
      </c>
      <c r="M179" s="185">
        <v>659</v>
      </c>
      <c r="N179" s="186">
        <v>92</v>
      </c>
      <c r="O179" s="186">
        <v>81</v>
      </c>
      <c r="P179" s="187">
        <v>6.68</v>
      </c>
      <c r="Q179" s="186">
        <v>37.200000000000003</v>
      </c>
      <c r="R179" s="186">
        <v>16.3</v>
      </c>
      <c r="S179" s="186">
        <v>10.5</v>
      </c>
      <c r="T179" s="187">
        <v>1.59</v>
      </c>
      <c r="U179" s="187">
        <v>1.52</v>
      </c>
      <c r="V179" s="185">
        <v>2270</v>
      </c>
      <c r="W179" s="185">
        <v>1.89</v>
      </c>
      <c r="X179" s="185">
        <v>15.7</v>
      </c>
      <c r="AA179" s="39" t="str">
        <f t="shared" si="2"/>
        <v>W</v>
      </c>
    </row>
    <row r="180" spans="1:27" x14ac:dyDescent="0.2">
      <c r="A180" s="185" t="s">
        <v>2</v>
      </c>
      <c r="B180" s="185" t="s">
        <v>178</v>
      </c>
      <c r="C180" s="14" t="s">
        <v>618</v>
      </c>
      <c r="D180" s="186">
        <v>45</v>
      </c>
      <c r="E180" s="186">
        <v>13.3</v>
      </c>
      <c r="F180" s="186">
        <v>16.100000000000001</v>
      </c>
      <c r="G180" s="187">
        <v>7.04</v>
      </c>
      <c r="H180" s="190">
        <v>0.34499999999999997</v>
      </c>
      <c r="I180" s="190">
        <v>0.56499999999999995</v>
      </c>
      <c r="J180" s="190">
        <v>0.96699999999999997</v>
      </c>
      <c r="K180" s="187">
        <v>6.23</v>
      </c>
      <c r="L180" s="186">
        <v>41.1</v>
      </c>
      <c r="M180" s="185">
        <v>586</v>
      </c>
      <c r="N180" s="186">
        <v>82.3</v>
      </c>
      <c r="O180" s="186">
        <v>72.7</v>
      </c>
      <c r="P180" s="187">
        <v>6.65</v>
      </c>
      <c r="Q180" s="186">
        <v>32.799999999999997</v>
      </c>
      <c r="R180" s="186">
        <v>14.5</v>
      </c>
      <c r="S180" s="187">
        <v>9.34</v>
      </c>
      <c r="T180" s="187">
        <v>1.57</v>
      </c>
      <c r="U180" s="187">
        <v>1.1100000000000001</v>
      </c>
      <c r="V180" s="185">
        <v>1990</v>
      </c>
      <c r="W180" s="185">
        <v>1.87</v>
      </c>
      <c r="X180" s="185">
        <v>15.5</v>
      </c>
      <c r="AA180" s="39" t="str">
        <f t="shared" si="2"/>
        <v>W</v>
      </c>
    </row>
    <row r="181" spans="1:27" x14ac:dyDescent="0.2">
      <c r="A181" s="185" t="s">
        <v>2</v>
      </c>
      <c r="B181" s="185" t="s">
        <v>179</v>
      </c>
      <c r="C181" s="14" t="s">
        <v>618</v>
      </c>
      <c r="D181" s="186">
        <v>40</v>
      </c>
      <c r="E181" s="186">
        <v>11.8</v>
      </c>
      <c r="F181" s="186">
        <v>16</v>
      </c>
      <c r="G181" s="187">
        <v>7</v>
      </c>
      <c r="H181" s="190">
        <v>0.30499999999999999</v>
      </c>
      <c r="I181" s="190">
        <v>0.505</v>
      </c>
      <c r="J181" s="190">
        <v>0.90700000000000003</v>
      </c>
      <c r="K181" s="187">
        <v>6.93</v>
      </c>
      <c r="L181" s="186">
        <v>46.5</v>
      </c>
      <c r="M181" s="185">
        <v>518</v>
      </c>
      <c r="N181" s="186">
        <v>73</v>
      </c>
      <c r="O181" s="186">
        <v>64.7</v>
      </c>
      <c r="P181" s="187">
        <v>6.63</v>
      </c>
      <c r="Q181" s="186">
        <v>28.9</v>
      </c>
      <c r="R181" s="186">
        <v>12.7</v>
      </c>
      <c r="S181" s="187">
        <v>8.25</v>
      </c>
      <c r="T181" s="187">
        <v>1.57</v>
      </c>
      <c r="U181" s="190">
        <v>0.79400000000000004</v>
      </c>
      <c r="V181" s="185">
        <v>1730</v>
      </c>
      <c r="W181" s="185">
        <v>1.86</v>
      </c>
      <c r="X181" s="185">
        <v>15.5</v>
      </c>
      <c r="AA181" s="39" t="str">
        <f t="shared" si="2"/>
        <v>W</v>
      </c>
    </row>
    <row r="182" spans="1:27" x14ac:dyDescent="0.2">
      <c r="A182" s="185" t="s">
        <v>2</v>
      </c>
      <c r="B182" s="185" t="s">
        <v>180</v>
      </c>
      <c r="C182" s="14" t="s">
        <v>618</v>
      </c>
      <c r="D182" s="186">
        <v>36</v>
      </c>
      <c r="E182" s="186">
        <v>10.6</v>
      </c>
      <c r="F182" s="186">
        <v>15.9</v>
      </c>
      <c r="G182" s="187">
        <v>6.99</v>
      </c>
      <c r="H182" s="190">
        <v>0.29499999999999998</v>
      </c>
      <c r="I182" s="190">
        <v>0.43</v>
      </c>
      <c r="J182" s="190">
        <v>0.83199999999999996</v>
      </c>
      <c r="K182" s="187">
        <v>8.1199999999999992</v>
      </c>
      <c r="L182" s="186">
        <v>48.1</v>
      </c>
      <c r="M182" s="185">
        <v>448</v>
      </c>
      <c r="N182" s="186">
        <v>64</v>
      </c>
      <c r="O182" s="186">
        <v>56.5</v>
      </c>
      <c r="P182" s="187">
        <v>6.51</v>
      </c>
      <c r="Q182" s="186">
        <v>24.5</v>
      </c>
      <c r="R182" s="186">
        <v>10.8</v>
      </c>
      <c r="S182" s="187">
        <v>7</v>
      </c>
      <c r="T182" s="187">
        <v>1.52</v>
      </c>
      <c r="U182" s="190">
        <v>0.54500000000000004</v>
      </c>
      <c r="V182" s="185">
        <v>1460</v>
      </c>
      <c r="W182" s="185">
        <v>1.83</v>
      </c>
      <c r="X182" s="185">
        <v>15.5</v>
      </c>
      <c r="AA182" s="39" t="str">
        <f t="shared" si="2"/>
        <v>W</v>
      </c>
    </row>
    <row r="183" spans="1:27" x14ac:dyDescent="0.2">
      <c r="A183" s="185" t="s">
        <v>2</v>
      </c>
      <c r="B183" s="185" t="s">
        <v>181</v>
      </c>
      <c r="C183" s="14" t="s">
        <v>618</v>
      </c>
      <c r="D183" s="186">
        <v>31</v>
      </c>
      <c r="E183" s="187">
        <v>9.1300000000000008</v>
      </c>
      <c r="F183" s="186">
        <v>15.9</v>
      </c>
      <c r="G183" s="187">
        <v>5.53</v>
      </c>
      <c r="H183" s="190">
        <v>0.27500000000000002</v>
      </c>
      <c r="I183" s="190">
        <v>0.44</v>
      </c>
      <c r="J183" s="190">
        <v>0.84199999999999997</v>
      </c>
      <c r="K183" s="187">
        <v>6.28</v>
      </c>
      <c r="L183" s="186">
        <v>51.6</v>
      </c>
      <c r="M183" s="185">
        <v>375</v>
      </c>
      <c r="N183" s="186">
        <v>54</v>
      </c>
      <c r="O183" s="186">
        <v>47.2</v>
      </c>
      <c r="P183" s="187">
        <v>6.41</v>
      </c>
      <c r="Q183" s="186">
        <v>12.4</v>
      </c>
      <c r="R183" s="187">
        <v>7.03</v>
      </c>
      <c r="S183" s="187">
        <v>4.49</v>
      </c>
      <c r="T183" s="187">
        <v>1.17</v>
      </c>
      <c r="U183" s="190">
        <v>0.46100000000000002</v>
      </c>
      <c r="V183" s="185">
        <v>739</v>
      </c>
      <c r="W183" s="185">
        <v>1.42</v>
      </c>
      <c r="X183" s="185">
        <v>15.5</v>
      </c>
      <c r="AA183" s="39" t="str">
        <f t="shared" si="2"/>
        <v>W</v>
      </c>
    </row>
    <row r="184" spans="1:27" x14ac:dyDescent="0.2">
      <c r="A184" s="185" t="s">
        <v>2</v>
      </c>
      <c r="B184" s="185" t="s">
        <v>182</v>
      </c>
      <c r="C184" s="14" t="s">
        <v>618</v>
      </c>
      <c r="D184" s="186">
        <v>26</v>
      </c>
      <c r="E184" s="187">
        <v>7.68</v>
      </c>
      <c r="F184" s="186">
        <v>15.7</v>
      </c>
      <c r="G184" s="187">
        <v>5.5</v>
      </c>
      <c r="H184" s="190">
        <v>0.25</v>
      </c>
      <c r="I184" s="190">
        <v>0.34499999999999997</v>
      </c>
      <c r="J184" s="190">
        <v>0.747</v>
      </c>
      <c r="K184" s="187">
        <v>7.97</v>
      </c>
      <c r="L184" s="186">
        <v>56.8</v>
      </c>
      <c r="M184" s="185">
        <v>301</v>
      </c>
      <c r="N184" s="186">
        <v>44.2</v>
      </c>
      <c r="O184" s="186">
        <v>38.4</v>
      </c>
      <c r="P184" s="187">
        <v>6.26</v>
      </c>
      <c r="Q184" s="187">
        <v>9.59</v>
      </c>
      <c r="R184" s="187">
        <v>5.48</v>
      </c>
      <c r="S184" s="187">
        <v>3.49</v>
      </c>
      <c r="T184" s="187">
        <v>1.1200000000000001</v>
      </c>
      <c r="U184" s="190">
        <v>0.26200000000000001</v>
      </c>
      <c r="V184" s="185">
        <v>565</v>
      </c>
      <c r="W184" s="185">
        <v>1.38</v>
      </c>
      <c r="X184" s="185">
        <v>15.4</v>
      </c>
      <c r="AA184" s="39" t="str">
        <f t="shared" si="2"/>
        <v>W</v>
      </c>
    </row>
    <row r="185" spans="1:27" x14ac:dyDescent="0.2">
      <c r="A185" s="185" t="s">
        <v>2</v>
      </c>
      <c r="B185" s="185" t="s">
        <v>183</v>
      </c>
      <c r="C185" s="14" t="s">
        <v>618</v>
      </c>
      <c r="D185" s="191">
        <v>873</v>
      </c>
      <c r="E185" s="18">
        <v>257</v>
      </c>
      <c r="F185" s="186">
        <v>23.6</v>
      </c>
      <c r="G185" s="186">
        <v>18.8</v>
      </c>
      <c r="H185" s="187">
        <v>3.94</v>
      </c>
      <c r="I185" s="187">
        <v>5.51</v>
      </c>
      <c r="J185" s="187">
        <v>6.1</v>
      </c>
      <c r="K185" s="187">
        <v>1.71</v>
      </c>
      <c r="L185" s="187">
        <v>2.89</v>
      </c>
      <c r="M185" s="19">
        <v>18100</v>
      </c>
      <c r="N185" s="19">
        <v>2030</v>
      </c>
      <c r="O185" s="19">
        <v>1530</v>
      </c>
      <c r="P185" s="187">
        <v>8.39</v>
      </c>
      <c r="Q185" s="19">
        <v>6170</v>
      </c>
      <c r="R185" s="19">
        <v>1020</v>
      </c>
      <c r="S185" s="19">
        <v>656</v>
      </c>
      <c r="T185" s="20">
        <v>4.9000000000000004</v>
      </c>
      <c r="U185" s="18">
        <v>2270</v>
      </c>
      <c r="V185" s="19">
        <v>505000</v>
      </c>
      <c r="W185" s="187">
        <v>6.04</v>
      </c>
      <c r="X185" s="186">
        <v>18.100000000000001</v>
      </c>
      <c r="AA185" s="39" t="str">
        <f t="shared" si="2"/>
        <v>W</v>
      </c>
    </row>
    <row r="186" spans="1:27" x14ac:dyDescent="0.2">
      <c r="A186" s="185" t="s">
        <v>2</v>
      </c>
      <c r="B186" s="185" t="s">
        <v>184</v>
      </c>
      <c r="C186" s="14" t="s">
        <v>618</v>
      </c>
      <c r="D186" s="191">
        <v>808</v>
      </c>
      <c r="E186" s="18">
        <v>238</v>
      </c>
      <c r="F186" s="186">
        <v>22.8</v>
      </c>
      <c r="G186" s="186">
        <v>18.600000000000001</v>
      </c>
      <c r="H186" s="187">
        <v>3.74</v>
      </c>
      <c r="I186" s="187">
        <v>5.12</v>
      </c>
      <c r="J186" s="187">
        <v>5.71</v>
      </c>
      <c r="K186" s="187">
        <v>1.82</v>
      </c>
      <c r="L186" s="187">
        <v>3.04</v>
      </c>
      <c r="M186" s="19">
        <v>15900</v>
      </c>
      <c r="N186" s="19">
        <v>1830</v>
      </c>
      <c r="O186" s="19">
        <v>1390</v>
      </c>
      <c r="P186" s="187">
        <v>8.17</v>
      </c>
      <c r="Q186" s="19">
        <v>5550</v>
      </c>
      <c r="R186" s="19">
        <v>930</v>
      </c>
      <c r="S186" s="19">
        <v>597</v>
      </c>
      <c r="T186" s="20">
        <v>4.83</v>
      </c>
      <c r="U186" s="18">
        <v>1840</v>
      </c>
      <c r="V186" s="19">
        <v>434000</v>
      </c>
      <c r="W186" s="187">
        <v>5.94</v>
      </c>
      <c r="X186" s="186">
        <v>17.7</v>
      </c>
      <c r="AA186" s="39" t="str">
        <f t="shared" si="2"/>
        <v>W</v>
      </c>
    </row>
    <row r="187" spans="1:27" x14ac:dyDescent="0.2">
      <c r="A187" s="185" t="s">
        <v>2</v>
      </c>
      <c r="B187" s="185" t="s">
        <v>185</v>
      </c>
      <c r="C187" s="14" t="s">
        <v>618</v>
      </c>
      <c r="D187" s="185">
        <v>730</v>
      </c>
      <c r="E187" s="185">
        <v>215</v>
      </c>
      <c r="F187" s="186">
        <v>22.4</v>
      </c>
      <c r="G187" s="186">
        <v>17.899999999999999</v>
      </c>
      <c r="H187" s="187">
        <v>3.07</v>
      </c>
      <c r="I187" s="187">
        <v>4.91</v>
      </c>
      <c r="J187" s="187">
        <v>5.51</v>
      </c>
      <c r="K187" s="187">
        <v>1.82</v>
      </c>
      <c r="L187" s="187">
        <v>3.71</v>
      </c>
      <c r="M187" s="185">
        <v>14300</v>
      </c>
      <c r="N187" s="185">
        <v>1660</v>
      </c>
      <c r="O187" s="185">
        <v>1280</v>
      </c>
      <c r="P187" s="187">
        <v>8.17</v>
      </c>
      <c r="Q187" s="185">
        <v>4720</v>
      </c>
      <c r="R187" s="185">
        <v>816</v>
      </c>
      <c r="S187" s="185">
        <v>527</v>
      </c>
      <c r="T187" s="187">
        <v>4.6900000000000004</v>
      </c>
      <c r="U187" s="185">
        <v>1450</v>
      </c>
      <c r="V187" s="185">
        <v>362000</v>
      </c>
      <c r="W187" s="185">
        <v>5.68</v>
      </c>
      <c r="X187" s="185">
        <v>17.5</v>
      </c>
      <c r="AA187" s="39" t="str">
        <f t="shared" si="2"/>
        <v>W</v>
      </c>
    </row>
    <row r="188" spans="1:27" x14ac:dyDescent="0.2">
      <c r="A188" s="185" t="s">
        <v>2</v>
      </c>
      <c r="B188" s="185" t="s">
        <v>186</v>
      </c>
      <c r="C188" s="14" t="s">
        <v>618</v>
      </c>
      <c r="D188" s="185">
        <v>665</v>
      </c>
      <c r="E188" s="185">
        <v>196</v>
      </c>
      <c r="F188" s="186">
        <v>21.6</v>
      </c>
      <c r="G188" s="186">
        <v>17.7</v>
      </c>
      <c r="H188" s="187">
        <v>2.83</v>
      </c>
      <c r="I188" s="187">
        <v>4.5199999999999996</v>
      </c>
      <c r="J188" s="187">
        <v>5.12</v>
      </c>
      <c r="K188" s="187">
        <v>1.95</v>
      </c>
      <c r="L188" s="187">
        <v>4.03</v>
      </c>
      <c r="M188" s="185">
        <v>12400</v>
      </c>
      <c r="N188" s="185">
        <v>1480</v>
      </c>
      <c r="O188" s="185">
        <v>1150</v>
      </c>
      <c r="P188" s="187">
        <v>7.98</v>
      </c>
      <c r="Q188" s="185">
        <v>4170</v>
      </c>
      <c r="R188" s="185">
        <v>730</v>
      </c>
      <c r="S188" s="185">
        <v>472</v>
      </c>
      <c r="T188" s="187">
        <v>4.62</v>
      </c>
      <c r="U188" s="185">
        <v>1120</v>
      </c>
      <c r="V188" s="185">
        <v>305000</v>
      </c>
      <c r="W188" s="185">
        <v>5.57</v>
      </c>
      <c r="X188" s="185">
        <v>17.100000000000001</v>
      </c>
      <c r="AA188" s="39" t="str">
        <f t="shared" si="2"/>
        <v>W</v>
      </c>
    </row>
    <row r="189" spans="1:27" x14ac:dyDescent="0.2">
      <c r="A189" s="185" t="s">
        <v>2</v>
      </c>
      <c r="B189" s="185" t="s">
        <v>187</v>
      </c>
      <c r="C189" s="14" t="s">
        <v>618</v>
      </c>
      <c r="D189" s="185">
        <v>605</v>
      </c>
      <c r="E189" s="185">
        <v>178</v>
      </c>
      <c r="F189" s="186">
        <v>20.9</v>
      </c>
      <c r="G189" s="186">
        <v>17.399999999999999</v>
      </c>
      <c r="H189" s="187">
        <v>2.6</v>
      </c>
      <c r="I189" s="187">
        <v>4.16</v>
      </c>
      <c r="J189" s="187">
        <v>4.76</v>
      </c>
      <c r="K189" s="187">
        <v>2.09</v>
      </c>
      <c r="L189" s="187">
        <v>4.3899999999999997</v>
      </c>
      <c r="M189" s="185">
        <v>10800</v>
      </c>
      <c r="N189" s="185">
        <v>1320</v>
      </c>
      <c r="O189" s="185">
        <v>1040</v>
      </c>
      <c r="P189" s="187">
        <v>7.8</v>
      </c>
      <c r="Q189" s="185">
        <v>3680</v>
      </c>
      <c r="R189" s="185">
        <v>652</v>
      </c>
      <c r="S189" s="185">
        <v>423</v>
      </c>
      <c r="T189" s="187">
        <v>4.55</v>
      </c>
      <c r="U189" s="185">
        <v>869</v>
      </c>
      <c r="V189" s="185">
        <v>258000</v>
      </c>
      <c r="W189" s="185">
        <v>5.44</v>
      </c>
      <c r="X189" s="185">
        <v>16.7</v>
      </c>
      <c r="AA189" s="39" t="str">
        <f t="shared" si="2"/>
        <v>W</v>
      </c>
    </row>
    <row r="190" spans="1:27" x14ac:dyDescent="0.2">
      <c r="A190" s="185" t="s">
        <v>2</v>
      </c>
      <c r="B190" s="185" t="s">
        <v>188</v>
      </c>
      <c r="C190" s="14" t="s">
        <v>618</v>
      </c>
      <c r="D190" s="185">
        <v>550</v>
      </c>
      <c r="E190" s="185">
        <v>162</v>
      </c>
      <c r="F190" s="186">
        <v>20.2</v>
      </c>
      <c r="G190" s="186">
        <v>17.2</v>
      </c>
      <c r="H190" s="187">
        <v>2.38</v>
      </c>
      <c r="I190" s="187">
        <v>3.82</v>
      </c>
      <c r="J190" s="187">
        <v>4.42</v>
      </c>
      <c r="K190" s="187">
        <v>2.25</v>
      </c>
      <c r="L190" s="187">
        <v>4.79</v>
      </c>
      <c r="M190" s="185">
        <v>9430</v>
      </c>
      <c r="N190" s="185">
        <v>1180</v>
      </c>
      <c r="O190" s="185">
        <v>931</v>
      </c>
      <c r="P190" s="187">
        <v>7.63</v>
      </c>
      <c r="Q190" s="185">
        <v>3250</v>
      </c>
      <c r="R190" s="185">
        <v>583</v>
      </c>
      <c r="S190" s="185">
        <v>378</v>
      </c>
      <c r="T190" s="187">
        <v>4.49</v>
      </c>
      <c r="U190" s="185">
        <v>669</v>
      </c>
      <c r="V190" s="185">
        <v>219000</v>
      </c>
      <c r="W190" s="185">
        <v>5.35</v>
      </c>
      <c r="X190" s="185">
        <v>16.399999999999999</v>
      </c>
      <c r="AA190" s="39" t="str">
        <f t="shared" si="2"/>
        <v>W</v>
      </c>
    </row>
    <row r="191" spans="1:27" x14ac:dyDescent="0.2">
      <c r="A191" s="185" t="s">
        <v>2</v>
      </c>
      <c r="B191" s="185" t="s">
        <v>189</v>
      </c>
      <c r="C191" s="14" t="s">
        <v>618</v>
      </c>
      <c r="D191" s="185">
        <v>500</v>
      </c>
      <c r="E191" s="185">
        <v>147</v>
      </c>
      <c r="F191" s="186">
        <v>19.600000000000001</v>
      </c>
      <c r="G191" s="186">
        <v>17</v>
      </c>
      <c r="H191" s="187">
        <v>2.19</v>
      </c>
      <c r="I191" s="187">
        <v>3.5</v>
      </c>
      <c r="J191" s="187">
        <v>4.0999999999999996</v>
      </c>
      <c r="K191" s="187">
        <v>2.4300000000000002</v>
      </c>
      <c r="L191" s="187">
        <v>5.21</v>
      </c>
      <c r="M191" s="185">
        <v>8210</v>
      </c>
      <c r="N191" s="185">
        <v>1050</v>
      </c>
      <c r="O191" s="185">
        <v>838</v>
      </c>
      <c r="P191" s="187">
        <v>7.48</v>
      </c>
      <c r="Q191" s="185">
        <v>2880</v>
      </c>
      <c r="R191" s="185">
        <v>522</v>
      </c>
      <c r="S191" s="185">
        <v>339</v>
      </c>
      <c r="T191" s="187">
        <v>4.43</v>
      </c>
      <c r="U191" s="185">
        <v>514</v>
      </c>
      <c r="V191" s="185">
        <v>187000</v>
      </c>
      <c r="W191" s="185">
        <v>5.26</v>
      </c>
      <c r="X191" s="185">
        <v>16.100000000000001</v>
      </c>
      <c r="AA191" s="39" t="str">
        <f t="shared" si="2"/>
        <v>W</v>
      </c>
    </row>
    <row r="192" spans="1:27" x14ac:dyDescent="0.2">
      <c r="A192" s="185" t="s">
        <v>2</v>
      </c>
      <c r="B192" s="185" t="s">
        <v>190</v>
      </c>
      <c r="C192" s="14" t="s">
        <v>618</v>
      </c>
      <c r="D192" s="185">
        <v>455</v>
      </c>
      <c r="E192" s="185">
        <v>134</v>
      </c>
      <c r="F192" s="186">
        <v>19</v>
      </c>
      <c r="G192" s="186">
        <v>16.8</v>
      </c>
      <c r="H192" s="187">
        <v>2.02</v>
      </c>
      <c r="I192" s="187">
        <v>3.21</v>
      </c>
      <c r="J192" s="187">
        <v>3.81</v>
      </c>
      <c r="K192" s="187">
        <v>2.62</v>
      </c>
      <c r="L192" s="187">
        <v>5.66</v>
      </c>
      <c r="M192" s="185">
        <v>7190</v>
      </c>
      <c r="N192" s="185">
        <v>936</v>
      </c>
      <c r="O192" s="185">
        <v>756</v>
      </c>
      <c r="P192" s="187">
        <v>7.33</v>
      </c>
      <c r="Q192" s="185">
        <v>2560</v>
      </c>
      <c r="R192" s="185">
        <v>468</v>
      </c>
      <c r="S192" s="185">
        <v>304</v>
      </c>
      <c r="T192" s="187">
        <v>4.38</v>
      </c>
      <c r="U192" s="185">
        <v>395</v>
      </c>
      <c r="V192" s="185">
        <v>160000</v>
      </c>
      <c r="W192" s="185">
        <v>5.17</v>
      </c>
      <c r="X192" s="185">
        <v>15.8</v>
      </c>
      <c r="AA192" s="39" t="str">
        <f t="shared" si="2"/>
        <v>W</v>
      </c>
    </row>
    <row r="193" spans="1:27" x14ac:dyDescent="0.2">
      <c r="A193" s="185" t="s">
        <v>2</v>
      </c>
      <c r="B193" s="185" t="s">
        <v>191</v>
      </c>
      <c r="C193" s="14" t="s">
        <v>618</v>
      </c>
      <c r="D193" s="185">
        <v>426</v>
      </c>
      <c r="E193" s="185">
        <v>125</v>
      </c>
      <c r="F193" s="186">
        <v>18.7</v>
      </c>
      <c r="G193" s="186">
        <v>16.7</v>
      </c>
      <c r="H193" s="187">
        <v>1.88</v>
      </c>
      <c r="I193" s="187">
        <v>3.04</v>
      </c>
      <c r="J193" s="187">
        <v>3.63</v>
      </c>
      <c r="K193" s="187">
        <v>2.75</v>
      </c>
      <c r="L193" s="187">
        <v>6.08</v>
      </c>
      <c r="M193" s="185">
        <v>6600</v>
      </c>
      <c r="N193" s="185">
        <v>869</v>
      </c>
      <c r="O193" s="185">
        <v>706</v>
      </c>
      <c r="P193" s="187">
        <v>7.26</v>
      </c>
      <c r="Q193" s="185">
        <v>2360</v>
      </c>
      <c r="R193" s="185">
        <v>434</v>
      </c>
      <c r="S193" s="185">
        <v>283</v>
      </c>
      <c r="T193" s="187">
        <v>4.34</v>
      </c>
      <c r="U193" s="185">
        <v>331</v>
      </c>
      <c r="V193" s="185">
        <v>144000</v>
      </c>
      <c r="W193" s="185">
        <v>5.1100000000000003</v>
      </c>
      <c r="X193" s="185">
        <v>15.7</v>
      </c>
      <c r="AA193" s="39" t="str">
        <f t="shared" si="2"/>
        <v>W</v>
      </c>
    </row>
    <row r="194" spans="1:27" x14ac:dyDescent="0.2">
      <c r="A194" s="185" t="s">
        <v>2</v>
      </c>
      <c r="B194" s="185" t="s">
        <v>192</v>
      </c>
      <c r="C194" s="14" t="s">
        <v>618</v>
      </c>
      <c r="D194" s="185">
        <v>398</v>
      </c>
      <c r="E194" s="185">
        <v>117</v>
      </c>
      <c r="F194" s="186">
        <v>18.3</v>
      </c>
      <c r="G194" s="186">
        <v>16.600000000000001</v>
      </c>
      <c r="H194" s="187">
        <v>1.77</v>
      </c>
      <c r="I194" s="187">
        <v>2.85</v>
      </c>
      <c r="J194" s="187">
        <v>3.44</v>
      </c>
      <c r="K194" s="187">
        <v>2.92</v>
      </c>
      <c r="L194" s="187">
        <v>6.44</v>
      </c>
      <c r="M194" s="185">
        <v>6000</v>
      </c>
      <c r="N194" s="185">
        <v>801</v>
      </c>
      <c r="O194" s="185">
        <v>656</v>
      </c>
      <c r="P194" s="187">
        <v>7.16</v>
      </c>
      <c r="Q194" s="185">
        <v>2170</v>
      </c>
      <c r="R194" s="185">
        <v>402</v>
      </c>
      <c r="S194" s="185">
        <v>262</v>
      </c>
      <c r="T194" s="187">
        <v>4.3099999999999996</v>
      </c>
      <c r="U194" s="185">
        <v>273</v>
      </c>
      <c r="V194" s="185">
        <v>129000</v>
      </c>
      <c r="W194" s="185">
        <v>5.05</v>
      </c>
      <c r="X194" s="185">
        <v>15.5</v>
      </c>
      <c r="AA194" s="39" t="str">
        <f t="shared" si="2"/>
        <v>W</v>
      </c>
    </row>
    <row r="195" spans="1:27" x14ac:dyDescent="0.2">
      <c r="A195" s="185" t="s">
        <v>2</v>
      </c>
      <c r="B195" s="185" t="s">
        <v>193</v>
      </c>
      <c r="C195" s="14" t="s">
        <v>618</v>
      </c>
      <c r="D195" s="185">
        <v>370</v>
      </c>
      <c r="E195" s="185">
        <v>109</v>
      </c>
      <c r="F195" s="186">
        <v>17.899999999999999</v>
      </c>
      <c r="G195" s="186">
        <v>16.5</v>
      </c>
      <c r="H195" s="187">
        <v>1.66</v>
      </c>
      <c r="I195" s="187">
        <v>2.66</v>
      </c>
      <c r="J195" s="187">
        <v>3.26</v>
      </c>
      <c r="K195" s="187">
        <v>3.1</v>
      </c>
      <c r="L195" s="187">
        <v>6.89</v>
      </c>
      <c r="M195" s="185">
        <v>5440</v>
      </c>
      <c r="N195" s="185">
        <v>736</v>
      </c>
      <c r="O195" s="185">
        <v>607</v>
      </c>
      <c r="P195" s="187">
        <v>7.07</v>
      </c>
      <c r="Q195" s="185">
        <v>1990</v>
      </c>
      <c r="R195" s="185">
        <v>370</v>
      </c>
      <c r="S195" s="185">
        <v>241</v>
      </c>
      <c r="T195" s="187">
        <v>4.2699999999999996</v>
      </c>
      <c r="U195" s="185">
        <v>222</v>
      </c>
      <c r="V195" s="185">
        <v>116000</v>
      </c>
      <c r="W195" s="187">
        <v>5</v>
      </c>
      <c r="X195" s="185">
        <v>15.2</v>
      </c>
      <c r="AA195" s="39" t="str">
        <f t="shared" si="2"/>
        <v>W</v>
      </c>
    </row>
    <row r="196" spans="1:27" x14ac:dyDescent="0.2">
      <c r="A196" s="185" t="s">
        <v>2</v>
      </c>
      <c r="B196" s="185" t="s">
        <v>194</v>
      </c>
      <c r="C196" s="14" t="s">
        <v>618</v>
      </c>
      <c r="D196" s="185">
        <v>342</v>
      </c>
      <c r="E196" s="185">
        <v>101</v>
      </c>
      <c r="F196" s="186">
        <v>17.5</v>
      </c>
      <c r="G196" s="186">
        <v>16.399999999999999</v>
      </c>
      <c r="H196" s="187">
        <v>1.54</v>
      </c>
      <c r="I196" s="187">
        <v>2.4700000000000002</v>
      </c>
      <c r="J196" s="187">
        <v>3.07</v>
      </c>
      <c r="K196" s="187">
        <v>3.31</v>
      </c>
      <c r="L196" s="187">
        <v>7.41</v>
      </c>
      <c r="M196" s="185">
        <v>4900</v>
      </c>
      <c r="N196" s="185">
        <v>672</v>
      </c>
      <c r="O196" s="185">
        <v>558</v>
      </c>
      <c r="P196" s="187">
        <v>6.98</v>
      </c>
      <c r="Q196" s="185">
        <v>1810</v>
      </c>
      <c r="R196" s="185">
        <v>338</v>
      </c>
      <c r="S196" s="185">
        <v>221</v>
      </c>
      <c r="T196" s="187">
        <v>4.24</v>
      </c>
      <c r="U196" s="185">
        <v>178</v>
      </c>
      <c r="V196" s="185">
        <v>103000</v>
      </c>
      <c r="W196" s="185">
        <v>4.95</v>
      </c>
      <c r="X196" s="186">
        <v>15</v>
      </c>
      <c r="AA196" s="39" t="str">
        <f t="shared" ref="AA196:AA259" si="3">A196</f>
        <v>W</v>
      </c>
    </row>
    <row r="197" spans="1:27" x14ac:dyDescent="0.2">
      <c r="A197" s="185" t="s">
        <v>2</v>
      </c>
      <c r="B197" s="185" t="s">
        <v>195</v>
      </c>
      <c r="C197" s="14" t="s">
        <v>618</v>
      </c>
      <c r="D197" s="185">
        <v>311</v>
      </c>
      <c r="E197" s="186">
        <v>91.4</v>
      </c>
      <c r="F197" s="186">
        <v>17.100000000000001</v>
      </c>
      <c r="G197" s="186">
        <v>16.2</v>
      </c>
      <c r="H197" s="187">
        <v>1.41</v>
      </c>
      <c r="I197" s="187">
        <v>2.2599999999999998</v>
      </c>
      <c r="J197" s="187">
        <v>2.86</v>
      </c>
      <c r="K197" s="187">
        <v>3.59</v>
      </c>
      <c r="L197" s="187">
        <v>8.09</v>
      </c>
      <c r="M197" s="185">
        <v>4330</v>
      </c>
      <c r="N197" s="185">
        <v>603</v>
      </c>
      <c r="O197" s="185">
        <v>506</v>
      </c>
      <c r="P197" s="187">
        <v>6.88</v>
      </c>
      <c r="Q197" s="185">
        <v>1610</v>
      </c>
      <c r="R197" s="185">
        <v>304</v>
      </c>
      <c r="S197" s="185">
        <v>199</v>
      </c>
      <c r="T197" s="187">
        <v>4.2</v>
      </c>
      <c r="U197" s="185">
        <v>136</v>
      </c>
      <c r="V197" s="185">
        <v>89100</v>
      </c>
      <c r="W197" s="185">
        <v>4.87</v>
      </c>
      <c r="X197" s="185">
        <v>14.8</v>
      </c>
      <c r="AA197" s="39" t="str">
        <f t="shared" si="3"/>
        <v>W</v>
      </c>
    </row>
    <row r="198" spans="1:27" x14ac:dyDescent="0.2">
      <c r="A198" s="185" t="s">
        <v>2</v>
      </c>
      <c r="B198" s="185" t="s">
        <v>196</v>
      </c>
      <c r="C198" s="14" t="s">
        <v>618</v>
      </c>
      <c r="D198" s="185">
        <v>283</v>
      </c>
      <c r="E198" s="186">
        <v>83.3</v>
      </c>
      <c r="F198" s="186">
        <v>16.7</v>
      </c>
      <c r="G198" s="186">
        <v>16.100000000000001</v>
      </c>
      <c r="H198" s="187">
        <v>1.29</v>
      </c>
      <c r="I198" s="187">
        <v>2.0699999999999998</v>
      </c>
      <c r="J198" s="187">
        <v>2.67</v>
      </c>
      <c r="K198" s="187">
        <v>3.89</v>
      </c>
      <c r="L198" s="187">
        <v>8.84</v>
      </c>
      <c r="M198" s="185">
        <v>3840</v>
      </c>
      <c r="N198" s="185">
        <v>542</v>
      </c>
      <c r="O198" s="185">
        <v>459</v>
      </c>
      <c r="P198" s="187">
        <v>6.79</v>
      </c>
      <c r="Q198" s="185">
        <v>1440</v>
      </c>
      <c r="R198" s="185">
        <v>274</v>
      </c>
      <c r="S198" s="185">
        <v>179</v>
      </c>
      <c r="T198" s="187">
        <v>4.17</v>
      </c>
      <c r="U198" s="185">
        <v>104</v>
      </c>
      <c r="V198" s="185">
        <v>77700</v>
      </c>
      <c r="W198" s="187">
        <v>4.8</v>
      </c>
      <c r="X198" s="185">
        <v>14.6</v>
      </c>
      <c r="AA198" s="39" t="str">
        <f t="shared" si="3"/>
        <v>W</v>
      </c>
    </row>
    <row r="199" spans="1:27" x14ac:dyDescent="0.2">
      <c r="A199" s="185" t="s">
        <v>2</v>
      </c>
      <c r="B199" s="185" t="s">
        <v>197</v>
      </c>
      <c r="C199" s="14" t="s">
        <v>618</v>
      </c>
      <c r="D199" s="185">
        <v>257</v>
      </c>
      <c r="E199" s="186">
        <v>75.599999999999994</v>
      </c>
      <c r="F199" s="186">
        <v>16.399999999999999</v>
      </c>
      <c r="G199" s="186">
        <v>16</v>
      </c>
      <c r="H199" s="187">
        <v>1.18</v>
      </c>
      <c r="I199" s="187">
        <v>1.89</v>
      </c>
      <c r="J199" s="187">
        <v>2.4900000000000002</v>
      </c>
      <c r="K199" s="187">
        <v>4.2300000000000004</v>
      </c>
      <c r="L199" s="187">
        <v>9.7100000000000009</v>
      </c>
      <c r="M199" s="185">
        <v>3400</v>
      </c>
      <c r="N199" s="185">
        <v>487</v>
      </c>
      <c r="O199" s="185">
        <v>415</v>
      </c>
      <c r="P199" s="187">
        <v>6.71</v>
      </c>
      <c r="Q199" s="185">
        <v>1290</v>
      </c>
      <c r="R199" s="185">
        <v>246</v>
      </c>
      <c r="S199" s="185">
        <v>161</v>
      </c>
      <c r="T199" s="187">
        <v>4.13</v>
      </c>
      <c r="U199" s="186">
        <v>79.099999999999994</v>
      </c>
      <c r="V199" s="185">
        <v>67800</v>
      </c>
      <c r="W199" s="185">
        <v>4.75</v>
      </c>
      <c r="X199" s="185">
        <v>14.5</v>
      </c>
      <c r="AA199" s="39" t="str">
        <f t="shared" si="3"/>
        <v>W</v>
      </c>
    </row>
    <row r="200" spans="1:27" x14ac:dyDescent="0.2">
      <c r="A200" s="185" t="s">
        <v>2</v>
      </c>
      <c r="B200" s="185" t="s">
        <v>198</v>
      </c>
      <c r="C200" s="14" t="s">
        <v>618</v>
      </c>
      <c r="D200" s="185">
        <v>233</v>
      </c>
      <c r="E200" s="186">
        <v>68.5</v>
      </c>
      <c r="F200" s="186">
        <v>16</v>
      </c>
      <c r="G200" s="186">
        <v>15.9</v>
      </c>
      <c r="H200" s="187">
        <v>1.07</v>
      </c>
      <c r="I200" s="187">
        <v>1.72</v>
      </c>
      <c r="J200" s="187">
        <v>2.3199999999999998</v>
      </c>
      <c r="K200" s="187">
        <v>4.62</v>
      </c>
      <c r="L200" s="186">
        <v>10.7</v>
      </c>
      <c r="M200" s="185">
        <v>3010</v>
      </c>
      <c r="N200" s="185">
        <v>436</v>
      </c>
      <c r="O200" s="185">
        <v>375</v>
      </c>
      <c r="P200" s="187">
        <v>6.63</v>
      </c>
      <c r="Q200" s="185">
        <v>1150</v>
      </c>
      <c r="R200" s="185">
        <v>221</v>
      </c>
      <c r="S200" s="185">
        <v>145</v>
      </c>
      <c r="T200" s="187">
        <v>4.0999999999999996</v>
      </c>
      <c r="U200" s="186">
        <v>59.5</v>
      </c>
      <c r="V200" s="185">
        <v>59000</v>
      </c>
      <c r="W200" s="185">
        <v>4.6900000000000004</v>
      </c>
      <c r="X200" s="185">
        <v>14.3</v>
      </c>
      <c r="AA200" s="39" t="str">
        <f t="shared" si="3"/>
        <v>W</v>
      </c>
    </row>
    <row r="201" spans="1:27" x14ac:dyDescent="0.2">
      <c r="A201" s="185" t="s">
        <v>2</v>
      </c>
      <c r="B201" s="185" t="s">
        <v>199</v>
      </c>
      <c r="C201" s="14" t="s">
        <v>618</v>
      </c>
      <c r="D201" s="185">
        <v>211</v>
      </c>
      <c r="E201" s="186">
        <v>62</v>
      </c>
      <c r="F201" s="186">
        <v>15.7</v>
      </c>
      <c r="G201" s="186">
        <v>15.8</v>
      </c>
      <c r="H201" s="190">
        <v>0.98</v>
      </c>
      <c r="I201" s="187">
        <v>1.56</v>
      </c>
      <c r="J201" s="187">
        <v>2.16</v>
      </c>
      <c r="K201" s="187">
        <v>5.0599999999999996</v>
      </c>
      <c r="L201" s="186">
        <v>11.6</v>
      </c>
      <c r="M201" s="185">
        <v>2660</v>
      </c>
      <c r="N201" s="185">
        <v>390</v>
      </c>
      <c r="O201" s="185">
        <v>338</v>
      </c>
      <c r="P201" s="187">
        <v>6.55</v>
      </c>
      <c r="Q201" s="185">
        <v>1030</v>
      </c>
      <c r="R201" s="185">
        <v>198</v>
      </c>
      <c r="S201" s="185">
        <v>130</v>
      </c>
      <c r="T201" s="187">
        <v>4.07</v>
      </c>
      <c r="U201" s="186">
        <v>44.6</v>
      </c>
      <c r="V201" s="185">
        <v>51500</v>
      </c>
      <c r="W201" s="185">
        <v>4.6399999999999997</v>
      </c>
      <c r="X201" s="185">
        <v>14.1</v>
      </c>
      <c r="AA201" s="39" t="str">
        <f t="shared" si="3"/>
        <v>W</v>
      </c>
    </row>
    <row r="202" spans="1:27" x14ac:dyDescent="0.2">
      <c r="A202" s="185" t="s">
        <v>2</v>
      </c>
      <c r="B202" s="185" t="s">
        <v>200</v>
      </c>
      <c r="C202" s="14" t="s">
        <v>618</v>
      </c>
      <c r="D202" s="185">
        <v>193</v>
      </c>
      <c r="E202" s="186">
        <v>56.8</v>
      </c>
      <c r="F202" s="186">
        <v>15.5</v>
      </c>
      <c r="G202" s="186">
        <v>15.7</v>
      </c>
      <c r="H202" s="190">
        <v>0.89</v>
      </c>
      <c r="I202" s="187">
        <v>1.44</v>
      </c>
      <c r="J202" s="187">
        <v>2.04</v>
      </c>
      <c r="K202" s="187">
        <v>5.45</v>
      </c>
      <c r="L202" s="186">
        <v>12.8</v>
      </c>
      <c r="M202" s="185">
        <v>2400</v>
      </c>
      <c r="N202" s="185">
        <v>355</v>
      </c>
      <c r="O202" s="185">
        <v>310</v>
      </c>
      <c r="P202" s="187">
        <v>6.5</v>
      </c>
      <c r="Q202" s="185">
        <v>931</v>
      </c>
      <c r="R202" s="185">
        <v>180</v>
      </c>
      <c r="S202" s="185">
        <v>119</v>
      </c>
      <c r="T202" s="187">
        <v>4.05</v>
      </c>
      <c r="U202" s="186">
        <v>34.799999999999997</v>
      </c>
      <c r="V202" s="185">
        <v>45900</v>
      </c>
      <c r="W202" s="185">
        <v>4.59</v>
      </c>
      <c r="X202" s="185">
        <v>14.1</v>
      </c>
      <c r="AA202" s="39" t="str">
        <f t="shared" si="3"/>
        <v>W</v>
      </c>
    </row>
    <row r="203" spans="1:27" x14ac:dyDescent="0.2">
      <c r="A203" s="185" t="s">
        <v>2</v>
      </c>
      <c r="B203" s="185" t="s">
        <v>201</v>
      </c>
      <c r="C203" s="14" t="s">
        <v>618</v>
      </c>
      <c r="D203" s="185">
        <v>176</v>
      </c>
      <c r="E203" s="186">
        <v>51.8</v>
      </c>
      <c r="F203" s="186">
        <v>15.2</v>
      </c>
      <c r="G203" s="186">
        <v>15.7</v>
      </c>
      <c r="H203" s="190">
        <v>0.83</v>
      </c>
      <c r="I203" s="187">
        <v>1.31</v>
      </c>
      <c r="J203" s="187">
        <v>1.91</v>
      </c>
      <c r="K203" s="187">
        <v>5.97</v>
      </c>
      <c r="L203" s="186">
        <v>13.7</v>
      </c>
      <c r="M203" s="185">
        <v>2140</v>
      </c>
      <c r="N203" s="185">
        <v>320</v>
      </c>
      <c r="O203" s="185">
        <v>281</v>
      </c>
      <c r="P203" s="187">
        <v>6.43</v>
      </c>
      <c r="Q203" s="185">
        <v>838</v>
      </c>
      <c r="R203" s="185">
        <v>163</v>
      </c>
      <c r="S203" s="185">
        <v>107</v>
      </c>
      <c r="T203" s="187">
        <v>4.0199999999999996</v>
      </c>
      <c r="U203" s="186">
        <v>26.5</v>
      </c>
      <c r="V203" s="185">
        <v>40500</v>
      </c>
      <c r="W203" s="185">
        <v>4.55</v>
      </c>
      <c r="X203" s="185">
        <v>13.9</v>
      </c>
      <c r="AA203" s="39" t="str">
        <f t="shared" si="3"/>
        <v>W</v>
      </c>
    </row>
    <row r="204" spans="1:27" x14ac:dyDescent="0.2">
      <c r="A204" s="185" t="s">
        <v>2</v>
      </c>
      <c r="B204" s="185" t="s">
        <v>202</v>
      </c>
      <c r="C204" s="14" t="s">
        <v>618</v>
      </c>
      <c r="D204" s="185">
        <v>159</v>
      </c>
      <c r="E204" s="186">
        <v>46.7</v>
      </c>
      <c r="F204" s="186">
        <v>15</v>
      </c>
      <c r="G204" s="186">
        <v>15.6</v>
      </c>
      <c r="H204" s="190">
        <v>0.745</v>
      </c>
      <c r="I204" s="187">
        <v>1.19</v>
      </c>
      <c r="J204" s="187">
        <v>1.79</v>
      </c>
      <c r="K204" s="187">
        <v>6.54</v>
      </c>
      <c r="L204" s="186">
        <v>15.3</v>
      </c>
      <c r="M204" s="185">
        <v>1900</v>
      </c>
      <c r="N204" s="185">
        <v>287</v>
      </c>
      <c r="O204" s="185">
        <v>254</v>
      </c>
      <c r="P204" s="187">
        <v>6.38</v>
      </c>
      <c r="Q204" s="185">
        <v>748</v>
      </c>
      <c r="R204" s="185">
        <v>146</v>
      </c>
      <c r="S204" s="186">
        <v>96.2</v>
      </c>
      <c r="T204" s="187">
        <v>4</v>
      </c>
      <c r="U204" s="186">
        <v>19.7</v>
      </c>
      <c r="V204" s="185">
        <v>35600</v>
      </c>
      <c r="W204" s="185">
        <v>4.51</v>
      </c>
      <c r="X204" s="185">
        <v>13.8</v>
      </c>
      <c r="AA204" s="39" t="str">
        <f t="shared" si="3"/>
        <v>W</v>
      </c>
    </row>
    <row r="205" spans="1:27" x14ac:dyDescent="0.2">
      <c r="A205" s="185" t="s">
        <v>2</v>
      </c>
      <c r="B205" s="185" t="s">
        <v>203</v>
      </c>
      <c r="C205" s="14" t="s">
        <v>618</v>
      </c>
      <c r="D205" s="185">
        <v>145</v>
      </c>
      <c r="E205" s="186">
        <v>42.7</v>
      </c>
      <c r="F205" s="186">
        <v>14.8</v>
      </c>
      <c r="G205" s="186">
        <v>15.5</v>
      </c>
      <c r="H205" s="190">
        <v>0.68</v>
      </c>
      <c r="I205" s="187">
        <v>1.0900000000000001</v>
      </c>
      <c r="J205" s="187">
        <v>1.69</v>
      </c>
      <c r="K205" s="187">
        <v>7.11</v>
      </c>
      <c r="L205" s="186">
        <v>16.8</v>
      </c>
      <c r="M205" s="185">
        <v>1710</v>
      </c>
      <c r="N205" s="185">
        <v>260</v>
      </c>
      <c r="O205" s="185">
        <v>232</v>
      </c>
      <c r="P205" s="187">
        <v>6.33</v>
      </c>
      <c r="Q205" s="185">
        <v>677</v>
      </c>
      <c r="R205" s="185">
        <v>133</v>
      </c>
      <c r="S205" s="186">
        <v>87.3</v>
      </c>
      <c r="T205" s="187">
        <v>3.98</v>
      </c>
      <c r="U205" s="186">
        <v>15.2</v>
      </c>
      <c r="V205" s="185">
        <v>31700</v>
      </c>
      <c r="W205" s="185">
        <v>4.47</v>
      </c>
      <c r="X205" s="185">
        <v>13.7</v>
      </c>
      <c r="AA205" s="39" t="str">
        <f t="shared" si="3"/>
        <v>W</v>
      </c>
    </row>
    <row r="206" spans="1:27" x14ac:dyDescent="0.2">
      <c r="A206" s="185" t="s">
        <v>2</v>
      </c>
      <c r="B206" s="185" t="s">
        <v>204</v>
      </c>
      <c r="C206" s="14" t="s">
        <v>618</v>
      </c>
      <c r="D206" s="185">
        <v>132</v>
      </c>
      <c r="E206" s="186">
        <v>38.799999999999997</v>
      </c>
      <c r="F206" s="186">
        <v>14.7</v>
      </c>
      <c r="G206" s="186">
        <v>14.7</v>
      </c>
      <c r="H206" s="190">
        <v>0.64500000000000002</v>
      </c>
      <c r="I206" s="187">
        <v>1.03</v>
      </c>
      <c r="J206" s="187">
        <v>1.63</v>
      </c>
      <c r="K206" s="187">
        <v>7.15</v>
      </c>
      <c r="L206" s="186">
        <v>17.7</v>
      </c>
      <c r="M206" s="185">
        <v>1530</v>
      </c>
      <c r="N206" s="185">
        <v>234</v>
      </c>
      <c r="O206" s="185">
        <v>209</v>
      </c>
      <c r="P206" s="187">
        <v>6.28</v>
      </c>
      <c r="Q206" s="185">
        <v>548</v>
      </c>
      <c r="R206" s="185">
        <v>113</v>
      </c>
      <c r="S206" s="186">
        <v>74.5</v>
      </c>
      <c r="T206" s="187">
        <v>3.76</v>
      </c>
      <c r="U206" s="186">
        <v>12.3</v>
      </c>
      <c r="V206" s="185">
        <v>25500</v>
      </c>
      <c r="W206" s="185">
        <v>4.2300000000000004</v>
      </c>
      <c r="X206" s="185">
        <v>13.7</v>
      </c>
      <c r="AA206" s="39" t="str">
        <f t="shared" si="3"/>
        <v>W</v>
      </c>
    </row>
    <row r="207" spans="1:27" x14ac:dyDescent="0.2">
      <c r="A207" s="185" t="s">
        <v>2</v>
      </c>
      <c r="B207" s="185" t="s">
        <v>205</v>
      </c>
      <c r="C207" s="14" t="s">
        <v>618</v>
      </c>
      <c r="D207" s="185">
        <v>120</v>
      </c>
      <c r="E207" s="186">
        <v>35.299999999999997</v>
      </c>
      <c r="F207" s="186">
        <v>14.5</v>
      </c>
      <c r="G207" s="186">
        <v>14.7</v>
      </c>
      <c r="H207" s="190">
        <v>0.59</v>
      </c>
      <c r="I207" s="190">
        <v>0.94</v>
      </c>
      <c r="J207" s="187">
        <v>1.54</v>
      </c>
      <c r="K207" s="187">
        <v>7.8</v>
      </c>
      <c r="L207" s="186">
        <v>19.3</v>
      </c>
      <c r="M207" s="185">
        <v>1380</v>
      </c>
      <c r="N207" s="185">
        <v>212</v>
      </c>
      <c r="O207" s="185">
        <v>190</v>
      </c>
      <c r="P207" s="187">
        <v>6.24</v>
      </c>
      <c r="Q207" s="185">
        <v>495</v>
      </c>
      <c r="R207" s="185">
        <v>102</v>
      </c>
      <c r="S207" s="186">
        <v>67.5</v>
      </c>
      <c r="T207" s="187">
        <v>3.74</v>
      </c>
      <c r="U207" s="187">
        <v>9.3699999999999992</v>
      </c>
      <c r="V207" s="185">
        <v>22700</v>
      </c>
      <c r="W207" s="187">
        <v>4.2</v>
      </c>
      <c r="X207" s="185">
        <v>13.6</v>
      </c>
      <c r="AA207" s="39" t="str">
        <f t="shared" si="3"/>
        <v>W</v>
      </c>
    </row>
    <row r="208" spans="1:27" x14ac:dyDescent="0.2">
      <c r="A208" s="185" t="s">
        <v>2</v>
      </c>
      <c r="B208" s="185" t="s">
        <v>206</v>
      </c>
      <c r="C208" s="14" t="s">
        <v>618</v>
      </c>
      <c r="D208" s="185">
        <v>109</v>
      </c>
      <c r="E208" s="186">
        <v>32</v>
      </c>
      <c r="F208" s="186">
        <v>14.3</v>
      </c>
      <c r="G208" s="186">
        <v>14.6</v>
      </c>
      <c r="H208" s="190">
        <v>0.52500000000000002</v>
      </c>
      <c r="I208" s="190">
        <v>0.86</v>
      </c>
      <c r="J208" s="187">
        <v>1.46</v>
      </c>
      <c r="K208" s="187">
        <v>8.49</v>
      </c>
      <c r="L208" s="186">
        <v>21.7</v>
      </c>
      <c r="M208" s="185">
        <v>1240</v>
      </c>
      <c r="N208" s="185">
        <v>192</v>
      </c>
      <c r="O208" s="185">
        <v>173</v>
      </c>
      <c r="P208" s="187">
        <v>6.22</v>
      </c>
      <c r="Q208" s="185">
        <v>447</v>
      </c>
      <c r="R208" s="186">
        <v>92.7</v>
      </c>
      <c r="S208" s="186">
        <v>61.2</v>
      </c>
      <c r="T208" s="187">
        <v>3.73</v>
      </c>
      <c r="U208" s="187">
        <v>7.12</v>
      </c>
      <c r="V208" s="185">
        <v>20200</v>
      </c>
      <c r="W208" s="185">
        <v>4.17</v>
      </c>
      <c r="X208" s="185">
        <v>13.4</v>
      </c>
      <c r="AA208" s="39" t="str">
        <f t="shared" si="3"/>
        <v>W</v>
      </c>
    </row>
    <row r="209" spans="1:27" x14ac:dyDescent="0.2">
      <c r="A209" s="185" t="s">
        <v>2</v>
      </c>
      <c r="B209" s="185" t="s">
        <v>207</v>
      </c>
      <c r="C209" s="14" t="s">
        <v>618</v>
      </c>
      <c r="D209" s="186">
        <v>99</v>
      </c>
      <c r="E209" s="186">
        <v>29.1</v>
      </c>
      <c r="F209" s="186">
        <v>14.2</v>
      </c>
      <c r="G209" s="186">
        <v>14.6</v>
      </c>
      <c r="H209" s="190">
        <v>0.48499999999999999</v>
      </c>
      <c r="I209" s="190">
        <v>0.78</v>
      </c>
      <c r="J209" s="187">
        <v>1.38</v>
      </c>
      <c r="K209" s="187">
        <v>9.34</v>
      </c>
      <c r="L209" s="186">
        <v>23.5</v>
      </c>
      <c r="M209" s="185">
        <v>1110</v>
      </c>
      <c r="N209" s="185">
        <v>173</v>
      </c>
      <c r="O209" s="185">
        <v>157</v>
      </c>
      <c r="P209" s="187">
        <v>6.17</v>
      </c>
      <c r="Q209" s="185">
        <v>402</v>
      </c>
      <c r="R209" s="186">
        <v>83.6</v>
      </c>
      <c r="S209" s="186">
        <v>55.2</v>
      </c>
      <c r="T209" s="187">
        <v>3.71</v>
      </c>
      <c r="U209" s="187">
        <v>5.37</v>
      </c>
      <c r="V209" s="185">
        <v>18000</v>
      </c>
      <c r="W209" s="185">
        <v>4.1399999999999997</v>
      </c>
      <c r="X209" s="185">
        <v>13.4</v>
      </c>
      <c r="AA209" s="39" t="str">
        <f t="shared" si="3"/>
        <v>W</v>
      </c>
    </row>
    <row r="210" spans="1:27" x14ac:dyDescent="0.2">
      <c r="A210" s="185" t="s">
        <v>2</v>
      </c>
      <c r="B210" s="185" t="s">
        <v>208</v>
      </c>
      <c r="C210" s="14" t="s">
        <v>618</v>
      </c>
      <c r="D210" s="186">
        <v>90</v>
      </c>
      <c r="E210" s="186">
        <v>26.5</v>
      </c>
      <c r="F210" s="186">
        <v>14</v>
      </c>
      <c r="G210" s="186">
        <v>14.5</v>
      </c>
      <c r="H210" s="190">
        <v>0.44</v>
      </c>
      <c r="I210" s="190">
        <v>0.71</v>
      </c>
      <c r="J210" s="187">
        <v>1.31</v>
      </c>
      <c r="K210" s="186">
        <v>10.199999999999999</v>
      </c>
      <c r="L210" s="186">
        <v>25.9</v>
      </c>
      <c r="M210" s="185">
        <v>999</v>
      </c>
      <c r="N210" s="185">
        <v>157</v>
      </c>
      <c r="O210" s="185">
        <v>143</v>
      </c>
      <c r="P210" s="187">
        <v>6.14</v>
      </c>
      <c r="Q210" s="185">
        <v>362</v>
      </c>
      <c r="R210" s="186">
        <v>75.599999999999994</v>
      </c>
      <c r="S210" s="186">
        <v>49.9</v>
      </c>
      <c r="T210" s="187">
        <v>3.7</v>
      </c>
      <c r="U210" s="187">
        <v>4.0599999999999996</v>
      </c>
      <c r="V210" s="185">
        <v>16000</v>
      </c>
      <c r="W210" s="187">
        <v>4.0999999999999996</v>
      </c>
      <c r="X210" s="185">
        <v>13.3</v>
      </c>
      <c r="AA210" s="39" t="str">
        <f t="shared" si="3"/>
        <v>W</v>
      </c>
    </row>
    <row r="211" spans="1:27" x14ac:dyDescent="0.2">
      <c r="A211" s="185" t="s">
        <v>2</v>
      </c>
      <c r="B211" s="185" t="s">
        <v>209</v>
      </c>
      <c r="C211" s="14" t="s">
        <v>618</v>
      </c>
      <c r="D211" s="186">
        <v>82</v>
      </c>
      <c r="E211" s="186">
        <v>24</v>
      </c>
      <c r="F211" s="186">
        <v>14.3</v>
      </c>
      <c r="G211" s="186">
        <v>10.1</v>
      </c>
      <c r="H211" s="190">
        <v>0.51</v>
      </c>
      <c r="I211" s="190">
        <v>0.85499999999999998</v>
      </c>
      <c r="J211" s="187">
        <v>1.45</v>
      </c>
      <c r="K211" s="187">
        <v>5.92</v>
      </c>
      <c r="L211" s="186">
        <v>22.4</v>
      </c>
      <c r="M211" s="185">
        <v>881</v>
      </c>
      <c r="N211" s="185">
        <v>139</v>
      </c>
      <c r="O211" s="185">
        <v>123</v>
      </c>
      <c r="P211" s="187">
        <v>6.05</v>
      </c>
      <c r="Q211" s="185">
        <v>148</v>
      </c>
      <c r="R211" s="186">
        <v>44.8</v>
      </c>
      <c r="S211" s="186">
        <v>29.3</v>
      </c>
      <c r="T211" s="187">
        <v>2.48</v>
      </c>
      <c r="U211" s="187">
        <v>5.07</v>
      </c>
      <c r="V211" s="185">
        <v>6710</v>
      </c>
      <c r="W211" s="185">
        <v>2.85</v>
      </c>
      <c r="X211" s="185">
        <v>13.4</v>
      </c>
      <c r="AA211" s="39" t="str">
        <f t="shared" si="3"/>
        <v>W</v>
      </c>
    </row>
    <row r="212" spans="1:27" x14ac:dyDescent="0.2">
      <c r="A212" s="185" t="s">
        <v>2</v>
      </c>
      <c r="B212" s="185" t="s">
        <v>210</v>
      </c>
      <c r="C212" s="14" t="s">
        <v>618</v>
      </c>
      <c r="D212" s="186">
        <v>74</v>
      </c>
      <c r="E212" s="186">
        <v>21.8</v>
      </c>
      <c r="F212" s="186">
        <v>14.2</v>
      </c>
      <c r="G212" s="186">
        <v>10.1</v>
      </c>
      <c r="H212" s="190">
        <v>0.45</v>
      </c>
      <c r="I212" s="190">
        <v>0.78500000000000003</v>
      </c>
      <c r="J212" s="187">
        <v>1.38</v>
      </c>
      <c r="K212" s="187">
        <v>6.41</v>
      </c>
      <c r="L212" s="186">
        <v>25.4</v>
      </c>
      <c r="M212" s="185">
        <v>795</v>
      </c>
      <c r="N212" s="185">
        <v>126</v>
      </c>
      <c r="O212" s="185">
        <v>112</v>
      </c>
      <c r="P212" s="187">
        <v>6.04</v>
      </c>
      <c r="Q212" s="185">
        <v>134</v>
      </c>
      <c r="R212" s="186">
        <v>40.5</v>
      </c>
      <c r="S212" s="186">
        <v>26.6</v>
      </c>
      <c r="T212" s="187">
        <v>2.48</v>
      </c>
      <c r="U212" s="187">
        <v>3.87</v>
      </c>
      <c r="V212" s="185">
        <v>5990</v>
      </c>
      <c r="W212" s="185">
        <v>2.83</v>
      </c>
      <c r="X212" s="185">
        <v>13.4</v>
      </c>
      <c r="AA212" s="39" t="str">
        <f t="shared" si="3"/>
        <v>W</v>
      </c>
    </row>
    <row r="213" spans="1:27" x14ac:dyDescent="0.2">
      <c r="A213" s="185" t="s">
        <v>2</v>
      </c>
      <c r="B213" s="185" t="s">
        <v>211</v>
      </c>
      <c r="C213" s="14" t="s">
        <v>618</v>
      </c>
      <c r="D213" s="186">
        <v>68</v>
      </c>
      <c r="E213" s="186">
        <v>20</v>
      </c>
      <c r="F213" s="186">
        <v>14</v>
      </c>
      <c r="G213" s="186">
        <v>10</v>
      </c>
      <c r="H213" s="190">
        <v>0.41499999999999998</v>
      </c>
      <c r="I213" s="190">
        <v>0.72</v>
      </c>
      <c r="J213" s="187">
        <v>1.31</v>
      </c>
      <c r="K213" s="187">
        <v>6.97</v>
      </c>
      <c r="L213" s="186">
        <v>27.5</v>
      </c>
      <c r="M213" s="185">
        <v>722</v>
      </c>
      <c r="N213" s="185">
        <v>115</v>
      </c>
      <c r="O213" s="185">
        <v>103</v>
      </c>
      <c r="P213" s="187">
        <v>6.01</v>
      </c>
      <c r="Q213" s="185">
        <v>121</v>
      </c>
      <c r="R213" s="186">
        <v>36.9</v>
      </c>
      <c r="S213" s="186">
        <v>24.2</v>
      </c>
      <c r="T213" s="187">
        <v>2.46</v>
      </c>
      <c r="U213" s="187">
        <v>3.01</v>
      </c>
      <c r="V213" s="185">
        <v>5380</v>
      </c>
      <c r="W213" s="187">
        <v>2.8</v>
      </c>
      <c r="X213" s="185">
        <v>13.3</v>
      </c>
      <c r="AA213" s="39" t="str">
        <f t="shared" si="3"/>
        <v>W</v>
      </c>
    </row>
    <row r="214" spans="1:27" x14ac:dyDescent="0.2">
      <c r="A214" s="185" t="s">
        <v>2</v>
      </c>
      <c r="B214" s="185" t="s">
        <v>212</v>
      </c>
      <c r="C214" s="14" t="s">
        <v>618</v>
      </c>
      <c r="D214" s="186">
        <v>61</v>
      </c>
      <c r="E214" s="186">
        <v>17.899999999999999</v>
      </c>
      <c r="F214" s="186">
        <v>13.9</v>
      </c>
      <c r="G214" s="186">
        <v>10</v>
      </c>
      <c r="H214" s="190">
        <v>0.375</v>
      </c>
      <c r="I214" s="190">
        <v>0.64500000000000002</v>
      </c>
      <c r="J214" s="187">
        <v>1.24</v>
      </c>
      <c r="K214" s="187">
        <v>7.75</v>
      </c>
      <c r="L214" s="186">
        <v>30.4</v>
      </c>
      <c r="M214" s="185">
        <v>640</v>
      </c>
      <c r="N214" s="185">
        <v>102</v>
      </c>
      <c r="O214" s="186">
        <v>92.1</v>
      </c>
      <c r="P214" s="187">
        <v>5.98</v>
      </c>
      <c r="Q214" s="185">
        <v>107</v>
      </c>
      <c r="R214" s="186">
        <v>32.799999999999997</v>
      </c>
      <c r="S214" s="186">
        <v>21.5</v>
      </c>
      <c r="T214" s="187">
        <v>2.4500000000000002</v>
      </c>
      <c r="U214" s="187">
        <v>2.19</v>
      </c>
      <c r="V214" s="185">
        <v>4710</v>
      </c>
      <c r="W214" s="185">
        <v>2.78</v>
      </c>
      <c r="X214" s="185">
        <v>13.3</v>
      </c>
      <c r="AA214" s="39" t="str">
        <f t="shared" si="3"/>
        <v>W</v>
      </c>
    </row>
    <row r="215" spans="1:27" x14ac:dyDescent="0.2">
      <c r="A215" s="185" t="s">
        <v>2</v>
      </c>
      <c r="B215" s="185" t="s">
        <v>213</v>
      </c>
      <c r="C215" s="14" t="s">
        <v>618</v>
      </c>
      <c r="D215" s="186">
        <v>53</v>
      </c>
      <c r="E215" s="186">
        <v>15.6</v>
      </c>
      <c r="F215" s="186">
        <v>13.9</v>
      </c>
      <c r="G215" s="187">
        <v>8.06</v>
      </c>
      <c r="H215" s="190">
        <v>0.37</v>
      </c>
      <c r="I215" s="190">
        <v>0.66</v>
      </c>
      <c r="J215" s="187">
        <v>1.25</v>
      </c>
      <c r="K215" s="187">
        <v>6.11</v>
      </c>
      <c r="L215" s="186">
        <v>30.9</v>
      </c>
      <c r="M215" s="185">
        <v>541</v>
      </c>
      <c r="N215" s="186">
        <v>87.1</v>
      </c>
      <c r="O215" s="186">
        <v>77.8</v>
      </c>
      <c r="P215" s="187">
        <v>5.89</v>
      </c>
      <c r="Q215" s="186">
        <v>57.7</v>
      </c>
      <c r="R215" s="186">
        <v>22</v>
      </c>
      <c r="S215" s="186">
        <v>14.3</v>
      </c>
      <c r="T215" s="187">
        <v>1.92</v>
      </c>
      <c r="U215" s="187">
        <v>1.94</v>
      </c>
      <c r="V215" s="185">
        <v>2540</v>
      </c>
      <c r="W215" s="185">
        <v>2.2200000000000002</v>
      </c>
      <c r="X215" s="185">
        <v>13.2</v>
      </c>
      <c r="AA215" s="39" t="str">
        <f t="shared" si="3"/>
        <v>W</v>
      </c>
    </row>
    <row r="216" spans="1:27" x14ac:dyDescent="0.2">
      <c r="A216" s="185" t="s">
        <v>2</v>
      </c>
      <c r="B216" s="185" t="s">
        <v>214</v>
      </c>
      <c r="C216" s="14" t="s">
        <v>618</v>
      </c>
      <c r="D216" s="186">
        <v>48</v>
      </c>
      <c r="E216" s="186">
        <v>14.1</v>
      </c>
      <c r="F216" s="186">
        <v>13.8</v>
      </c>
      <c r="G216" s="187">
        <v>8.0299999999999994</v>
      </c>
      <c r="H216" s="190">
        <v>0.34</v>
      </c>
      <c r="I216" s="190">
        <v>0.59499999999999997</v>
      </c>
      <c r="J216" s="187">
        <v>1.19</v>
      </c>
      <c r="K216" s="187">
        <v>6.75</v>
      </c>
      <c r="L216" s="186">
        <v>33.6</v>
      </c>
      <c r="M216" s="185">
        <v>484</v>
      </c>
      <c r="N216" s="186">
        <v>78.400000000000006</v>
      </c>
      <c r="O216" s="186">
        <v>70.2</v>
      </c>
      <c r="P216" s="187">
        <v>5.85</v>
      </c>
      <c r="Q216" s="186">
        <v>51.4</v>
      </c>
      <c r="R216" s="186">
        <v>19.600000000000001</v>
      </c>
      <c r="S216" s="186">
        <v>12.8</v>
      </c>
      <c r="T216" s="187">
        <v>1.91</v>
      </c>
      <c r="U216" s="187">
        <v>1.45</v>
      </c>
      <c r="V216" s="185">
        <v>2240</v>
      </c>
      <c r="W216" s="187">
        <v>2.2000000000000002</v>
      </c>
      <c r="X216" s="185">
        <v>13.2</v>
      </c>
      <c r="AA216" s="39" t="str">
        <f t="shared" si="3"/>
        <v>W</v>
      </c>
    </row>
    <row r="217" spans="1:27" x14ac:dyDescent="0.2">
      <c r="A217" s="185" t="s">
        <v>2</v>
      </c>
      <c r="B217" s="185" t="s">
        <v>215</v>
      </c>
      <c r="C217" s="14" t="s">
        <v>618</v>
      </c>
      <c r="D217" s="186">
        <v>43</v>
      </c>
      <c r="E217" s="186">
        <v>12.6</v>
      </c>
      <c r="F217" s="186">
        <v>13.7</v>
      </c>
      <c r="G217" s="187">
        <v>8</v>
      </c>
      <c r="H217" s="190">
        <v>0.30499999999999999</v>
      </c>
      <c r="I217" s="190">
        <v>0.53</v>
      </c>
      <c r="J217" s="187">
        <v>1.1200000000000001</v>
      </c>
      <c r="K217" s="187">
        <v>7.54</v>
      </c>
      <c r="L217" s="186">
        <v>37.4</v>
      </c>
      <c r="M217" s="185">
        <v>428</v>
      </c>
      <c r="N217" s="186">
        <v>69.599999999999994</v>
      </c>
      <c r="O217" s="186">
        <v>62.6</v>
      </c>
      <c r="P217" s="187">
        <v>5.82</v>
      </c>
      <c r="Q217" s="186">
        <v>45.2</v>
      </c>
      <c r="R217" s="186">
        <v>17.3</v>
      </c>
      <c r="S217" s="186">
        <v>11.3</v>
      </c>
      <c r="T217" s="187">
        <v>1.89</v>
      </c>
      <c r="U217" s="187">
        <v>1.05</v>
      </c>
      <c r="V217" s="185">
        <v>1950</v>
      </c>
      <c r="W217" s="185">
        <v>2.1800000000000002</v>
      </c>
      <c r="X217" s="185">
        <v>13.2</v>
      </c>
      <c r="AA217" s="39" t="str">
        <f t="shared" si="3"/>
        <v>W</v>
      </c>
    </row>
    <row r="218" spans="1:27" x14ac:dyDescent="0.2">
      <c r="A218" s="185" t="s">
        <v>2</v>
      </c>
      <c r="B218" s="185" t="s">
        <v>216</v>
      </c>
      <c r="C218" s="14" t="s">
        <v>618</v>
      </c>
      <c r="D218" s="186">
        <v>38</v>
      </c>
      <c r="E218" s="186">
        <v>11.2</v>
      </c>
      <c r="F218" s="186">
        <v>14.1</v>
      </c>
      <c r="G218" s="187">
        <v>6.77</v>
      </c>
      <c r="H218" s="190">
        <v>0.31</v>
      </c>
      <c r="I218" s="190">
        <v>0.51500000000000001</v>
      </c>
      <c r="J218" s="190">
        <v>0.91500000000000004</v>
      </c>
      <c r="K218" s="187">
        <v>6.57</v>
      </c>
      <c r="L218" s="186">
        <v>39.6</v>
      </c>
      <c r="M218" s="185">
        <v>385</v>
      </c>
      <c r="N218" s="186">
        <v>61.5</v>
      </c>
      <c r="O218" s="186">
        <v>54.6</v>
      </c>
      <c r="P218" s="187">
        <v>5.87</v>
      </c>
      <c r="Q218" s="186">
        <v>26.7</v>
      </c>
      <c r="R218" s="186">
        <v>12.1</v>
      </c>
      <c r="S218" s="187">
        <v>7.88</v>
      </c>
      <c r="T218" s="187">
        <v>1.55</v>
      </c>
      <c r="U218" s="190">
        <v>0.79800000000000004</v>
      </c>
      <c r="V218" s="185">
        <v>1230</v>
      </c>
      <c r="W218" s="185">
        <v>1.82</v>
      </c>
      <c r="X218" s="185">
        <v>13.6</v>
      </c>
      <c r="AA218" s="39" t="str">
        <f t="shared" si="3"/>
        <v>W</v>
      </c>
    </row>
    <row r="219" spans="1:27" x14ac:dyDescent="0.2">
      <c r="A219" s="185" t="s">
        <v>2</v>
      </c>
      <c r="B219" s="185" t="s">
        <v>217</v>
      </c>
      <c r="C219" s="14" t="s">
        <v>618</v>
      </c>
      <c r="D219" s="186">
        <v>34</v>
      </c>
      <c r="E219" s="186">
        <v>10</v>
      </c>
      <c r="F219" s="186">
        <v>14</v>
      </c>
      <c r="G219" s="187">
        <v>6.75</v>
      </c>
      <c r="H219" s="190">
        <v>0.28499999999999998</v>
      </c>
      <c r="I219" s="190">
        <v>0.45500000000000002</v>
      </c>
      <c r="J219" s="190">
        <v>0.85499999999999998</v>
      </c>
      <c r="K219" s="187">
        <v>7.41</v>
      </c>
      <c r="L219" s="186">
        <v>43.1</v>
      </c>
      <c r="M219" s="185">
        <v>340</v>
      </c>
      <c r="N219" s="186">
        <v>54.6</v>
      </c>
      <c r="O219" s="186">
        <v>48.6</v>
      </c>
      <c r="P219" s="187">
        <v>5.83</v>
      </c>
      <c r="Q219" s="186">
        <v>23.3</v>
      </c>
      <c r="R219" s="186">
        <v>10.6</v>
      </c>
      <c r="S219" s="187">
        <v>6.91</v>
      </c>
      <c r="T219" s="187">
        <v>1.53</v>
      </c>
      <c r="U219" s="190">
        <v>0.56899999999999995</v>
      </c>
      <c r="V219" s="185">
        <v>1070</v>
      </c>
      <c r="W219" s="187">
        <v>1.8</v>
      </c>
      <c r="X219" s="185">
        <v>13.5</v>
      </c>
      <c r="AA219" s="39" t="str">
        <f t="shared" si="3"/>
        <v>W</v>
      </c>
    </row>
    <row r="220" spans="1:27" x14ac:dyDescent="0.2">
      <c r="A220" s="185" t="s">
        <v>2</v>
      </c>
      <c r="B220" s="185" t="s">
        <v>218</v>
      </c>
      <c r="C220" s="14" t="s">
        <v>618</v>
      </c>
      <c r="D220" s="186">
        <v>30</v>
      </c>
      <c r="E220" s="187">
        <v>8.85</v>
      </c>
      <c r="F220" s="186">
        <v>13.8</v>
      </c>
      <c r="G220" s="187">
        <v>6.73</v>
      </c>
      <c r="H220" s="190">
        <v>0.27</v>
      </c>
      <c r="I220" s="190">
        <v>0.38500000000000001</v>
      </c>
      <c r="J220" s="190">
        <v>0.78500000000000003</v>
      </c>
      <c r="K220" s="187">
        <v>8.74</v>
      </c>
      <c r="L220" s="186">
        <v>45.4</v>
      </c>
      <c r="M220" s="185">
        <v>291</v>
      </c>
      <c r="N220" s="186">
        <v>47.3</v>
      </c>
      <c r="O220" s="186">
        <v>42</v>
      </c>
      <c r="P220" s="187">
        <v>5.73</v>
      </c>
      <c r="Q220" s="186">
        <v>19.600000000000001</v>
      </c>
      <c r="R220" s="187">
        <v>8.99</v>
      </c>
      <c r="S220" s="187">
        <v>5.82</v>
      </c>
      <c r="T220" s="187">
        <v>1.49</v>
      </c>
      <c r="U220" s="190">
        <v>0.38</v>
      </c>
      <c r="V220" s="185">
        <v>887</v>
      </c>
      <c r="W220" s="185">
        <v>1.77</v>
      </c>
      <c r="X220" s="185">
        <v>13.4</v>
      </c>
      <c r="AA220" s="39" t="str">
        <f t="shared" si="3"/>
        <v>W</v>
      </c>
    </row>
    <row r="221" spans="1:27" x14ac:dyDescent="0.2">
      <c r="A221" s="185" t="s">
        <v>2</v>
      </c>
      <c r="B221" s="185" t="s">
        <v>219</v>
      </c>
      <c r="C221" s="14" t="s">
        <v>618</v>
      </c>
      <c r="D221" s="186">
        <v>26</v>
      </c>
      <c r="E221" s="187">
        <v>7.69</v>
      </c>
      <c r="F221" s="186">
        <v>13.9</v>
      </c>
      <c r="G221" s="187">
        <v>5.03</v>
      </c>
      <c r="H221" s="190">
        <v>0.255</v>
      </c>
      <c r="I221" s="190">
        <v>0.42</v>
      </c>
      <c r="J221" s="190">
        <v>0.82</v>
      </c>
      <c r="K221" s="187">
        <v>5.98</v>
      </c>
      <c r="L221" s="186">
        <v>48.1</v>
      </c>
      <c r="M221" s="185">
        <v>245</v>
      </c>
      <c r="N221" s="186">
        <v>40.200000000000003</v>
      </c>
      <c r="O221" s="186">
        <v>35.299999999999997</v>
      </c>
      <c r="P221" s="187">
        <v>5.65</v>
      </c>
      <c r="Q221" s="187">
        <v>8.91</v>
      </c>
      <c r="R221" s="187">
        <v>5.54</v>
      </c>
      <c r="S221" s="187">
        <v>3.55</v>
      </c>
      <c r="T221" s="187">
        <v>1.08</v>
      </c>
      <c r="U221" s="190">
        <v>0.35799999999999998</v>
      </c>
      <c r="V221" s="185">
        <v>405</v>
      </c>
      <c r="W221" s="187">
        <v>1.3</v>
      </c>
      <c r="X221" s="185">
        <v>13.5</v>
      </c>
      <c r="AA221" s="39" t="str">
        <f t="shared" si="3"/>
        <v>W</v>
      </c>
    </row>
    <row r="222" spans="1:27" x14ac:dyDescent="0.2">
      <c r="A222" s="185" t="s">
        <v>2</v>
      </c>
      <c r="B222" s="185" t="s">
        <v>220</v>
      </c>
      <c r="C222" s="14" t="s">
        <v>618</v>
      </c>
      <c r="D222" s="186">
        <v>22</v>
      </c>
      <c r="E222" s="187">
        <v>6.49</v>
      </c>
      <c r="F222" s="186">
        <v>13.7</v>
      </c>
      <c r="G222" s="187">
        <v>5</v>
      </c>
      <c r="H222" s="190">
        <v>0.23</v>
      </c>
      <c r="I222" s="190">
        <v>0.33500000000000002</v>
      </c>
      <c r="J222" s="190">
        <v>0.73499999999999999</v>
      </c>
      <c r="K222" s="187">
        <v>7.46</v>
      </c>
      <c r="L222" s="186">
        <v>53.3</v>
      </c>
      <c r="M222" s="185">
        <v>199</v>
      </c>
      <c r="N222" s="186">
        <v>33.200000000000003</v>
      </c>
      <c r="O222" s="186">
        <v>29</v>
      </c>
      <c r="P222" s="187">
        <v>5.54</v>
      </c>
      <c r="Q222" s="187">
        <v>7</v>
      </c>
      <c r="R222" s="187">
        <v>4.3899999999999997</v>
      </c>
      <c r="S222" s="187">
        <v>2.8</v>
      </c>
      <c r="T222" s="187">
        <v>1.04</v>
      </c>
      <c r="U222" s="190">
        <v>0.20799999999999999</v>
      </c>
      <c r="V222" s="185">
        <v>314</v>
      </c>
      <c r="W222" s="185">
        <v>1.27</v>
      </c>
      <c r="X222" s="185">
        <v>13.4</v>
      </c>
      <c r="AA222" s="39" t="str">
        <f t="shared" si="3"/>
        <v>W</v>
      </c>
    </row>
    <row r="223" spans="1:27" x14ac:dyDescent="0.2">
      <c r="A223" s="185" t="s">
        <v>2</v>
      </c>
      <c r="B223" s="185" t="s">
        <v>221</v>
      </c>
      <c r="C223" s="14" t="s">
        <v>618</v>
      </c>
      <c r="D223" s="185">
        <v>336</v>
      </c>
      <c r="E223" s="186">
        <v>98.9</v>
      </c>
      <c r="F223" s="186">
        <v>16.8</v>
      </c>
      <c r="G223" s="186">
        <v>13.4</v>
      </c>
      <c r="H223" s="187">
        <v>1.78</v>
      </c>
      <c r="I223" s="187">
        <v>2.96</v>
      </c>
      <c r="J223" s="187">
        <v>3.55</v>
      </c>
      <c r="K223" s="187">
        <v>2.2599999999999998</v>
      </c>
      <c r="L223" s="187">
        <v>5.47</v>
      </c>
      <c r="M223" s="185">
        <v>4060</v>
      </c>
      <c r="N223" s="185">
        <v>603</v>
      </c>
      <c r="O223" s="185">
        <v>483</v>
      </c>
      <c r="P223" s="187">
        <v>6.41</v>
      </c>
      <c r="Q223" s="185">
        <v>1190</v>
      </c>
      <c r="R223" s="185">
        <v>274</v>
      </c>
      <c r="S223" s="185">
        <v>177</v>
      </c>
      <c r="T223" s="187">
        <v>3.47</v>
      </c>
      <c r="U223" s="185">
        <v>243</v>
      </c>
      <c r="V223" s="185">
        <v>57000</v>
      </c>
      <c r="W223" s="185">
        <v>4.13</v>
      </c>
      <c r="X223" s="185">
        <v>13.8</v>
      </c>
      <c r="AA223" s="39" t="str">
        <f t="shared" si="3"/>
        <v>W</v>
      </c>
    </row>
    <row r="224" spans="1:27" x14ac:dyDescent="0.2">
      <c r="A224" s="185" t="s">
        <v>2</v>
      </c>
      <c r="B224" s="185" t="s">
        <v>222</v>
      </c>
      <c r="C224" s="14" t="s">
        <v>618</v>
      </c>
      <c r="D224" s="185">
        <v>305</v>
      </c>
      <c r="E224" s="186">
        <v>89.5</v>
      </c>
      <c r="F224" s="186">
        <v>16.3</v>
      </c>
      <c r="G224" s="186">
        <v>13.2</v>
      </c>
      <c r="H224" s="187">
        <v>1.63</v>
      </c>
      <c r="I224" s="187">
        <v>2.71</v>
      </c>
      <c r="J224" s="187">
        <v>3.3</v>
      </c>
      <c r="K224" s="187">
        <v>2.4500000000000002</v>
      </c>
      <c r="L224" s="187">
        <v>5.98</v>
      </c>
      <c r="M224" s="185">
        <v>3550</v>
      </c>
      <c r="N224" s="185">
        <v>537</v>
      </c>
      <c r="O224" s="185">
        <v>435</v>
      </c>
      <c r="P224" s="187">
        <v>6.29</v>
      </c>
      <c r="Q224" s="185">
        <v>1050</v>
      </c>
      <c r="R224" s="185">
        <v>244</v>
      </c>
      <c r="S224" s="185">
        <v>159</v>
      </c>
      <c r="T224" s="187">
        <v>3.42</v>
      </c>
      <c r="U224" s="185">
        <v>185</v>
      </c>
      <c r="V224" s="185">
        <v>48600</v>
      </c>
      <c r="W224" s="185">
        <v>4.05</v>
      </c>
      <c r="X224" s="185">
        <v>13.6</v>
      </c>
      <c r="AA224" s="39" t="str">
        <f t="shared" si="3"/>
        <v>W</v>
      </c>
    </row>
    <row r="225" spans="1:27" x14ac:dyDescent="0.2">
      <c r="A225" s="185" t="s">
        <v>2</v>
      </c>
      <c r="B225" s="185" t="s">
        <v>223</v>
      </c>
      <c r="C225" s="14" t="s">
        <v>618</v>
      </c>
      <c r="D225" s="185">
        <v>279</v>
      </c>
      <c r="E225" s="186">
        <v>81.900000000000006</v>
      </c>
      <c r="F225" s="186">
        <v>15.9</v>
      </c>
      <c r="G225" s="186">
        <v>13.1</v>
      </c>
      <c r="H225" s="187">
        <v>1.53</v>
      </c>
      <c r="I225" s="187">
        <v>2.4700000000000002</v>
      </c>
      <c r="J225" s="187">
        <v>3.07</v>
      </c>
      <c r="K225" s="187">
        <v>2.66</v>
      </c>
      <c r="L225" s="187">
        <v>6.35</v>
      </c>
      <c r="M225" s="185">
        <v>3110</v>
      </c>
      <c r="N225" s="185">
        <v>481</v>
      </c>
      <c r="O225" s="185">
        <v>393</v>
      </c>
      <c r="P225" s="187">
        <v>6.16</v>
      </c>
      <c r="Q225" s="185">
        <v>937</v>
      </c>
      <c r="R225" s="185">
        <v>220</v>
      </c>
      <c r="S225" s="185">
        <v>143</v>
      </c>
      <c r="T225" s="187">
        <v>3.38</v>
      </c>
      <c r="U225" s="185">
        <v>143</v>
      </c>
      <c r="V225" s="185">
        <v>42000</v>
      </c>
      <c r="W225" s="187">
        <v>4</v>
      </c>
      <c r="X225" s="185">
        <v>13.4</v>
      </c>
      <c r="AA225" s="39" t="str">
        <f t="shared" si="3"/>
        <v>W</v>
      </c>
    </row>
    <row r="226" spans="1:27" x14ac:dyDescent="0.2">
      <c r="A226" s="185" t="s">
        <v>2</v>
      </c>
      <c r="B226" s="185" t="s">
        <v>224</v>
      </c>
      <c r="C226" s="14" t="s">
        <v>618</v>
      </c>
      <c r="D226" s="185">
        <v>252</v>
      </c>
      <c r="E226" s="186">
        <v>74.099999999999994</v>
      </c>
      <c r="F226" s="186">
        <v>15.4</v>
      </c>
      <c r="G226" s="186">
        <v>13</v>
      </c>
      <c r="H226" s="187">
        <v>1.4</v>
      </c>
      <c r="I226" s="187">
        <v>2.25</v>
      </c>
      <c r="J226" s="187">
        <v>2.85</v>
      </c>
      <c r="K226" s="187">
        <v>2.89</v>
      </c>
      <c r="L226" s="187">
        <v>6.96</v>
      </c>
      <c r="M226" s="185">
        <v>2720</v>
      </c>
      <c r="N226" s="185">
        <v>428</v>
      </c>
      <c r="O226" s="185">
        <v>353</v>
      </c>
      <c r="P226" s="187">
        <v>6.06</v>
      </c>
      <c r="Q226" s="185">
        <v>828</v>
      </c>
      <c r="R226" s="185">
        <v>196</v>
      </c>
      <c r="S226" s="185">
        <v>127</v>
      </c>
      <c r="T226" s="187">
        <v>3.34</v>
      </c>
      <c r="U226" s="185">
        <v>108</v>
      </c>
      <c r="V226" s="185">
        <v>35800</v>
      </c>
      <c r="W226" s="185">
        <v>3.93</v>
      </c>
      <c r="X226" s="185">
        <v>13.2</v>
      </c>
      <c r="AA226" s="39" t="str">
        <f t="shared" si="3"/>
        <v>W</v>
      </c>
    </row>
    <row r="227" spans="1:27" x14ac:dyDescent="0.2">
      <c r="A227" s="185" t="s">
        <v>2</v>
      </c>
      <c r="B227" s="185" t="s">
        <v>225</v>
      </c>
      <c r="C227" s="14" t="s">
        <v>618</v>
      </c>
      <c r="D227" s="185">
        <v>230</v>
      </c>
      <c r="E227" s="186">
        <v>67.7</v>
      </c>
      <c r="F227" s="186">
        <v>15.1</v>
      </c>
      <c r="G227" s="186">
        <v>12.9</v>
      </c>
      <c r="H227" s="187">
        <v>1.29</v>
      </c>
      <c r="I227" s="187">
        <v>2.0699999999999998</v>
      </c>
      <c r="J227" s="187">
        <v>2.67</v>
      </c>
      <c r="K227" s="187">
        <v>3.11</v>
      </c>
      <c r="L227" s="187">
        <v>7.56</v>
      </c>
      <c r="M227" s="185">
        <v>2420</v>
      </c>
      <c r="N227" s="185">
        <v>386</v>
      </c>
      <c r="O227" s="185">
        <v>321</v>
      </c>
      <c r="P227" s="187">
        <v>5.97</v>
      </c>
      <c r="Q227" s="185">
        <v>742</v>
      </c>
      <c r="R227" s="185">
        <v>177</v>
      </c>
      <c r="S227" s="185">
        <v>115</v>
      </c>
      <c r="T227" s="187">
        <v>3.31</v>
      </c>
      <c r="U227" s="186">
        <v>83.8</v>
      </c>
      <c r="V227" s="185">
        <v>31200</v>
      </c>
      <c r="W227" s="185">
        <v>3.87</v>
      </c>
      <c r="X227" s="186">
        <v>13</v>
      </c>
      <c r="AA227" s="39" t="str">
        <f t="shared" si="3"/>
        <v>W</v>
      </c>
    </row>
    <row r="228" spans="1:27" x14ac:dyDescent="0.2">
      <c r="A228" s="185" t="s">
        <v>2</v>
      </c>
      <c r="B228" s="185" t="s">
        <v>226</v>
      </c>
      <c r="C228" s="14" t="s">
        <v>618</v>
      </c>
      <c r="D228" s="185">
        <v>210</v>
      </c>
      <c r="E228" s="186">
        <v>61.8</v>
      </c>
      <c r="F228" s="186">
        <v>14.7</v>
      </c>
      <c r="G228" s="186">
        <v>12.8</v>
      </c>
      <c r="H228" s="187">
        <v>1.18</v>
      </c>
      <c r="I228" s="187">
        <v>1.9</v>
      </c>
      <c r="J228" s="187">
        <v>2.5</v>
      </c>
      <c r="K228" s="187">
        <v>3.37</v>
      </c>
      <c r="L228" s="187">
        <v>8.23</v>
      </c>
      <c r="M228" s="185">
        <v>2140</v>
      </c>
      <c r="N228" s="185">
        <v>348</v>
      </c>
      <c r="O228" s="185">
        <v>292</v>
      </c>
      <c r="P228" s="187">
        <v>5.89</v>
      </c>
      <c r="Q228" s="185">
        <v>664</v>
      </c>
      <c r="R228" s="185">
        <v>159</v>
      </c>
      <c r="S228" s="185">
        <v>104</v>
      </c>
      <c r="T228" s="187">
        <v>3.28</v>
      </c>
      <c r="U228" s="186">
        <v>64.7</v>
      </c>
      <c r="V228" s="185">
        <v>27200</v>
      </c>
      <c r="W228" s="185">
        <v>3.81</v>
      </c>
      <c r="X228" s="185">
        <v>12.8</v>
      </c>
      <c r="AA228" s="39" t="str">
        <f t="shared" si="3"/>
        <v>W</v>
      </c>
    </row>
    <row r="229" spans="1:27" x14ac:dyDescent="0.2">
      <c r="A229" s="185" t="s">
        <v>2</v>
      </c>
      <c r="B229" s="185" t="s">
        <v>227</v>
      </c>
      <c r="C229" s="14" t="s">
        <v>618</v>
      </c>
      <c r="D229" s="185">
        <v>190</v>
      </c>
      <c r="E229" s="186">
        <v>56</v>
      </c>
      <c r="F229" s="186">
        <v>14.4</v>
      </c>
      <c r="G229" s="186">
        <v>12.7</v>
      </c>
      <c r="H229" s="187">
        <v>1.06</v>
      </c>
      <c r="I229" s="187">
        <v>1.74</v>
      </c>
      <c r="J229" s="187">
        <v>2.33</v>
      </c>
      <c r="K229" s="187">
        <v>3.65</v>
      </c>
      <c r="L229" s="187">
        <v>9.16</v>
      </c>
      <c r="M229" s="185">
        <v>1890</v>
      </c>
      <c r="N229" s="185">
        <v>311</v>
      </c>
      <c r="O229" s="185">
        <v>263</v>
      </c>
      <c r="P229" s="187">
        <v>5.82</v>
      </c>
      <c r="Q229" s="185">
        <v>589</v>
      </c>
      <c r="R229" s="185">
        <v>143</v>
      </c>
      <c r="S229" s="186">
        <v>93</v>
      </c>
      <c r="T229" s="187">
        <v>3.25</v>
      </c>
      <c r="U229" s="186">
        <v>48.8</v>
      </c>
      <c r="V229" s="185">
        <v>23600</v>
      </c>
      <c r="W229" s="185">
        <v>3.77</v>
      </c>
      <c r="X229" s="185">
        <v>12.7</v>
      </c>
      <c r="AA229" s="39" t="str">
        <f t="shared" si="3"/>
        <v>W</v>
      </c>
    </row>
    <row r="230" spans="1:27" x14ac:dyDescent="0.2">
      <c r="A230" s="185" t="s">
        <v>2</v>
      </c>
      <c r="B230" s="185" t="s">
        <v>228</v>
      </c>
      <c r="C230" s="14" t="s">
        <v>618</v>
      </c>
      <c r="D230" s="185">
        <v>170</v>
      </c>
      <c r="E230" s="186">
        <v>50</v>
      </c>
      <c r="F230" s="186">
        <v>14</v>
      </c>
      <c r="G230" s="186">
        <v>12.6</v>
      </c>
      <c r="H230" s="190">
        <v>0.96</v>
      </c>
      <c r="I230" s="187">
        <v>1.56</v>
      </c>
      <c r="J230" s="187">
        <v>2.16</v>
      </c>
      <c r="K230" s="187">
        <v>4.03</v>
      </c>
      <c r="L230" s="186">
        <v>10.1</v>
      </c>
      <c r="M230" s="185">
        <v>1650</v>
      </c>
      <c r="N230" s="185">
        <v>275</v>
      </c>
      <c r="O230" s="185">
        <v>235</v>
      </c>
      <c r="P230" s="187">
        <v>5.74</v>
      </c>
      <c r="Q230" s="185">
        <v>517</v>
      </c>
      <c r="R230" s="185">
        <v>126</v>
      </c>
      <c r="S230" s="186">
        <v>82.3</v>
      </c>
      <c r="T230" s="187">
        <v>3.22</v>
      </c>
      <c r="U230" s="186">
        <v>35.6</v>
      </c>
      <c r="V230" s="185">
        <v>20100</v>
      </c>
      <c r="W230" s="187">
        <v>3.7</v>
      </c>
      <c r="X230" s="185">
        <v>12.4</v>
      </c>
      <c r="AA230" s="39" t="str">
        <f t="shared" si="3"/>
        <v>W</v>
      </c>
    </row>
    <row r="231" spans="1:27" x14ac:dyDescent="0.2">
      <c r="A231" s="185" t="s">
        <v>2</v>
      </c>
      <c r="B231" s="185" t="s">
        <v>229</v>
      </c>
      <c r="C231" s="14" t="s">
        <v>618</v>
      </c>
      <c r="D231" s="185">
        <v>152</v>
      </c>
      <c r="E231" s="186">
        <v>44.7</v>
      </c>
      <c r="F231" s="186">
        <v>13.7</v>
      </c>
      <c r="G231" s="186">
        <v>12.5</v>
      </c>
      <c r="H231" s="190">
        <v>0.87</v>
      </c>
      <c r="I231" s="187">
        <v>1.4</v>
      </c>
      <c r="J231" s="187">
        <v>2</v>
      </c>
      <c r="K231" s="187">
        <v>4.46</v>
      </c>
      <c r="L231" s="186">
        <v>11.2</v>
      </c>
      <c r="M231" s="185">
        <v>1430</v>
      </c>
      <c r="N231" s="185">
        <v>243</v>
      </c>
      <c r="O231" s="185">
        <v>209</v>
      </c>
      <c r="P231" s="187">
        <v>5.66</v>
      </c>
      <c r="Q231" s="185">
        <v>454</v>
      </c>
      <c r="R231" s="185">
        <v>111</v>
      </c>
      <c r="S231" s="186">
        <v>72.8</v>
      </c>
      <c r="T231" s="187">
        <v>3.19</v>
      </c>
      <c r="U231" s="186">
        <v>25.8</v>
      </c>
      <c r="V231" s="185">
        <v>17200</v>
      </c>
      <c r="W231" s="185">
        <v>3.66</v>
      </c>
      <c r="X231" s="185">
        <v>12.3</v>
      </c>
      <c r="AA231" s="39" t="str">
        <f t="shared" si="3"/>
        <v>W</v>
      </c>
    </row>
    <row r="232" spans="1:27" x14ac:dyDescent="0.2">
      <c r="A232" s="185" t="s">
        <v>2</v>
      </c>
      <c r="B232" s="185" t="s">
        <v>230</v>
      </c>
      <c r="C232" s="14" t="s">
        <v>618</v>
      </c>
      <c r="D232" s="185">
        <v>136</v>
      </c>
      <c r="E232" s="186">
        <v>39.9</v>
      </c>
      <c r="F232" s="186">
        <v>13.4</v>
      </c>
      <c r="G232" s="186">
        <v>12.4</v>
      </c>
      <c r="H232" s="190">
        <v>0.79</v>
      </c>
      <c r="I232" s="187">
        <v>1.25</v>
      </c>
      <c r="J232" s="187">
        <v>1.85</v>
      </c>
      <c r="K232" s="187">
        <v>4.96</v>
      </c>
      <c r="L232" s="186">
        <v>12.3</v>
      </c>
      <c r="M232" s="185">
        <v>1240</v>
      </c>
      <c r="N232" s="185">
        <v>214</v>
      </c>
      <c r="O232" s="185">
        <v>186</v>
      </c>
      <c r="P232" s="187">
        <v>5.58</v>
      </c>
      <c r="Q232" s="185">
        <v>398</v>
      </c>
      <c r="R232" s="186">
        <v>98</v>
      </c>
      <c r="S232" s="186">
        <v>64.2</v>
      </c>
      <c r="T232" s="187">
        <v>3.16</v>
      </c>
      <c r="U232" s="186">
        <v>18.5</v>
      </c>
      <c r="V232" s="185">
        <v>14700</v>
      </c>
      <c r="W232" s="185">
        <v>3.61</v>
      </c>
      <c r="X232" s="185">
        <v>12.2</v>
      </c>
      <c r="AA232" s="39" t="str">
        <f t="shared" si="3"/>
        <v>W</v>
      </c>
    </row>
    <row r="233" spans="1:27" x14ac:dyDescent="0.2">
      <c r="A233" s="185" t="s">
        <v>2</v>
      </c>
      <c r="B233" s="185" t="s">
        <v>231</v>
      </c>
      <c r="C233" s="14" t="s">
        <v>618</v>
      </c>
      <c r="D233" s="185">
        <v>120</v>
      </c>
      <c r="E233" s="186">
        <v>35.200000000000003</v>
      </c>
      <c r="F233" s="186">
        <v>13.1</v>
      </c>
      <c r="G233" s="186">
        <v>12.3</v>
      </c>
      <c r="H233" s="190">
        <v>0.71</v>
      </c>
      <c r="I233" s="187">
        <v>1.1100000000000001</v>
      </c>
      <c r="J233" s="187">
        <v>1.7</v>
      </c>
      <c r="K233" s="187">
        <v>5.57</v>
      </c>
      <c r="L233" s="186">
        <v>13.7</v>
      </c>
      <c r="M233" s="185">
        <v>1070</v>
      </c>
      <c r="N233" s="185">
        <v>186</v>
      </c>
      <c r="O233" s="185">
        <v>163</v>
      </c>
      <c r="P233" s="187">
        <v>5.51</v>
      </c>
      <c r="Q233" s="185">
        <v>345</v>
      </c>
      <c r="R233" s="186">
        <v>85.4</v>
      </c>
      <c r="S233" s="186">
        <v>56</v>
      </c>
      <c r="T233" s="187">
        <v>3.13</v>
      </c>
      <c r="U233" s="186">
        <v>12.9</v>
      </c>
      <c r="V233" s="185">
        <v>12400</v>
      </c>
      <c r="W233" s="185">
        <v>3.56</v>
      </c>
      <c r="X233" s="186">
        <v>12</v>
      </c>
      <c r="AA233" s="39" t="str">
        <f t="shared" si="3"/>
        <v>W</v>
      </c>
    </row>
    <row r="234" spans="1:27" x14ac:dyDescent="0.2">
      <c r="A234" s="185" t="s">
        <v>2</v>
      </c>
      <c r="B234" s="185" t="s">
        <v>232</v>
      </c>
      <c r="C234" s="14" t="s">
        <v>618</v>
      </c>
      <c r="D234" s="185">
        <v>106</v>
      </c>
      <c r="E234" s="186">
        <v>31.2</v>
      </c>
      <c r="F234" s="186">
        <v>12.9</v>
      </c>
      <c r="G234" s="186">
        <v>12.2</v>
      </c>
      <c r="H234" s="190">
        <v>0.61</v>
      </c>
      <c r="I234" s="190">
        <v>0.99</v>
      </c>
      <c r="J234" s="187">
        <v>1.59</v>
      </c>
      <c r="K234" s="187">
        <v>6.17</v>
      </c>
      <c r="L234" s="186">
        <v>15.9</v>
      </c>
      <c r="M234" s="185">
        <v>933</v>
      </c>
      <c r="N234" s="185">
        <v>164</v>
      </c>
      <c r="O234" s="185">
        <v>145</v>
      </c>
      <c r="P234" s="187">
        <v>5.47</v>
      </c>
      <c r="Q234" s="185">
        <v>301</v>
      </c>
      <c r="R234" s="186">
        <v>75.099999999999994</v>
      </c>
      <c r="S234" s="186">
        <v>49.3</v>
      </c>
      <c r="T234" s="187">
        <v>3.11</v>
      </c>
      <c r="U234" s="187">
        <v>9.1300000000000008</v>
      </c>
      <c r="V234" s="185">
        <v>10700</v>
      </c>
      <c r="W234" s="185">
        <v>3.52</v>
      </c>
      <c r="X234" s="185">
        <v>11.9</v>
      </c>
      <c r="AA234" s="39" t="str">
        <f t="shared" si="3"/>
        <v>W</v>
      </c>
    </row>
    <row r="235" spans="1:27" x14ac:dyDescent="0.2">
      <c r="A235" s="185" t="s">
        <v>2</v>
      </c>
      <c r="B235" s="185" t="s">
        <v>233</v>
      </c>
      <c r="C235" s="14" t="s">
        <v>618</v>
      </c>
      <c r="D235" s="186">
        <v>96</v>
      </c>
      <c r="E235" s="186">
        <v>28.2</v>
      </c>
      <c r="F235" s="186">
        <v>12.7</v>
      </c>
      <c r="G235" s="186">
        <v>12.2</v>
      </c>
      <c r="H235" s="190">
        <v>0.55000000000000004</v>
      </c>
      <c r="I235" s="190">
        <v>0.9</v>
      </c>
      <c r="J235" s="187">
        <v>1.5</v>
      </c>
      <c r="K235" s="187">
        <v>6.76</v>
      </c>
      <c r="L235" s="186">
        <v>17.7</v>
      </c>
      <c r="M235" s="185">
        <v>833</v>
      </c>
      <c r="N235" s="185">
        <v>147</v>
      </c>
      <c r="O235" s="185">
        <v>131</v>
      </c>
      <c r="P235" s="187">
        <v>5.44</v>
      </c>
      <c r="Q235" s="185">
        <v>270</v>
      </c>
      <c r="R235" s="186">
        <v>67.5</v>
      </c>
      <c r="S235" s="186">
        <v>44.4</v>
      </c>
      <c r="T235" s="187">
        <v>3.09</v>
      </c>
      <c r="U235" s="187">
        <v>6.85</v>
      </c>
      <c r="V235" s="185">
        <v>9410</v>
      </c>
      <c r="W235" s="185">
        <v>3.49</v>
      </c>
      <c r="X235" s="185">
        <v>11.8</v>
      </c>
      <c r="AA235" s="39" t="str">
        <f t="shared" si="3"/>
        <v>W</v>
      </c>
    </row>
    <row r="236" spans="1:27" x14ac:dyDescent="0.2">
      <c r="A236" s="185" t="s">
        <v>2</v>
      </c>
      <c r="B236" s="185" t="s">
        <v>234</v>
      </c>
      <c r="C236" s="14" t="s">
        <v>618</v>
      </c>
      <c r="D236" s="186">
        <v>87</v>
      </c>
      <c r="E236" s="186">
        <v>25.6</v>
      </c>
      <c r="F236" s="186">
        <v>12.5</v>
      </c>
      <c r="G236" s="186">
        <v>12.1</v>
      </c>
      <c r="H236" s="190">
        <v>0.51500000000000001</v>
      </c>
      <c r="I236" s="190">
        <v>0.81</v>
      </c>
      <c r="J236" s="187">
        <v>1.41</v>
      </c>
      <c r="K236" s="187">
        <v>7.48</v>
      </c>
      <c r="L236" s="186">
        <v>18.899999999999999</v>
      </c>
      <c r="M236" s="185">
        <v>740</v>
      </c>
      <c r="N236" s="185">
        <v>132</v>
      </c>
      <c r="O236" s="185">
        <v>118</v>
      </c>
      <c r="P236" s="187">
        <v>5.38</v>
      </c>
      <c r="Q236" s="185">
        <v>241</v>
      </c>
      <c r="R236" s="186">
        <v>60.4</v>
      </c>
      <c r="S236" s="186">
        <v>39.700000000000003</v>
      </c>
      <c r="T236" s="187">
        <v>3.07</v>
      </c>
      <c r="U236" s="187">
        <v>5.0999999999999996</v>
      </c>
      <c r="V236" s="185">
        <v>8270</v>
      </c>
      <c r="W236" s="185">
        <v>3.46</v>
      </c>
      <c r="X236" s="185">
        <v>11.7</v>
      </c>
      <c r="AA236" s="39" t="str">
        <f t="shared" si="3"/>
        <v>W</v>
      </c>
    </row>
    <row r="237" spans="1:27" x14ac:dyDescent="0.2">
      <c r="A237" s="185" t="s">
        <v>2</v>
      </c>
      <c r="B237" s="185" t="s">
        <v>235</v>
      </c>
      <c r="C237" s="14" t="s">
        <v>618</v>
      </c>
      <c r="D237" s="186">
        <v>79</v>
      </c>
      <c r="E237" s="186">
        <v>23.2</v>
      </c>
      <c r="F237" s="186">
        <v>12.4</v>
      </c>
      <c r="G237" s="186">
        <v>12.1</v>
      </c>
      <c r="H237" s="190">
        <v>0.47</v>
      </c>
      <c r="I237" s="190">
        <v>0.73499999999999999</v>
      </c>
      <c r="J237" s="187">
        <v>1.33</v>
      </c>
      <c r="K237" s="187">
        <v>8.2200000000000006</v>
      </c>
      <c r="L237" s="186">
        <v>20.7</v>
      </c>
      <c r="M237" s="185">
        <v>662</v>
      </c>
      <c r="N237" s="185">
        <v>119</v>
      </c>
      <c r="O237" s="185">
        <v>107</v>
      </c>
      <c r="P237" s="187">
        <v>5.34</v>
      </c>
      <c r="Q237" s="185">
        <v>216</v>
      </c>
      <c r="R237" s="186">
        <v>54.3</v>
      </c>
      <c r="S237" s="186">
        <v>35.799999999999997</v>
      </c>
      <c r="T237" s="187">
        <v>3.05</v>
      </c>
      <c r="U237" s="187">
        <v>3.84</v>
      </c>
      <c r="V237" s="185">
        <v>7330</v>
      </c>
      <c r="W237" s="185">
        <v>3.43</v>
      </c>
      <c r="X237" s="185">
        <v>11.7</v>
      </c>
      <c r="AA237" s="39" t="str">
        <f t="shared" si="3"/>
        <v>W</v>
      </c>
    </row>
    <row r="238" spans="1:27" x14ac:dyDescent="0.2">
      <c r="A238" s="185" t="s">
        <v>2</v>
      </c>
      <c r="B238" s="185" t="s">
        <v>236</v>
      </c>
      <c r="C238" s="14" t="s">
        <v>618</v>
      </c>
      <c r="D238" s="186">
        <v>72</v>
      </c>
      <c r="E238" s="186">
        <v>21.1</v>
      </c>
      <c r="F238" s="186">
        <v>12.3</v>
      </c>
      <c r="G238" s="186">
        <v>12</v>
      </c>
      <c r="H238" s="190">
        <v>0.43</v>
      </c>
      <c r="I238" s="190">
        <v>0.67</v>
      </c>
      <c r="J238" s="187">
        <v>1.27</v>
      </c>
      <c r="K238" s="187">
        <v>8.99</v>
      </c>
      <c r="L238" s="186">
        <v>22.6</v>
      </c>
      <c r="M238" s="185">
        <v>597</v>
      </c>
      <c r="N238" s="185">
        <v>108</v>
      </c>
      <c r="O238" s="186">
        <v>97.4</v>
      </c>
      <c r="P238" s="187">
        <v>5.31</v>
      </c>
      <c r="Q238" s="185">
        <v>195</v>
      </c>
      <c r="R238" s="186">
        <v>49.2</v>
      </c>
      <c r="S238" s="186">
        <v>32.4</v>
      </c>
      <c r="T238" s="187">
        <v>3.04</v>
      </c>
      <c r="U238" s="187">
        <v>2.93</v>
      </c>
      <c r="V238" s="185">
        <v>6540</v>
      </c>
      <c r="W238" s="185">
        <v>3.41</v>
      </c>
      <c r="X238" s="185">
        <v>11.6</v>
      </c>
      <c r="AA238" s="39" t="str">
        <f t="shared" si="3"/>
        <v>W</v>
      </c>
    </row>
    <row r="239" spans="1:27" x14ac:dyDescent="0.2">
      <c r="A239" s="185" t="s">
        <v>2</v>
      </c>
      <c r="B239" s="185" t="s">
        <v>237</v>
      </c>
      <c r="C239" s="14" t="s">
        <v>618</v>
      </c>
      <c r="D239" s="186">
        <v>65</v>
      </c>
      <c r="E239" s="186">
        <v>19.100000000000001</v>
      </c>
      <c r="F239" s="186">
        <v>12.1</v>
      </c>
      <c r="G239" s="186">
        <v>12</v>
      </c>
      <c r="H239" s="190">
        <v>0.39</v>
      </c>
      <c r="I239" s="190">
        <v>0.60499999999999998</v>
      </c>
      <c r="J239" s="187">
        <v>1.2</v>
      </c>
      <c r="K239" s="187">
        <v>9.92</v>
      </c>
      <c r="L239" s="186">
        <v>24.9</v>
      </c>
      <c r="M239" s="185">
        <v>533</v>
      </c>
      <c r="N239" s="186">
        <v>96.8</v>
      </c>
      <c r="O239" s="186">
        <v>87.9</v>
      </c>
      <c r="P239" s="187">
        <v>5.28</v>
      </c>
      <c r="Q239" s="185">
        <v>174</v>
      </c>
      <c r="R239" s="186">
        <v>44.1</v>
      </c>
      <c r="S239" s="186">
        <v>29.1</v>
      </c>
      <c r="T239" s="187">
        <v>3.02</v>
      </c>
      <c r="U239" s="187">
        <v>2.1800000000000002</v>
      </c>
      <c r="V239" s="185">
        <v>5780</v>
      </c>
      <c r="W239" s="185">
        <v>3.38</v>
      </c>
      <c r="X239" s="185">
        <v>11.5</v>
      </c>
      <c r="AA239" s="39" t="str">
        <f t="shared" si="3"/>
        <v>W</v>
      </c>
    </row>
    <row r="240" spans="1:27" x14ac:dyDescent="0.2">
      <c r="A240" s="185" t="s">
        <v>2</v>
      </c>
      <c r="B240" s="185" t="s">
        <v>238</v>
      </c>
      <c r="C240" s="14" t="s">
        <v>618</v>
      </c>
      <c r="D240" s="186">
        <v>58</v>
      </c>
      <c r="E240" s="186">
        <v>17</v>
      </c>
      <c r="F240" s="186">
        <v>12.2</v>
      </c>
      <c r="G240" s="186">
        <v>10</v>
      </c>
      <c r="H240" s="190">
        <v>0.36</v>
      </c>
      <c r="I240" s="190">
        <v>0.64</v>
      </c>
      <c r="J240" s="187">
        <v>1.24</v>
      </c>
      <c r="K240" s="187">
        <v>7.82</v>
      </c>
      <c r="L240" s="186">
        <v>27</v>
      </c>
      <c r="M240" s="185">
        <v>475</v>
      </c>
      <c r="N240" s="186">
        <v>86.4</v>
      </c>
      <c r="O240" s="186">
        <v>78</v>
      </c>
      <c r="P240" s="187">
        <v>5.28</v>
      </c>
      <c r="Q240" s="185">
        <v>107</v>
      </c>
      <c r="R240" s="186">
        <v>32.5</v>
      </c>
      <c r="S240" s="186">
        <v>21.4</v>
      </c>
      <c r="T240" s="187">
        <v>2.5099999999999998</v>
      </c>
      <c r="U240" s="187">
        <v>2.1</v>
      </c>
      <c r="V240" s="185">
        <v>3570</v>
      </c>
      <c r="W240" s="185">
        <v>2.81</v>
      </c>
      <c r="X240" s="185">
        <v>11.6</v>
      </c>
      <c r="AA240" s="39" t="str">
        <f t="shared" si="3"/>
        <v>W</v>
      </c>
    </row>
    <row r="241" spans="1:27" x14ac:dyDescent="0.2">
      <c r="A241" s="185" t="s">
        <v>2</v>
      </c>
      <c r="B241" s="185" t="s">
        <v>239</v>
      </c>
      <c r="C241" s="14" t="s">
        <v>618</v>
      </c>
      <c r="D241" s="186">
        <v>53</v>
      </c>
      <c r="E241" s="186">
        <v>15.6</v>
      </c>
      <c r="F241" s="186">
        <v>12.1</v>
      </c>
      <c r="G241" s="186">
        <v>10</v>
      </c>
      <c r="H241" s="190">
        <v>0.34499999999999997</v>
      </c>
      <c r="I241" s="190">
        <v>0.57499999999999996</v>
      </c>
      <c r="J241" s="187">
        <v>1.18</v>
      </c>
      <c r="K241" s="187">
        <v>8.69</v>
      </c>
      <c r="L241" s="186">
        <v>28.1</v>
      </c>
      <c r="M241" s="185">
        <v>425</v>
      </c>
      <c r="N241" s="186">
        <v>77.900000000000006</v>
      </c>
      <c r="O241" s="186">
        <v>70.599999999999994</v>
      </c>
      <c r="P241" s="187">
        <v>5.23</v>
      </c>
      <c r="Q241" s="186">
        <v>95.8</v>
      </c>
      <c r="R241" s="186">
        <v>29.1</v>
      </c>
      <c r="S241" s="186">
        <v>19.2</v>
      </c>
      <c r="T241" s="187">
        <v>2.48</v>
      </c>
      <c r="U241" s="187">
        <v>1.58</v>
      </c>
      <c r="V241" s="185">
        <v>3160</v>
      </c>
      <c r="W241" s="185">
        <v>2.79</v>
      </c>
      <c r="X241" s="185">
        <v>11.5</v>
      </c>
      <c r="AA241" s="39" t="str">
        <f t="shared" si="3"/>
        <v>W</v>
      </c>
    </row>
    <row r="242" spans="1:27" x14ac:dyDescent="0.2">
      <c r="A242" s="185" t="s">
        <v>2</v>
      </c>
      <c r="B242" s="185" t="s">
        <v>240</v>
      </c>
      <c r="C242" s="14" t="s">
        <v>618</v>
      </c>
      <c r="D242" s="186">
        <v>50</v>
      </c>
      <c r="E242" s="186">
        <v>14.6</v>
      </c>
      <c r="F242" s="186">
        <v>12.2</v>
      </c>
      <c r="G242" s="187">
        <v>8.08</v>
      </c>
      <c r="H242" s="190">
        <v>0.37</v>
      </c>
      <c r="I242" s="190">
        <v>0.64</v>
      </c>
      <c r="J242" s="187">
        <v>1.1399999999999999</v>
      </c>
      <c r="K242" s="187">
        <v>6.31</v>
      </c>
      <c r="L242" s="186">
        <v>26.8</v>
      </c>
      <c r="M242" s="185">
        <v>391</v>
      </c>
      <c r="N242" s="186">
        <v>71.900000000000006</v>
      </c>
      <c r="O242" s="186">
        <v>64.2</v>
      </c>
      <c r="P242" s="187">
        <v>5.18</v>
      </c>
      <c r="Q242" s="186">
        <v>56.3</v>
      </c>
      <c r="R242" s="186">
        <v>21.3</v>
      </c>
      <c r="S242" s="186">
        <v>13.9</v>
      </c>
      <c r="T242" s="187">
        <v>1.96</v>
      </c>
      <c r="U242" s="187">
        <v>1.71</v>
      </c>
      <c r="V242" s="185">
        <v>1880</v>
      </c>
      <c r="W242" s="185">
        <v>2.25</v>
      </c>
      <c r="X242" s="185">
        <v>11.6</v>
      </c>
      <c r="AA242" s="39" t="str">
        <f t="shared" si="3"/>
        <v>W</v>
      </c>
    </row>
    <row r="243" spans="1:27" x14ac:dyDescent="0.2">
      <c r="A243" s="185" t="s">
        <v>2</v>
      </c>
      <c r="B243" s="185" t="s">
        <v>241</v>
      </c>
      <c r="C243" s="14" t="s">
        <v>618</v>
      </c>
      <c r="D243" s="186">
        <v>45</v>
      </c>
      <c r="E243" s="186">
        <v>13.1</v>
      </c>
      <c r="F243" s="186">
        <v>12.1</v>
      </c>
      <c r="G243" s="187">
        <v>8.0500000000000007</v>
      </c>
      <c r="H243" s="190">
        <v>0.33500000000000002</v>
      </c>
      <c r="I243" s="190">
        <v>0.57499999999999996</v>
      </c>
      <c r="J243" s="187">
        <v>1.08</v>
      </c>
      <c r="K243" s="187">
        <v>7</v>
      </c>
      <c r="L243" s="186">
        <v>29.6</v>
      </c>
      <c r="M243" s="185">
        <v>348</v>
      </c>
      <c r="N243" s="186">
        <v>64.2</v>
      </c>
      <c r="O243" s="186">
        <v>57.7</v>
      </c>
      <c r="P243" s="187">
        <v>5.15</v>
      </c>
      <c r="Q243" s="186">
        <v>50</v>
      </c>
      <c r="R243" s="186">
        <v>19</v>
      </c>
      <c r="S243" s="186">
        <v>12.4</v>
      </c>
      <c r="T243" s="187">
        <v>1.95</v>
      </c>
      <c r="U243" s="187">
        <v>1.26</v>
      </c>
      <c r="V243" s="185">
        <v>1650</v>
      </c>
      <c r="W243" s="185">
        <v>2.23</v>
      </c>
      <c r="X243" s="185">
        <v>11.5</v>
      </c>
      <c r="AA243" s="39" t="str">
        <f t="shared" si="3"/>
        <v>W</v>
      </c>
    </row>
    <row r="244" spans="1:27" x14ac:dyDescent="0.2">
      <c r="A244" s="185" t="s">
        <v>2</v>
      </c>
      <c r="B244" s="185" t="s">
        <v>242</v>
      </c>
      <c r="C244" s="14" t="s">
        <v>618</v>
      </c>
      <c r="D244" s="186">
        <v>40</v>
      </c>
      <c r="E244" s="186">
        <v>11.7</v>
      </c>
      <c r="F244" s="186">
        <v>11.9</v>
      </c>
      <c r="G244" s="187">
        <v>8.01</v>
      </c>
      <c r="H244" s="190">
        <v>0.29499999999999998</v>
      </c>
      <c r="I244" s="190">
        <v>0.51500000000000001</v>
      </c>
      <c r="J244" s="187">
        <v>1.02</v>
      </c>
      <c r="K244" s="187">
        <v>7.77</v>
      </c>
      <c r="L244" s="186">
        <v>33.6</v>
      </c>
      <c r="M244" s="185">
        <v>307</v>
      </c>
      <c r="N244" s="186">
        <v>57</v>
      </c>
      <c r="O244" s="186">
        <v>51.5</v>
      </c>
      <c r="P244" s="187">
        <v>5.13</v>
      </c>
      <c r="Q244" s="186">
        <v>44.1</v>
      </c>
      <c r="R244" s="186">
        <v>16.8</v>
      </c>
      <c r="S244" s="186">
        <v>11</v>
      </c>
      <c r="T244" s="187">
        <v>1.94</v>
      </c>
      <c r="U244" s="190">
        <v>0.90600000000000003</v>
      </c>
      <c r="V244" s="185">
        <v>1440</v>
      </c>
      <c r="W244" s="185">
        <v>2.21</v>
      </c>
      <c r="X244" s="185">
        <v>11.4</v>
      </c>
      <c r="AA244" s="39" t="str">
        <f t="shared" si="3"/>
        <v>W</v>
      </c>
    </row>
    <row r="245" spans="1:27" x14ac:dyDescent="0.2">
      <c r="A245" s="185" t="s">
        <v>2</v>
      </c>
      <c r="B245" s="185" t="s">
        <v>243</v>
      </c>
      <c r="C245" s="14" t="s">
        <v>618</v>
      </c>
      <c r="D245" s="186">
        <v>35</v>
      </c>
      <c r="E245" s="186">
        <v>10.3</v>
      </c>
      <c r="F245" s="186">
        <v>12.5</v>
      </c>
      <c r="G245" s="187">
        <v>6.56</v>
      </c>
      <c r="H245" s="190">
        <v>0.3</v>
      </c>
      <c r="I245" s="190">
        <v>0.52</v>
      </c>
      <c r="J245" s="190">
        <v>0.82</v>
      </c>
      <c r="K245" s="187">
        <v>6.31</v>
      </c>
      <c r="L245" s="186">
        <v>36.200000000000003</v>
      </c>
      <c r="M245" s="185">
        <v>285</v>
      </c>
      <c r="N245" s="186">
        <v>51.2</v>
      </c>
      <c r="O245" s="186">
        <v>45.6</v>
      </c>
      <c r="P245" s="187">
        <v>5.25</v>
      </c>
      <c r="Q245" s="186">
        <v>24.5</v>
      </c>
      <c r="R245" s="186">
        <v>11.5</v>
      </c>
      <c r="S245" s="187">
        <v>7.47</v>
      </c>
      <c r="T245" s="187">
        <v>1.54</v>
      </c>
      <c r="U245" s="190">
        <v>0.74099999999999999</v>
      </c>
      <c r="V245" s="185">
        <v>879</v>
      </c>
      <c r="W245" s="185">
        <v>1.79</v>
      </c>
      <c r="X245" s="186">
        <v>12</v>
      </c>
      <c r="AA245" s="39" t="str">
        <f t="shared" si="3"/>
        <v>W</v>
      </c>
    </row>
    <row r="246" spans="1:27" x14ac:dyDescent="0.2">
      <c r="A246" s="185" t="s">
        <v>2</v>
      </c>
      <c r="B246" s="185" t="s">
        <v>244</v>
      </c>
      <c r="C246" s="14" t="s">
        <v>618</v>
      </c>
      <c r="D246" s="186">
        <v>30</v>
      </c>
      <c r="E246" s="187">
        <v>8.7899999999999991</v>
      </c>
      <c r="F246" s="186">
        <v>12.3</v>
      </c>
      <c r="G246" s="187">
        <v>6.52</v>
      </c>
      <c r="H246" s="190">
        <v>0.26</v>
      </c>
      <c r="I246" s="190">
        <v>0.44</v>
      </c>
      <c r="J246" s="190">
        <v>0.74</v>
      </c>
      <c r="K246" s="187">
        <v>7.41</v>
      </c>
      <c r="L246" s="186">
        <v>41.8</v>
      </c>
      <c r="M246" s="185">
        <v>238</v>
      </c>
      <c r="N246" s="186">
        <v>43.1</v>
      </c>
      <c r="O246" s="186">
        <v>38.6</v>
      </c>
      <c r="P246" s="187">
        <v>5.21</v>
      </c>
      <c r="Q246" s="186">
        <v>20.3</v>
      </c>
      <c r="R246" s="187">
        <v>9.56</v>
      </c>
      <c r="S246" s="187">
        <v>6.24</v>
      </c>
      <c r="T246" s="187">
        <v>1.52</v>
      </c>
      <c r="U246" s="190">
        <v>0.45700000000000002</v>
      </c>
      <c r="V246" s="185">
        <v>720</v>
      </c>
      <c r="W246" s="185">
        <v>1.77</v>
      </c>
      <c r="X246" s="185">
        <v>11.9</v>
      </c>
      <c r="AA246" s="39" t="str">
        <f t="shared" si="3"/>
        <v>W</v>
      </c>
    </row>
    <row r="247" spans="1:27" x14ac:dyDescent="0.2">
      <c r="A247" s="185" t="s">
        <v>2</v>
      </c>
      <c r="B247" s="185" t="s">
        <v>245</v>
      </c>
      <c r="C247" s="14" t="s">
        <v>618</v>
      </c>
      <c r="D247" s="186">
        <v>26</v>
      </c>
      <c r="E247" s="187">
        <v>7.65</v>
      </c>
      <c r="F247" s="186">
        <v>12.2</v>
      </c>
      <c r="G247" s="187">
        <v>6.49</v>
      </c>
      <c r="H247" s="190">
        <v>0.23</v>
      </c>
      <c r="I247" s="190">
        <v>0.38</v>
      </c>
      <c r="J247" s="190">
        <v>0.68</v>
      </c>
      <c r="K247" s="187">
        <v>8.5399999999999991</v>
      </c>
      <c r="L247" s="186">
        <v>47.2</v>
      </c>
      <c r="M247" s="185">
        <v>204</v>
      </c>
      <c r="N247" s="186">
        <v>37.200000000000003</v>
      </c>
      <c r="O247" s="186">
        <v>33.4</v>
      </c>
      <c r="P247" s="187">
        <v>5.17</v>
      </c>
      <c r="Q247" s="186">
        <v>17.3</v>
      </c>
      <c r="R247" s="187">
        <v>8.17</v>
      </c>
      <c r="S247" s="187">
        <v>5.34</v>
      </c>
      <c r="T247" s="187">
        <v>1.51</v>
      </c>
      <c r="U247" s="190">
        <v>0.3</v>
      </c>
      <c r="V247" s="185">
        <v>607</v>
      </c>
      <c r="W247" s="185">
        <v>1.75</v>
      </c>
      <c r="X247" s="185">
        <v>11.8</v>
      </c>
      <c r="AA247" s="39" t="str">
        <f t="shared" si="3"/>
        <v>W</v>
      </c>
    </row>
    <row r="248" spans="1:27" x14ac:dyDescent="0.2">
      <c r="A248" s="185" t="s">
        <v>2</v>
      </c>
      <c r="B248" s="185" t="s">
        <v>246</v>
      </c>
      <c r="C248" s="14" t="s">
        <v>618</v>
      </c>
      <c r="D248" s="186">
        <v>22</v>
      </c>
      <c r="E248" s="187">
        <v>6.48</v>
      </c>
      <c r="F248" s="186">
        <v>12.3</v>
      </c>
      <c r="G248" s="187">
        <v>4.03</v>
      </c>
      <c r="H248" s="190">
        <v>0.26</v>
      </c>
      <c r="I248" s="190">
        <v>0.42499999999999999</v>
      </c>
      <c r="J248" s="190">
        <v>0.72499999999999998</v>
      </c>
      <c r="K248" s="187">
        <v>4.74</v>
      </c>
      <c r="L248" s="186">
        <v>41.8</v>
      </c>
      <c r="M248" s="185">
        <v>156</v>
      </c>
      <c r="N248" s="186">
        <v>29.3</v>
      </c>
      <c r="O248" s="186">
        <v>25.4</v>
      </c>
      <c r="P248" s="187">
        <v>4.91</v>
      </c>
      <c r="Q248" s="187">
        <v>4.66</v>
      </c>
      <c r="R248" s="187">
        <v>3.66</v>
      </c>
      <c r="S248" s="187">
        <v>2.31</v>
      </c>
      <c r="T248" s="190">
        <v>0.84799999999999998</v>
      </c>
      <c r="U248" s="190">
        <v>0.29299999999999998</v>
      </c>
      <c r="V248" s="185">
        <v>164</v>
      </c>
      <c r="W248" s="185">
        <v>1.04</v>
      </c>
      <c r="X248" s="185">
        <v>11.9</v>
      </c>
      <c r="AA248" s="39" t="str">
        <f t="shared" si="3"/>
        <v>W</v>
      </c>
    </row>
    <row r="249" spans="1:27" x14ac:dyDescent="0.2">
      <c r="A249" s="185" t="s">
        <v>2</v>
      </c>
      <c r="B249" s="185" t="s">
        <v>247</v>
      </c>
      <c r="C249" s="14" t="s">
        <v>618</v>
      </c>
      <c r="D249" s="186">
        <v>19</v>
      </c>
      <c r="E249" s="187">
        <v>5.57</v>
      </c>
      <c r="F249" s="186">
        <v>12.2</v>
      </c>
      <c r="G249" s="187">
        <v>4.01</v>
      </c>
      <c r="H249" s="190">
        <v>0.23499999999999999</v>
      </c>
      <c r="I249" s="190">
        <v>0.35</v>
      </c>
      <c r="J249" s="190">
        <v>0.65</v>
      </c>
      <c r="K249" s="187">
        <v>5.72</v>
      </c>
      <c r="L249" s="186">
        <v>46.2</v>
      </c>
      <c r="M249" s="185">
        <v>130</v>
      </c>
      <c r="N249" s="186">
        <v>24.7</v>
      </c>
      <c r="O249" s="186">
        <v>21.3</v>
      </c>
      <c r="P249" s="187">
        <v>4.82</v>
      </c>
      <c r="Q249" s="187">
        <v>3.76</v>
      </c>
      <c r="R249" s="187">
        <v>2.98</v>
      </c>
      <c r="S249" s="187">
        <v>1.88</v>
      </c>
      <c r="T249" s="190">
        <v>0.82199999999999995</v>
      </c>
      <c r="U249" s="190">
        <v>0.18</v>
      </c>
      <c r="V249" s="185">
        <v>131</v>
      </c>
      <c r="W249" s="185">
        <v>1.02</v>
      </c>
      <c r="X249" s="185">
        <v>11.9</v>
      </c>
      <c r="AA249" s="39" t="str">
        <f t="shared" si="3"/>
        <v>W</v>
      </c>
    </row>
    <row r="250" spans="1:27" x14ac:dyDescent="0.2">
      <c r="A250" s="185" t="s">
        <v>2</v>
      </c>
      <c r="B250" s="185" t="s">
        <v>248</v>
      </c>
      <c r="C250" s="14" t="s">
        <v>618</v>
      </c>
      <c r="D250" s="186">
        <v>16</v>
      </c>
      <c r="E250" s="187">
        <v>4.71</v>
      </c>
      <c r="F250" s="186">
        <v>12</v>
      </c>
      <c r="G250" s="187">
        <v>3.99</v>
      </c>
      <c r="H250" s="190">
        <v>0.22</v>
      </c>
      <c r="I250" s="190">
        <v>0.26500000000000001</v>
      </c>
      <c r="J250" s="190">
        <v>0.56499999999999995</v>
      </c>
      <c r="K250" s="187">
        <v>7.53</v>
      </c>
      <c r="L250" s="186">
        <v>49.4</v>
      </c>
      <c r="M250" s="185">
        <v>103</v>
      </c>
      <c r="N250" s="186">
        <v>20.100000000000001</v>
      </c>
      <c r="O250" s="186">
        <v>17.100000000000001</v>
      </c>
      <c r="P250" s="187">
        <v>4.67</v>
      </c>
      <c r="Q250" s="187">
        <v>2.82</v>
      </c>
      <c r="R250" s="187">
        <v>2.2599999999999998</v>
      </c>
      <c r="S250" s="187">
        <v>1.41</v>
      </c>
      <c r="T250" s="190">
        <v>0.77300000000000002</v>
      </c>
      <c r="U250" s="190">
        <v>0.10299999999999999</v>
      </c>
      <c r="V250" s="186">
        <v>96.9</v>
      </c>
      <c r="W250" s="185">
        <v>0.98299999999999998</v>
      </c>
      <c r="X250" s="185">
        <v>11.7</v>
      </c>
      <c r="AA250" s="39" t="str">
        <f t="shared" si="3"/>
        <v>W</v>
      </c>
    </row>
    <row r="251" spans="1:27" x14ac:dyDescent="0.2">
      <c r="A251" s="185" t="s">
        <v>2</v>
      </c>
      <c r="B251" s="185" t="s">
        <v>249</v>
      </c>
      <c r="C251" s="14" t="s">
        <v>618</v>
      </c>
      <c r="D251" s="186">
        <v>14</v>
      </c>
      <c r="E251" s="187">
        <v>4.16</v>
      </c>
      <c r="F251" s="186">
        <v>11.9</v>
      </c>
      <c r="G251" s="187">
        <v>3.97</v>
      </c>
      <c r="H251" s="190">
        <v>0.2</v>
      </c>
      <c r="I251" s="190">
        <v>0.22500000000000001</v>
      </c>
      <c r="J251" s="190">
        <v>0.52500000000000002</v>
      </c>
      <c r="K251" s="187">
        <v>8.82</v>
      </c>
      <c r="L251" s="186">
        <v>54.3</v>
      </c>
      <c r="M251" s="186">
        <v>88.6</v>
      </c>
      <c r="N251" s="186">
        <v>17.399999999999999</v>
      </c>
      <c r="O251" s="186">
        <v>14.9</v>
      </c>
      <c r="P251" s="187">
        <v>4.62</v>
      </c>
      <c r="Q251" s="187">
        <v>2.36</v>
      </c>
      <c r="R251" s="187">
        <v>1.9</v>
      </c>
      <c r="S251" s="187">
        <v>1.19</v>
      </c>
      <c r="T251" s="190">
        <v>0.753</v>
      </c>
      <c r="U251" s="193">
        <v>7.0400000000000004E-2</v>
      </c>
      <c r="V251" s="186">
        <v>80.400000000000006</v>
      </c>
      <c r="W251" s="185">
        <v>0.96099999999999997</v>
      </c>
      <c r="X251" s="185">
        <v>11.7</v>
      </c>
      <c r="AA251" s="39" t="str">
        <f t="shared" si="3"/>
        <v>W</v>
      </c>
    </row>
    <row r="252" spans="1:27" x14ac:dyDescent="0.2">
      <c r="A252" s="185" t="s">
        <v>2</v>
      </c>
      <c r="B252" s="185" t="s">
        <v>250</v>
      </c>
      <c r="C252" s="14" t="s">
        <v>618</v>
      </c>
      <c r="D252" s="185">
        <v>112</v>
      </c>
      <c r="E252" s="186">
        <v>32.9</v>
      </c>
      <c r="F252" s="186">
        <v>11.4</v>
      </c>
      <c r="G252" s="186">
        <v>10.4</v>
      </c>
      <c r="H252" s="190">
        <v>0.755</v>
      </c>
      <c r="I252" s="187">
        <v>1.25</v>
      </c>
      <c r="J252" s="187">
        <v>1.75</v>
      </c>
      <c r="K252" s="187">
        <v>4.17</v>
      </c>
      <c r="L252" s="186">
        <v>10.4</v>
      </c>
      <c r="M252" s="185">
        <v>716</v>
      </c>
      <c r="N252" s="185">
        <v>147</v>
      </c>
      <c r="O252" s="185">
        <v>126</v>
      </c>
      <c r="P252" s="187">
        <v>4.66</v>
      </c>
      <c r="Q252" s="185">
        <v>236</v>
      </c>
      <c r="R252" s="186">
        <v>69.2</v>
      </c>
      <c r="S252" s="186">
        <v>45.3</v>
      </c>
      <c r="T252" s="187">
        <v>2.68</v>
      </c>
      <c r="U252" s="186">
        <v>15.1</v>
      </c>
      <c r="V252" s="185">
        <v>6020</v>
      </c>
      <c r="W252" s="185">
        <v>3.08</v>
      </c>
      <c r="X252" s="185">
        <v>10.199999999999999</v>
      </c>
      <c r="AA252" s="39" t="str">
        <f t="shared" si="3"/>
        <v>W</v>
      </c>
    </row>
    <row r="253" spans="1:27" x14ac:dyDescent="0.2">
      <c r="A253" s="185" t="s">
        <v>2</v>
      </c>
      <c r="B253" s="185" t="s">
        <v>251</v>
      </c>
      <c r="C253" s="14" t="s">
        <v>618</v>
      </c>
      <c r="D253" s="185">
        <v>100</v>
      </c>
      <c r="E253" s="186">
        <v>29.3</v>
      </c>
      <c r="F253" s="186">
        <v>11.1</v>
      </c>
      <c r="G253" s="186">
        <v>10.3</v>
      </c>
      <c r="H253" s="190">
        <v>0.68</v>
      </c>
      <c r="I253" s="187">
        <v>1.1200000000000001</v>
      </c>
      <c r="J253" s="187">
        <v>1.62</v>
      </c>
      <c r="K253" s="187">
        <v>4.62</v>
      </c>
      <c r="L253" s="186">
        <v>11.6</v>
      </c>
      <c r="M253" s="185">
        <v>623</v>
      </c>
      <c r="N253" s="185">
        <v>130</v>
      </c>
      <c r="O253" s="185">
        <v>112</v>
      </c>
      <c r="P253" s="187">
        <v>4.5999999999999996</v>
      </c>
      <c r="Q253" s="185">
        <v>207</v>
      </c>
      <c r="R253" s="186">
        <v>61</v>
      </c>
      <c r="S253" s="186">
        <v>40</v>
      </c>
      <c r="T253" s="187">
        <v>2.65</v>
      </c>
      <c r="U253" s="186">
        <v>10.9</v>
      </c>
      <c r="V253" s="185">
        <v>5150</v>
      </c>
      <c r="W253" s="185">
        <v>3.04</v>
      </c>
      <c r="X253" s="186">
        <v>10</v>
      </c>
      <c r="AA253" s="39" t="str">
        <f t="shared" si="3"/>
        <v>W</v>
      </c>
    </row>
    <row r="254" spans="1:27" x14ac:dyDescent="0.2">
      <c r="A254" s="185" t="s">
        <v>2</v>
      </c>
      <c r="B254" s="185" t="s">
        <v>252</v>
      </c>
      <c r="C254" s="14" t="s">
        <v>618</v>
      </c>
      <c r="D254" s="186">
        <v>88</v>
      </c>
      <c r="E254" s="186">
        <v>26</v>
      </c>
      <c r="F254" s="186">
        <v>10.8</v>
      </c>
      <c r="G254" s="186">
        <v>10.3</v>
      </c>
      <c r="H254" s="190">
        <v>0.60499999999999998</v>
      </c>
      <c r="I254" s="190">
        <v>0.99</v>
      </c>
      <c r="J254" s="187">
        <v>1.49</v>
      </c>
      <c r="K254" s="187">
        <v>5.18</v>
      </c>
      <c r="L254" s="186">
        <v>13</v>
      </c>
      <c r="M254" s="185">
        <v>534</v>
      </c>
      <c r="N254" s="185">
        <v>113</v>
      </c>
      <c r="O254" s="186">
        <v>98.5</v>
      </c>
      <c r="P254" s="187">
        <v>4.54</v>
      </c>
      <c r="Q254" s="185">
        <v>179</v>
      </c>
      <c r="R254" s="186">
        <v>53.1</v>
      </c>
      <c r="S254" s="186">
        <v>34.799999999999997</v>
      </c>
      <c r="T254" s="187">
        <v>2.63</v>
      </c>
      <c r="U254" s="187">
        <v>7.53</v>
      </c>
      <c r="V254" s="185">
        <v>4330</v>
      </c>
      <c r="W254" s="185">
        <v>2.99</v>
      </c>
      <c r="X254" s="185">
        <v>9.81</v>
      </c>
      <c r="AA254" s="39" t="str">
        <f t="shared" si="3"/>
        <v>W</v>
      </c>
    </row>
    <row r="255" spans="1:27" x14ac:dyDescent="0.2">
      <c r="A255" s="185" t="s">
        <v>2</v>
      </c>
      <c r="B255" s="185" t="s">
        <v>253</v>
      </c>
      <c r="C255" s="14" t="s">
        <v>618</v>
      </c>
      <c r="D255" s="186">
        <v>77</v>
      </c>
      <c r="E255" s="186">
        <v>22.7</v>
      </c>
      <c r="F255" s="186">
        <v>10.6</v>
      </c>
      <c r="G255" s="186">
        <v>10.199999999999999</v>
      </c>
      <c r="H255" s="190">
        <v>0.53</v>
      </c>
      <c r="I255" s="190">
        <v>0.87</v>
      </c>
      <c r="J255" s="187">
        <v>1.37</v>
      </c>
      <c r="K255" s="187">
        <v>5.86</v>
      </c>
      <c r="L255" s="186">
        <v>14.8</v>
      </c>
      <c r="M255" s="185">
        <v>455</v>
      </c>
      <c r="N255" s="186">
        <v>97.6</v>
      </c>
      <c r="O255" s="186">
        <v>85.9</v>
      </c>
      <c r="P255" s="187">
        <v>4.49</v>
      </c>
      <c r="Q255" s="185">
        <v>154</v>
      </c>
      <c r="R255" s="186">
        <v>45.9</v>
      </c>
      <c r="S255" s="186">
        <v>30.1</v>
      </c>
      <c r="T255" s="187">
        <v>2.6</v>
      </c>
      <c r="U255" s="187">
        <v>5.1100000000000003</v>
      </c>
      <c r="V255" s="185">
        <v>3630</v>
      </c>
      <c r="W255" s="185">
        <v>2.95</v>
      </c>
      <c r="X255" s="185">
        <v>9.73</v>
      </c>
      <c r="AA255" s="39" t="str">
        <f t="shared" si="3"/>
        <v>W</v>
      </c>
    </row>
    <row r="256" spans="1:27" x14ac:dyDescent="0.2">
      <c r="A256" s="185" t="s">
        <v>2</v>
      </c>
      <c r="B256" s="185" t="s">
        <v>254</v>
      </c>
      <c r="C256" s="14" t="s">
        <v>618</v>
      </c>
      <c r="D256" s="186">
        <v>68</v>
      </c>
      <c r="E256" s="186">
        <v>19.899999999999999</v>
      </c>
      <c r="F256" s="186">
        <v>10.4</v>
      </c>
      <c r="G256" s="186">
        <v>10.1</v>
      </c>
      <c r="H256" s="190">
        <v>0.47</v>
      </c>
      <c r="I256" s="190">
        <v>0.77</v>
      </c>
      <c r="J256" s="187">
        <v>1.27</v>
      </c>
      <c r="K256" s="187">
        <v>6.58</v>
      </c>
      <c r="L256" s="186">
        <v>16.7</v>
      </c>
      <c r="M256" s="185">
        <v>394</v>
      </c>
      <c r="N256" s="186">
        <v>85.3</v>
      </c>
      <c r="O256" s="186">
        <v>75.7</v>
      </c>
      <c r="P256" s="187">
        <v>4.4400000000000004</v>
      </c>
      <c r="Q256" s="185">
        <v>134</v>
      </c>
      <c r="R256" s="186">
        <v>40.1</v>
      </c>
      <c r="S256" s="186">
        <v>26.4</v>
      </c>
      <c r="T256" s="187">
        <v>2.59</v>
      </c>
      <c r="U256" s="187">
        <v>3.56</v>
      </c>
      <c r="V256" s="185">
        <v>3100</v>
      </c>
      <c r="W256" s="185">
        <v>2.92</v>
      </c>
      <c r="X256" s="185">
        <v>9.6300000000000008</v>
      </c>
      <c r="AA256" s="39" t="str">
        <f t="shared" si="3"/>
        <v>W</v>
      </c>
    </row>
    <row r="257" spans="1:27" x14ac:dyDescent="0.2">
      <c r="A257" s="185" t="s">
        <v>2</v>
      </c>
      <c r="B257" s="185" t="s">
        <v>255</v>
      </c>
      <c r="C257" s="14" t="s">
        <v>618</v>
      </c>
      <c r="D257" s="186">
        <v>60</v>
      </c>
      <c r="E257" s="186">
        <v>17.7</v>
      </c>
      <c r="F257" s="186">
        <v>10.199999999999999</v>
      </c>
      <c r="G257" s="186">
        <v>10.1</v>
      </c>
      <c r="H257" s="190">
        <v>0.42</v>
      </c>
      <c r="I257" s="190">
        <v>0.68</v>
      </c>
      <c r="J257" s="187">
        <v>1.18</v>
      </c>
      <c r="K257" s="187">
        <v>7.41</v>
      </c>
      <c r="L257" s="186">
        <v>18.7</v>
      </c>
      <c r="M257" s="185">
        <v>341</v>
      </c>
      <c r="N257" s="186">
        <v>74.599999999999994</v>
      </c>
      <c r="O257" s="186">
        <v>66.7</v>
      </c>
      <c r="P257" s="187">
        <v>4.3899999999999997</v>
      </c>
      <c r="Q257" s="185">
        <v>116</v>
      </c>
      <c r="R257" s="186">
        <v>35</v>
      </c>
      <c r="S257" s="186">
        <v>23</v>
      </c>
      <c r="T257" s="187">
        <v>2.57</v>
      </c>
      <c r="U257" s="187">
        <v>2.48</v>
      </c>
      <c r="V257" s="185">
        <v>2640</v>
      </c>
      <c r="W257" s="185">
        <v>2.88</v>
      </c>
      <c r="X257" s="185">
        <v>9.52</v>
      </c>
      <c r="AA257" s="39" t="str">
        <f t="shared" si="3"/>
        <v>W</v>
      </c>
    </row>
    <row r="258" spans="1:27" x14ac:dyDescent="0.2">
      <c r="A258" s="185" t="s">
        <v>2</v>
      </c>
      <c r="B258" s="185" t="s">
        <v>256</v>
      </c>
      <c r="C258" s="14" t="s">
        <v>618</v>
      </c>
      <c r="D258" s="186">
        <v>54</v>
      </c>
      <c r="E258" s="186">
        <v>15.8</v>
      </c>
      <c r="F258" s="186">
        <v>10.1</v>
      </c>
      <c r="G258" s="186">
        <v>10</v>
      </c>
      <c r="H258" s="190">
        <v>0.37</v>
      </c>
      <c r="I258" s="190">
        <v>0.61499999999999999</v>
      </c>
      <c r="J258" s="187">
        <v>1.1200000000000001</v>
      </c>
      <c r="K258" s="187">
        <v>8.15</v>
      </c>
      <c r="L258" s="186">
        <v>21.2</v>
      </c>
      <c r="M258" s="185">
        <v>303</v>
      </c>
      <c r="N258" s="186">
        <v>66.599999999999994</v>
      </c>
      <c r="O258" s="186">
        <v>60</v>
      </c>
      <c r="P258" s="187">
        <v>4.37</v>
      </c>
      <c r="Q258" s="185">
        <v>103</v>
      </c>
      <c r="R258" s="186">
        <v>31.3</v>
      </c>
      <c r="S258" s="186">
        <v>20.6</v>
      </c>
      <c r="T258" s="187">
        <v>2.56</v>
      </c>
      <c r="U258" s="187">
        <v>1.82</v>
      </c>
      <c r="V258" s="185">
        <v>2320</v>
      </c>
      <c r="W258" s="185">
        <v>2.85</v>
      </c>
      <c r="X258" s="185">
        <v>9.49</v>
      </c>
      <c r="AA258" s="39" t="str">
        <f t="shared" si="3"/>
        <v>W</v>
      </c>
    </row>
    <row r="259" spans="1:27" x14ac:dyDescent="0.2">
      <c r="A259" s="185" t="s">
        <v>2</v>
      </c>
      <c r="B259" s="185" t="s">
        <v>257</v>
      </c>
      <c r="C259" s="14" t="s">
        <v>618</v>
      </c>
      <c r="D259" s="186">
        <v>49</v>
      </c>
      <c r="E259" s="186">
        <v>14.4</v>
      </c>
      <c r="F259" s="186">
        <v>10</v>
      </c>
      <c r="G259" s="186">
        <v>10</v>
      </c>
      <c r="H259" s="190">
        <v>0.34</v>
      </c>
      <c r="I259" s="190">
        <v>0.56000000000000005</v>
      </c>
      <c r="J259" s="187">
        <v>1.06</v>
      </c>
      <c r="K259" s="187">
        <v>8.93</v>
      </c>
      <c r="L259" s="186">
        <v>23.1</v>
      </c>
      <c r="M259" s="185">
        <v>272</v>
      </c>
      <c r="N259" s="186">
        <v>60.4</v>
      </c>
      <c r="O259" s="186">
        <v>54.6</v>
      </c>
      <c r="P259" s="187">
        <v>4.3499999999999996</v>
      </c>
      <c r="Q259" s="186">
        <v>93.4</v>
      </c>
      <c r="R259" s="186">
        <v>28.3</v>
      </c>
      <c r="S259" s="186">
        <v>18.7</v>
      </c>
      <c r="T259" s="187">
        <v>2.54</v>
      </c>
      <c r="U259" s="187">
        <v>1.39</v>
      </c>
      <c r="V259" s="185">
        <v>2070</v>
      </c>
      <c r="W259" s="185">
        <v>2.84</v>
      </c>
      <c r="X259" s="185">
        <v>9.44</v>
      </c>
      <c r="AA259" s="39" t="str">
        <f t="shared" si="3"/>
        <v>W</v>
      </c>
    </row>
    <row r="260" spans="1:27" x14ac:dyDescent="0.2">
      <c r="A260" s="185" t="s">
        <v>2</v>
      </c>
      <c r="B260" s="185" t="s">
        <v>258</v>
      </c>
      <c r="C260" s="14" t="s">
        <v>618</v>
      </c>
      <c r="D260" s="186">
        <v>45</v>
      </c>
      <c r="E260" s="186">
        <v>13.3</v>
      </c>
      <c r="F260" s="186">
        <v>10.1</v>
      </c>
      <c r="G260" s="187">
        <v>8.02</v>
      </c>
      <c r="H260" s="190">
        <v>0.35</v>
      </c>
      <c r="I260" s="190">
        <v>0.62</v>
      </c>
      <c r="J260" s="187">
        <v>1.1200000000000001</v>
      </c>
      <c r="K260" s="187">
        <v>6.47</v>
      </c>
      <c r="L260" s="186">
        <v>22.5</v>
      </c>
      <c r="M260" s="185">
        <v>248</v>
      </c>
      <c r="N260" s="186">
        <v>54.9</v>
      </c>
      <c r="O260" s="186">
        <v>49.1</v>
      </c>
      <c r="P260" s="187">
        <v>4.32</v>
      </c>
      <c r="Q260" s="186">
        <v>53.4</v>
      </c>
      <c r="R260" s="186">
        <v>20.3</v>
      </c>
      <c r="S260" s="186">
        <v>13.3</v>
      </c>
      <c r="T260" s="187">
        <v>2.0099999999999998</v>
      </c>
      <c r="U260" s="187">
        <v>1.51</v>
      </c>
      <c r="V260" s="185">
        <v>1200</v>
      </c>
      <c r="W260" s="185">
        <v>2.27</v>
      </c>
      <c r="X260" s="185">
        <v>9.48</v>
      </c>
      <c r="AA260" s="39" t="str">
        <f t="shared" ref="AA260:AA323" si="4">A260</f>
        <v>W</v>
      </c>
    </row>
    <row r="261" spans="1:27" x14ac:dyDescent="0.2">
      <c r="A261" s="185" t="s">
        <v>2</v>
      </c>
      <c r="B261" s="185" t="s">
        <v>259</v>
      </c>
      <c r="C261" s="14" t="s">
        <v>618</v>
      </c>
      <c r="D261" s="186">
        <v>39</v>
      </c>
      <c r="E261" s="186">
        <v>11.5</v>
      </c>
      <c r="F261" s="187">
        <v>9.92</v>
      </c>
      <c r="G261" s="187">
        <v>7.99</v>
      </c>
      <c r="H261" s="190">
        <v>0.315</v>
      </c>
      <c r="I261" s="190">
        <v>0.53</v>
      </c>
      <c r="J261" s="187">
        <v>1.03</v>
      </c>
      <c r="K261" s="187">
        <v>7.53</v>
      </c>
      <c r="L261" s="186">
        <v>25</v>
      </c>
      <c r="M261" s="185">
        <v>209</v>
      </c>
      <c r="N261" s="186">
        <v>46.8</v>
      </c>
      <c r="O261" s="186">
        <v>42.1</v>
      </c>
      <c r="P261" s="187">
        <v>4.2699999999999996</v>
      </c>
      <c r="Q261" s="186">
        <v>45</v>
      </c>
      <c r="R261" s="186">
        <v>17.2</v>
      </c>
      <c r="S261" s="186">
        <v>11.3</v>
      </c>
      <c r="T261" s="187">
        <v>1.98</v>
      </c>
      <c r="U261" s="190">
        <v>0.97599999999999998</v>
      </c>
      <c r="V261" s="185">
        <v>992</v>
      </c>
      <c r="W261" s="185">
        <v>2.2400000000000002</v>
      </c>
      <c r="X261" s="185">
        <v>9.39</v>
      </c>
      <c r="AA261" s="39" t="str">
        <f t="shared" si="4"/>
        <v>W</v>
      </c>
    </row>
    <row r="262" spans="1:27" x14ac:dyDescent="0.2">
      <c r="A262" s="185" t="s">
        <v>2</v>
      </c>
      <c r="B262" s="185" t="s">
        <v>260</v>
      </c>
      <c r="C262" s="14" t="s">
        <v>618</v>
      </c>
      <c r="D262" s="186">
        <v>33</v>
      </c>
      <c r="E262" s="187">
        <v>9.7100000000000009</v>
      </c>
      <c r="F262" s="187">
        <v>9.73</v>
      </c>
      <c r="G262" s="187">
        <v>7.96</v>
      </c>
      <c r="H262" s="190">
        <v>0.28999999999999998</v>
      </c>
      <c r="I262" s="190">
        <v>0.435</v>
      </c>
      <c r="J262" s="190">
        <v>0.93500000000000005</v>
      </c>
      <c r="K262" s="187">
        <v>9.15</v>
      </c>
      <c r="L262" s="186">
        <v>27.1</v>
      </c>
      <c r="M262" s="185">
        <v>171</v>
      </c>
      <c r="N262" s="186">
        <v>38.799999999999997</v>
      </c>
      <c r="O262" s="186">
        <v>35</v>
      </c>
      <c r="P262" s="187">
        <v>4.1900000000000004</v>
      </c>
      <c r="Q262" s="186">
        <v>36.6</v>
      </c>
      <c r="R262" s="186">
        <v>14</v>
      </c>
      <c r="S262" s="187">
        <v>9.1999999999999993</v>
      </c>
      <c r="T262" s="187">
        <v>1.94</v>
      </c>
      <c r="U262" s="190">
        <v>0.58299999999999996</v>
      </c>
      <c r="V262" s="185">
        <v>791</v>
      </c>
      <c r="W262" s="187">
        <v>2.2000000000000002</v>
      </c>
      <c r="X262" s="187">
        <v>9.3000000000000007</v>
      </c>
      <c r="AA262" s="39" t="str">
        <f t="shared" si="4"/>
        <v>W</v>
      </c>
    </row>
    <row r="263" spans="1:27" x14ac:dyDescent="0.2">
      <c r="A263" s="185" t="s">
        <v>2</v>
      </c>
      <c r="B263" s="185" t="s">
        <v>261</v>
      </c>
      <c r="C263" s="14" t="s">
        <v>618</v>
      </c>
      <c r="D263" s="186">
        <v>30</v>
      </c>
      <c r="E263" s="187">
        <v>8.84</v>
      </c>
      <c r="F263" s="186">
        <v>10.5</v>
      </c>
      <c r="G263" s="187">
        <v>5.81</v>
      </c>
      <c r="H263" s="190">
        <v>0.3</v>
      </c>
      <c r="I263" s="190">
        <v>0.51</v>
      </c>
      <c r="J263" s="190">
        <v>0.81</v>
      </c>
      <c r="K263" s="187">
        <v>5.7</v>
      </c>
      <c r="L263" s="186">
        <v>29.5</v>
      </c>
      <c r="M263" s="185">
        <v>170</v>
      </c>
      <c r="N263" s="186">
        <v>36.6</v>
      </c>
      <c r="O263" s="186">
        <v>32.4</v>
      </c>
      <c r="P263" s="187">
        <v>4.38</v>
      </c>
      <c r="Q263" s="186">
        <v>16.7</v>
      </c>
      <c r="R263" s="187">
        <v>8.84</v>
      </c>
      <c r="S263" s="187">
        <v>5.75</v>
      </c>
      <c r="T263" s="187">
        <v>1.37</v>
      </c>
      <c r="U263" s="190">
        <v>0.622</v>
      </c>
      <c r="V263" s="185">
        <v>414</v>
      </c>
      <c r="W263" s="187">
        <v>1.6</v>
      </c>
      <c r="X263" s="185">
        <v>9.99</v>
      </c>
      <c r="AA263" s="39" t="str">
        <f t="shared" si="4"/>
        <v>W</v>
      </c>
    </row>
    <row r="264" spans="1:27" x14ac:dyDescent="0.2">
      <c r="A264" s="185" t="s">
        <v>2</v>
      </c>
      <c r="B264" s="185" t="s">
        <v>262</v>
      </c>
      <c r="C264" s="14" t="s">
        <v>618</v>
      </c>
      <c r="D264" s="186">
        <v>26</v>
      </c>
      <c r="E264" s="187">
        <v>7.61</v>
      </c>
      <c r="F264" s="186">
        <v>10.3</v>
      </c>
      <c r="G264" s="187">
        <v>5.77</v>
      </c>
      <c r="H264" s="190">
        <v>0.26</v>
      </c>
      <c r="I264" s="190">
        <v>0.44</v>
      </c>
      <c r="J264" s="190">
        <v>0.74</v>
      </c>
      <c r="K264" s="187">
        <v>6.56</v>
      </c>
      <c r="L264" s="186">
        <v>34</v>
      </c>
      <c r="M264" s="185">
        <v>144</v>
      </c>
      <c r="N264" s="186">
        <v>31.3</v>
      </c>
      <c r="O264" s="186">
        <v>27.9</v>
      </c>
      <c r="P264" s="187">
        <v>4.3499999999999996</v>
      </c>
      <c r="Q264" s="186">
        <v>14.1</v>
      </c>
      <c r="R264" s="187">
        <v>7.5</v>
      </c>
      <c r="S264" s="187">
        <v>4.8899999999999997</v>
      </c>
      <c r="T264" s="187">
        <v>1.36</v>
      </c>
      <c r="U264" s="190">
        <v>0.40200000000000002</v>
      </c>
      <c r="V264" s="185">
        <v>345</v>
      </c>
      <c r="W264" s="185">
        <v>1.58</v>
      </c>
      <c r="X264" s="185">
        <v>9.86</v>
      </c>
      <c r="AA264" s="39" t="str">
        <f t="shared" si="4"/>
        <v>W</v>
      </c>
    </row>
    <row r="265" spans="1:27" x14ac:dyDescent="0.2">
      <c r="A265" s="185" t="s">
        <v>2</v>
      </c>
      <c r="B265" s="185" t="s">
        <v>263</v>
      </c>
      <c r="C265" s="14" t="s">
        <v>618</v>
      </c>
      <c r="D265" s="186">
        <v>22</v>
      </c>
      <c r="E265" s="187">
        <v>6.49</v>
      </c>
      <c r="F265" s="186">
        <v>10.199999999999999</v>
      </c>
      <c r="G265" s="187">
        <v>5.75</v>
      </c>
      <c r="H265" s="190">
        <v>0.24</v>
      </c>
      <c r="I265" s="190">
        <v>0.36</v>
      </c>
      <c r="J265" s="190">
        <v>0.66</v>
      </c>
      <c r="K265" s="187">
        <v>7.99</v>
      </c>
      <c r="L265" s="186">
        <v>36.9</v>
      </c>
      <c r="M265" s="185">
        <v>118</v>
      </c>
      <c r="N265" s="186">
        <v>26</v>
      </c>
      <c r="O265" s="186">
        <v>23.2</v>
      </c>
      <c r="P265" s="187">
        <v>4.2699999999999996</v>
      </c>
      <c r="Q265" s="186">
        <v>11.4</v>
      </c>
      <c r="R265" s="187">
        <v>6.1</v>
      </c>
      <c r="S265" s="187">
        <v>3.97</v>
      </c>
      <c r="T265" s="187">
        <v>1.33</v>
      </c>
      <c r="U265" s="190">
        <v>0.23899999999999999</v>
      </c>
      <c r="V265" s="185">
        <v>275</v>
      </c>
      <c r="W265" s="185">
        <v>1.55</v>
      </c>
      <c r="X265" s="185">
        <v>9.84</v>
      </c>
      <c r="AA265" s="39" t="str">
        <f t="shared" si="4"/>
        <v>W</v>
      </c>
    </row>
    <row r="266" spans="1:27" x14ac:dyDescent="0.2">
      <c r="A266" s="185" t="s">
        <v>2</v>
      </c>
      <c r="B266" s="185" t="s">
        <v>264</v>
      </c>
      <c r="C266" s="14" t="s">
        <v>618</v>
      </c>
      <c r="D266" s="186">
        <v>19</v>
      </c>
      <c r="E266" s="187">
        <v>5.62</v>
      </c>
      <c r="F266" s="186">
        <v>10.199999999999999</v>
      </c>
      <c r="G266" s="187">
        <v>4.0199999999999996</v>
      </c>
      <c r="H266" s="190">
        <v>0.25</v>
      </c>
      <c r="I266" s="190">
        <v>0.39500000000000002</v>
      </c>
      <c r="J266" s="190">
        <v>0.69499999999999995</v>
      </c>
      <c r="K266" s="187">
        <v>5.09</v>
      </c>
      <c r="L266" s="186">
        <v>35.4</v>
      </c>
      <c r="M266" s="186">
        <v>96.3</v>
      </c>
      <c r="N266" s="186">
        <v>21.6</v>
      </c>
      <c r="O266" s="186">
        <v>18.8</v>
      </c>
      <c r="P266" s="187">
        <v>4.1399999999999997</v>
      </c>
      <c r="Q266" s="187">
        <v>4.29</v>
      </c>
      <c r="R266" s="187">
        <v>3.35</v>
      </c>
      <c r="S266" s="187">
        <v>2.14</v>
      </c>
      <c r="T266" s="190">
        <v>0.874</v>
      </c>
      <c r="U266" s="190">
        <v>0.23300000000000001</v>
      </c>
      <c r="V266" s="185">
        <v>104</v>
      </c>
      <c r="W266" s="185">
        <v>1.06</v>
      </c>
      <c r="X266" s="185">
        <v>9.81</v>
      </c>
      <c r="AA266" s="39" t="str">
        <f t="shared" si="4"/>
        <v>W</v>
      </c>
    </row>
    <row r="267" spans="1:27" x14ac:dyDescent="0.2">
      <c r="A267" s="185" t="s">
        <v>2</v>
      </c>
      <c r="B267" s="185" t="s">
        <v>265</v>
      </c>
      <c r="C267" s="14" t="s">
        <v>618</v>
      </c>
      <c r="D267" s="186">
        <v>17</v>
      </c>
      <c r="E267" s="187">
        <v>4.99</v>
      </c>
      <c r="F267" s="186">
        <v>10.1</v>
      </c>
      <c r="G267" s="187">
        <v>4.01</v>
      </c>
      <c r="H267" s="190">
        <v>0.24</v>
      </c>
      <c r="I267" s="190">
        <v>0.33</v>
      </c>
      <c r="J267" s="190">
        <v>0.63</v>
      </c>
      <c r="K267" s="187">
        <v>6.08</v>
      </c>
      <c r="L267" s="186">
        <v>36.9</v>
      </c>
      <c r="M267" s="186">
        <v>81.900000000000006</v>
      </c>
      <c r="N267" s="186">
        <v>18.7</v>
      </c>
      <c r="O267" s="186">
        <v>16.2</v>
      </c>
      <c r="P267" s="187">
        <v>4.05</v>
      </c>
      <c r="Q267" s="187">
        <v>3.56</v>
      </c>
      <c r="R267" s="187">
        <v>2.8</v>
      </c>
      <c r="S267" s="187">
        <v>1.78</v>
      </c>
      <c r="T267" s="190">
        <v>0.84499999999999997</v>
      </c>
      <c r="U267" s="190">
        <v>0.156</v>
      </c>
      <c r="V267" s="186">
        <v>85.1</v>
      </c>
      <c r="W267" s="185">
        <v>1.04</v>
      </c>
      <c r="X267" s="185">
        <v>9.77</v>
      </c>
      <c r="AA267" s="39" t="str">
        <f t="shared" si="4"/>
        <v>W</v>
      </c>
    </row>
    <row r="268" spans="1:27" x14ac:dyDescent="0.2">
      <c r="A268" s="185" t="s">
        <v>2</v>
      </c>
      <c r="B268" s="185" t="s">
        <v>266</v>
      </c>
      <c r="C268" s="14" t="s">
        <v>618</v>
      </c>
      <c r="D268" s="186">
        <v>15</v>
      </c>
      <c r="E268" s="187">
        <v>4.41</v>
      </c>
      <c r="F268" s="187">
        <v>9.99</v>
      </c>
      <c r="G268" s="187">
        <v>4</v>
      </c>
      <c r="H268" s="190">
        <v>0.23</v>
      </c>
      <c r="I268" s="190">
        <v>0.27</v>
      </c>
      <c r="J268" s="190">
        <v>0.56999999999999995</v>
      </c>
      <c r="K268" s="187">
        <v>7.41</v>
      </c>
      <c r="L268" s="186">
        <v>38.5</v>
      </c>
      <c r="M268" s="186">
        <v>68.900000000000006</v>
      </c>
      <c r="N268" s="186">
        <v>16</v>
      </c>
      <c r="O268" s="186">
        <v>13.8</v>
      </c>
      <c r="P268" s="187">
        <v>3.95</v>
      </c>
      <c r="Q268" s="187">
        <v>2.89</v>
      </c>
      <c r="R268" s="187">
        <v>2.2999999999999998</v>
      </c>
      <c r="S268" s="187">
        <v>1.45</v>
      </c>
      <c r="T268" s="190">
        <v>0.81</v>
      </c>
      <c r="U268" s="190">
        <v>0.104</v>
      </c>
      <c r="V268" s="186">
        <v>68.3</v>
      </c>
      <c r="W268" s="185">
        <v>1.01</v>
      </c>
      <c r="X268" s="185">
        <v>9.7200000000000006</v>
      </c>
      <c r="AA268" s="39" t="str">
        <f t="shared" si="4"/>
        <v>W</v>
      </c>
    </row>
    <row r="269" spans="1:27" x14ac:dyDescent="0.2">
      <c r="A269" s="185" t="s">
        <v>2</v>
      </c>
      <c r="B269" s="185" t="s">
        <v>267</v>
      </c>
      <c r="C269" s="14" t="s">
        <v>618</v>
      </c>
      <c r="D269" s="186">
        <v>12</v>
      </c>
      <c r="E269" s="187">
        <v>3.54</v>
      </c>
      <c r="F269" s="187">
        <v>9.8699999999999992</v>
      </c>
      <c r="G269" s="187">
        <v>3.96</v>
      </c>
      <c r="H269" s="190">
        <v>0.19</v>
      </c>
      <c r="I269" s="190">
        <v>0.21</v>
      </c>
      <c r="J269" s="190">
        <v>0.51</v>
      </c>
      <c r="K269" s="187">
        <v>9.43</v>
      </c>
      <c r="L269" s="186">
        <v>46.6</v>
      </c>
      <c r="M269" s="186">
        <v>53.8</v>
      </c>
      <c r="N269" s="186">
        <v>12.6</v>
      </c>
      <c r="O269" s="186">
        <v>10.9</v>
      </c>
      <c r="P269" s="187">
        <v>3.9</v>
      </c>
      <c r="Q269" s="187">
        <v>2.1800000000000002</v>
      </c>
      <c r="R269" s="187">
        <v>1.74</v>
      </c>
      <c r="S269" s="187">
        <v>1.1000000000000001</v>
      </c>
      <c r="T269" s="190">
        <v>0.78500000000000003</v>
      </c>
      <c r="U269" s="193">
        <v>5.4699999999999999E-2</v>
      </c>
      <c r="V269" s="186">
        <v>50.9</v>
      </c>
      <c r="W269" s="185">
        <v>0.98299999999999998</v>
      </c>
      <c r="X269" s="185">
        <v>9.66</v>
      </c>
      <c r="AA269" s="39" t="str">
        <f t="shared" si="4"/>
        <v>W</v>
      </c>
    </row>
    <row r="270" spans="1:27" x14ac:dyDescent="0.2">
      <c r="A270" s="185" t="s">
        <v>2</v>
      </c>
      <c r="B270" s="185" t="s">
        <v>268</v>
      </c>
      <c r="C270" s="14" t="s">
        <v>618</v>
      </c>
      <c r="D270" s="186">
        <v>67</v>
      </c>
      <c r="E270" s="186">
        <v>19.7</v>
      </c>
      <c r="F270" s="187">
        <v>9</v>
      </c>
      <c r="G270" s="187">
        <v>8.2799999999999994</v>
      </c>
      <c r="H270" s="190">
        <v>0.56999999999999995</v>
      </c>
      <c r="I270" s="190">
        <v>0.93500000000000005</v>
      </c>
      <c r="J270" s="187">
        <v>1.33</v>
      </c>
      <c r="K270" s="187">
        <v>4.43</v>
      </c>
      <c r="L270" s="186">
        <v>11.1</v>
      </c>
      <c r="M270" s="185">
        <v>272</v>
      </c>
      <c r="N270" s="186">
        <v>70.099999999999994</v>
      </c>
      <c r="O270" s="186">
        <v>60.4</v>
      </c>
      <c r="P270" s="187">
        <v>3.72</v>
      </c>
      <c r="Q270" s="186">
        <v>88.6</v>
      </c>
      <c r="R270" s="186">
        <v>32.700000000000003</v>
      </c>
      <c r="S270" s="186">
        <v>21.4</v>
      </c>
      <c r="T270" s="187">
        <v>2.12</v>
      </c>
      <c r="U270" s="187">
        <v>5.05</v>
      </c>
      <c r="V270" s="185">
        <v>1440</v>
      </c>
      <c r="W270" s="185">
        <v>2.4300000000000002</v>
      </c>
      <c r="X270" s="185">
        <v>8.07</v>
      </c>
      <c r="AA270" s="39" t="str">
        <f t="shared" si="4"/>
        <v>W</v>
      </c>
    </row>
    <row r="271" spans="1:27" x14ac:dyDescent="0.2">
      <c r="A271" s="185" t="s">
        <v>2</v>
      </c>
      <c r="B271" s="185" t="s">
        <v>269</v>
      </c>
      <c r="C271" s="14" t="s">
        <v>618</v>
      </c>
      <c r="D271" s="186">
        <v>58</v>
      </c>
      <c r="E271" s="186">
        <v>17.100000000000001</v>
      </c>
      <c r="F271" s="187">
        <v>8.75</v>
      </c>
      <c r="G271" s="187">
        <v>8.2200000000000006</v>
      </c>
      <c r="H271" s="190">
        <v>0.51</v>
      </c>
      <c r="I271" s="190">
        <v>0.81</v>
      </c>
      <c r="J271" s="187">
        <v>1.2</v>
      </c>
      <c r="K271" s="187">
        <v>5.07</v>
      </c>
      <c r="L271" s="186">
        <v>12.4</v>
      </c>
      <c r="M271" s="185">
        <v>228</v>
      </c>
      <c r="N271" s="186">
        <v>59.8</v>
      </c>
      <c r="O271" s="186">
        <v>52</v>
      </c>
      <c r="P271" s="187">
        <v>3.65</v>
      </c>
      <c r="Q271" s="186">
        <v>75.099999999999994</v>
      </c>
      <c r="R271" s="186">
        <v>27.9</v>
      </c>
      <c r="S271" s="186">
        <v>18.3</v>
      </c>
      <c r="T271" s="187">
        <v>2.1</v>
      </c>
      <c r="U271" s="187">
        <v>3.33</v>
      </c>
      <c r="V271" s="185">
        <v>1180</v>
      </c>
      <c r="W271" s="185">
        <v>2.39</v>
      </c>
      <c r="X271" s="185">
        <v>7.94</v>
      </c>
      <c r="AA271" s="39" t="str">
        <f t="shared" si="4"/>
        <v>W</v>
      </c>
    </row>
    <row r="272" spans="1:27" x14ac:dyDescent="0.2">
      <c r="A272" s="185" t="s">
        <v>2</v>
      </c>
      <c r="B272" s="185" t="s">
        <v>270</v>
      </c>
      <c r="C272" s="14" t="s">
        <v>618</v>
      </c>
      <c r="D272" s="186">
        <v>48</v>
      </c>
      <c r="E272" s="186">
        <v>14.1</v>
      </c>
      <c r="F272" s="187">
        <v>8.5</v>
      </c>
      <c r="G272" s="187">
        <v>8.11</v>
      </c>
      <c r="H272" s="190">
        <v>0.4</v>
      </c>
      <c r="I272" s="190">
        <v>0.68500000000000005</v>
      </c>
      <c r="J272" s="187">
        <v>1.08</v>
      </c>
      <c r="K272" s="187">
        <v>5.92</v>
      </c>
      <c r="L272" s="186">
        <v>15.9</v>
      </c>
      <c r="M272" s="185">
        <v>184</v>
      </c>
      <c r="N272" s="186">
        <v>49</v>
      </c>
      <c r="O272" s="186">
        <v>43.2</v>
      </c>
      <c r="P272" s="187">
        <v>3.61</v>
      </c>
      <c r="Q272" s="186">
        <v>60.9</v>
      </c>
      <c r="R272" s="186">
        <v>22.9</v>
      </c>
      <c r="S272" s="186">
        <v>15</v>
      </c>
      <c r="T272" s="187">
        <v>2.08</v>
      </c>
      <c r="U272" s="187">
        <v>1.96</v>
      </c>
      <c r="V272" s="185">
        <v>931</v>
      </c>
      <c r="W272" s="185">
        <v>2.35</v>
      </c>
      <c r="X272" s="185">
        <v>7.82</v>
      </c>
      <c r="AA272" s="39" t="str">
        <f t="shared" si="4"/>
        <v>W</v>
      </c>
    </row>
    <row r="273" spans="1:27" x14ac:dyDescent="0.2">
      <c r="A273" s="185" t="s">
        <v>2</v>
      </c>
      <c r="B273" s="185" t="s">
        <v>271</v>
      </c>
      <c r="C273" s="14" t="s">
        <v>618</v>
      </c>
      <c r="D273" s="186">
        <v>40</v>
      </c>
      <c r="E273" s="186">
        <v>11.7</v>
      </c>
      <c r="F273" s="187">
        <v>8.25</v>
      </c>
      <c r="G273" s="187">
        <v>8.07</v>
      </c>
      <c r="H273" s="190">
        <v>0.36</v>
      </c>
      <c r="I273" s="190">
        <v>0.56000000000000005</v>
      </c>
      <c r="J273" s="190">
        <v>0.95399999999999996</v>
      </c>
      <c r="K273" s="187">
        <v>7.21</v>
      </c>
      <c r="L273" s="186">
        <v>17.600000000000001</v>
      </c>
      <c r="M273" s="185">
        <v>146</v>
      </c>
      <c r="N273" s="186">
        <v>39.799999999999997</v>
      </c>
      <c r="O273" s="186">
        <v>35.5</v>
      </c>
      <c r="P273" s="187">
        <v>3.53</v>
      </c>
      <c r="Q273" s="186">
        <v>49.1</v>
      </c>
      <c r="R273" s="186">
        <v>18.5</v>
      </c>
      <c r="S273" s="186">
        <v>12.2</v>
      </c>
      <c r="T273" s="187">
        <v>2.04</v>
      </c>
      <c r="U273" s="187">
        <v>1.1200000000000001</v>
      </c>
      <c r="V273" s="185">
        <v>726</v>
      </c>
      <c r="W273" s="185">
        <v>2.31</v>
      </c>
      <c r="X273" s="185">
        <v>7.69</v>
      </c>
      <c r="AA273" s="39" t="str">
        <f t="shared" si="4"/>
        <v>W</v>
      </c>
    </row>
    <row r="274" spans="1:27" x14ac:dyDescent="0.2">
      <c r="A274" s="185" t="s">
        <v>2</v>
      </c>
      <c r="B274" s="185" t="s">
        <v>272</v>
      </c>
      <c r="C274" s="14" t="s">
        <v>618</v>
      </c>
      <c r="D274" s="186">
        <v>35</v>
      </c>
      <c r="E274" s="186">
        <v>10.3</v>
      </c>
      <c r="F274" s="187">
        <v>8.1199999999999992</v>
      </c>
      <c r="G274" s="187">
        <v>8.02</v>
      </c>
      <c r="H274" s="190">
        <v>0.31</v>
      </c>
      <c r="I274" s="190">
        <v>0.495</v>
      </c>
      <c r="J274" s="190">
        <v>0.88900000000000001</v>
      </c>
      <c r="K274" s="187">
        <v>8.1</v>
      </c>
      <c r="L274" s="186">
        <v>20.5</v>
      </c>
      <c r="M274" s="185">
        <v>127</v>
      </c>
      <c r="N274" s="186">
        <v>34.700000000000003</v>
      </c>
      <c r="O274" s="186">
        <v>31.2</v>
      </c>
      <c r="P274" s="187">
        <v>3.51</v>
      </c>
      <c r="Q274" s="186">
        <v>42.6</v>
      </c>
      <c r="R274" s="186">
        <v>16.100000000000001</v>
      </c>
      <c r="S274" s="186">
        <v>10.6</v>
      </c>
      <c r="T274" s="187">
        <v>2.0299999999999998</v>
      </c>
      <c r="U274" s="190">
        <v>0.76900000000000002</v>
      </c>
      <c r="V274" s="185">
        <v>619</v>
      </c>
      <c r="W274" s="185">
        <v>2.2799999999999998</v>
      </c>
      <c r="X274" s="185">
        <v>7.63</v>
      </c>
      <c r="AA274" s="39" t="str">
        <f t="shared" si="4"/>
        <v>W</v>
      </c>
    </row>
    <row r="275" spans="1:27" x14ac:dyDescent="0.2">
      <c r="A275" s="185" t="s">
        <v>2</v>
      </c>
      <c r="B275" s="185" t="s">
        <v>273</v>
      </c>
      <c r="C275" s="14" t="s">
        <v>618</v>
      </c>
      <c r="D275" s="186">
        <v>31</v>
      </c>
      <c r="E275" s="187">
        <v>9.1300000000000008</v>
      </c>
      <c r="F275" s="187">
        <v>8</v>
      </c>
      <c r="G275" s="187">
        <v>8</v>
      </c>
      <c r="H275" s="190">
        <v>0.28499999999999998</v>
      </c>
      <c r="I275" s="190">
        <v>0.435</v>
      </c>
      <c r="J275" s="190">
        <v>0.82899999999999996</v>
      </c>
      <c r="K275" s="187">
        <v>9.19</v>
      </c>
      <c r="L275" s="186">
        <v>22.3</v>
      </c>
      <c r="M275" s="185">
        <v>110</v>
      </c>
      <c r="N275" s="186">
        <v>30.4</v>
      </c>
      <c r="O275" s="186">
        <v>27.5</v>
      </c>
      <c r="P275" s="187">
        <v>3.47</v>
      </c>
      <c r="Q275" s="186">
        <v>37.1</v>
      </c>
      <c r="R275" s="186">
        <v>14.1</v>
      </c>
      <c r="S275" s="187">
        <v>9.27</v>
      </c>
      <c r="T275" s="187">
        <v>2.02</v>
      </c>
      <c r="U275" s="190">
        <v>0.53600000000000003</v>
      </c>
      <c r="V275" s="185">
        <v>530</v>
      </c>
      <c r="W275" s="185">
        <v>2.2599999999999998</v>
      </c>
      <c r="X275" s="185">
        <v>7.57</v>
      </c>
      <c r="AA275" s="39" t="str">
        <f t="shared" si="4"/>
        <v>W</v>
      </c>
    </row>
    <row r="276" spans="1:27" x14ac:dyDescent="0.2">
      <c r="A276" s="185" t="s">
        <v>2</v>
      </c>
      <c r="B276" s="185" t="s">
        <v>274</v>
      </c>
      <c r="C276" s="14" t="s">
        <v>618</v>
      </c>
      <c r="D276" s="186">
        <v>28</v>
      </c>
      <c r="E276" s="187">
        <v>8.25</v>
      </c>
      <c r="F276" s="187">
        <v>8.06</v>
      </c>
      <c r="G276" s="187">
        <v>6.54</v>
      </c>
      <c r="H276" s="190">
        <v>0.28499999999999998</v>
      </c>
      <c r="I276" s="190">
        <v>0.46500000000000002</v>
      </c>
      <c r="J276" s="190">
        <v>0.85899999999999999</v>
      </c>
      <c r="K276" s="187">
        <v>7.03</v>
      </c>
      <c r="L276" s="186">
        <v>22.3</v>
      </c>
      <c r="M276" s="186">
        <v>98</v>
      </c>
      <c r="N276" s="186">
        <v>27.2</v>
      </c>
      <c r="O276" s="186">
        <v>24.3</v>
      </c>
      <c r="P276" s="187">
        <v>3.45</v>
      </c>
      <c r="Q276" s="186">
        <v>21.7</v>
      </c>
      <c r="R276" s="186">
        <v>10.1</v>
      </c>
      <c r="S276" s="187">
        <v>6.63</v>
      </c>
      <c r="T276" s="187">
        <v>1.62</v>
      </c>
      <c r="U276" s="190">
        <v>0.53700000000000003</v>
      </c>
      <c r="V276" s="185">
        <v>312</v>
      </c>
      <c r="W276" s="185">
        <v>1.84</v>
      </c>
      <c r="X276" s="187">
        <v>7.6</v>
      </c>
      <c r="AA276" s="39" t="str">
        <f t="shared" si="4"/>
        <v>W</v>
      </c>
    </row>
    <row r="277" spans="1:27" x14ac:dyDescent="0.2">
      <c r="A277" s="185" t="s">
        <v>2</v>
      </c>
      <c r="B277" s="185" t="s">
        <v>275</v>
      </c>
      <c r="C277" s="14" t="s">
        <v>618</v>
      </c>
      <c r="D277" s="186">
        <v>24</v>
      </c>
      <c r="E277" s="187">
        <v>7.08</v>
      </c>
      <c r="F277" s="187">
        <v>7.93</v>
      </c>
      <c r="G277" s="187">
        <v>6.5</v>
      </c>
      <c r="H277" s="190">
        <v>0.245</v>
      </c>
      <c r="I277" s="190">
        <v>0.4</v>
      </c>
      <c r="J277" s="190">
        <v>0.79400000000000004</v>
      </c>
      <c r="K277" s="187">
        <v>8.1199999999999992</v>
      </c>
      <c r="L277" s="186">
        <v>25.9</v>
      </c>
      <c r="M277" s="186">
        <v>82.7</v>
      </c>
      <c r="N277" s="186">
        <v>23.1</v>
      </c>
      <c r="O277" s="186">
        <v>20.9</v>
      </c>
      <c r="P277" s="187">
        <v>3.42</v>
      </c>
      <c r="Q277" s="186">
        <v>18.3</v>
      </c>
      <c r="R277" s="187">
        <v>8.57</v>
      </c>
      <c r="S277" s="187">
        <v>5.63</v>
      </c>
      <c r="T277" s="187">
        <v>1.61</v>
      </c>
      <c r="U277" s="190">
        <v>0.34599999999999997</v>
      </c>
      <c r="V277" s="185">
        <v>259</v>
      </c>
      <c r="W277" s="185">
        <v>1.81</v>
      </c>
      <c r="X277" s="185">
        <v>7.53</v>
      </c>
      <c r="AA277" s="39" t="str">
        <f t="shared" si="4"/>
        <v>W</v>
      </c>
    </row>
    <row r="278" spans="1:27" x14ac:dyDescent="0.2">
      <c r="A278" s="185" t="s">
        <v>2</v>
      </c>
      <c r="B278" s="185" t="s">
        <v>276</v>
      </c>
      <c r="C278" s="14" t="s">
        <v>618</v>
      </c>
      <c r="D278" s="186">
        <v>21</v>
      </c>
      <c r="E278" s="187">
        <v>6.16</v>
      </c>
      <c r="F278" s="187">
        <v>8.2799999999999994</v>
      </c>
      <c r="G278" s="187">
        <v>5.27</v>
      </c>
      <c r="H278" s="190">
        <v>0.25</v>
      </c>
      <c r="I278" s="190">
        <v>0.4</v>
      </c>
      <c r="J278" s="190">
        <v>0.7</v>
      </c>
      <c r="K278" s="187">
        <v>6.59</v>
      </c>
      <c r="L278" s="186">
        <v>27.5</v>
      </c>
      <c r="M278" s="186">
        <v>75.3</v>
      </c>
      <c r="N278" s="186">
        <v>20.399999999999999</v>
      </c>
      <c r="O278" s="186">
        <v>18.2</v>
      </c>
      <c r="P278" s="187">
        <v>3.49</v>
      </c>
      <c r="Q278" s="187">
        <v>9.77</v>
      </c>
      <c r="R278" s="187">
        <v>5.69</v>
      </c>
      <c r="S278" s="187">
        <v>3.71</v>
      </c>
      <c r="T278" s="187">
        <v>1.26</v>
      </c>
      <c r="U278" s="190">
        <v>0.28199999999999997</v>
      </c>
      <c r="V278" s="185">
        <v>152</v>
      </c>
      <c r="W278" s="185">
        <v>1.46</v>
      </c>
      <c r="X278" s="185">
        <v>7.88</v>
      </c>
      <c r="AA278" s="39" t="str">
        <f t="shared" si="4"/>
        <v>W</v>
      </c>
    </row>
    <row r="279" spans="1:27" x14ac:dyDescent="0.2">
      <c r="A279" s="185" t="s">
        <v>2</v>
      </c>
      <c r="B279" s="185" t="s">
        <v>277</v>
      </c>
      <c r="C279" s="14" t="s">
        <v>618</v>
      </c>
      <c r="D279" s="186">
        <v>18</v>
      </c>
      <c r="E279" s="187">
        <v>5.26</v>
      </c>
      <c r="F279" s="187">
        <v>8.14</v>
      </c>
      <c r="G279" s="187">
        <v>5.25</v>
      </c>
      <c r="H279" s="190">
        <v>0.23</v>
      </c>
      <c r="I279" s="190">
        <v>0.33</v>
      </c>
      <c r="J279" s="190">
        <v>0.63</v>
      </c>
      <c r="K279" s="187">
        <v>7.95</v>
      </c>
      <c r="L279" s="186">
        <v>29.9</v>
      </c>
      <c r="M279" s="186">
        <v>61.9</v>
      </c>
      <c r="N279" s="186">
        <v>17</v>
      </c>
      <c r="O279" s="186">
        <v>15.2</v>
      </c>
      <c r="P279" s="187">
        <v>3.43</v>
      </c>
      <c r="Q279" s="187">
        <v>7.97</v>
      </c>
      <c r="R279" s="187">
        <v>4.66</v>
      </c>
      <c r="S279" s="187">
        <v>3.04</v>
      </c>
      <c r="T279" s="187">
        <v>1.23</v>
      </c>
      <c r="U279" s="190">
        <v>0.17199999999999999</v>
      </c>
      <c r="V279" s="185">
        <v>122</v>
      </c>
      <c r="W279" s="185">
        <v>1.43</v>
      </c>
      <c r="X279" s="185">
        <v>7.81</v>
      </c>
      <c r="AA279" s="39" t="str">
        <f t="shared" si="4"/>
        <v>W</v>
      </c>
    </row>
    <row r="280" spans="1:27" x14ac:dyDescent="0.2">
      <c r="A280" s="185" t="s">
        <v>2</v>
      </c>
      <c r="B280" s="185" t="s">
        <v>278</v>
      </c>
      <c r="C280" s="14" t="s">
        <v>618</v>
      </c>
      <c r="D280" s="186">
        <v>15</v>
      </c>
      <c r="E280" s="187">
        <v>4.4400000000000004</v>
      </c>
      <c r="F280" s="187">
        <v>8.11</v>
      </c>
      <c r="G280" s="187">
        <v>4.0199999999999996</v>
      </c>
      <c r="H280" s="190">
        <v>0.245</v>
      </c>
      <c r="I280" s="190">
        <v>0.315</v>
      </c>
      <c r="J280" s="190">
        <v>0.61499999999999999</v>
      </c>
      <c r="K280" s="187">
        <v>6.37</v>
      </c>
      <c r="L280" s="186">
        <v>28.1</v>
      </c>
      <c r="M280" s="186">
        <v>48</v>
      </c>
      <c r="N280" s="186">
        <v>13.6</v>
      </c>
      <c r="O280" s="186">
        <v>11.8</v>
      </c>
      <c r="P280" s="187">
        <v>3.29</v>
      </c>
      <c r="Q280" s="187">
        <v>3.41</v>
      </c>
      <c r="R280" s="187">
        <v>2.67</v>
      </c>
      <c r="S280" s="187">
        <v>1.7</v>
      </c>
      <c r="T280" s="190">
        <v>0.876</v>
      </c>
      <c r="U280" s="190">
        <v>0.13700000000000001</v>
      </c>
      <c r="V280" s="186">
        <v>51.8</v>
      </c>
      <c r="W280" s="185">
        <v>1.06</v>
      </c>
      <c r="X280" s="187">
        <v>7.8</v>
      </c>
      <c r="AA280" s="39" t="str">
        <f t="shared" si="4"/>
        <v>W</v>
      </c>
    </row>
    <row r="281" spans="1:27" x14ac:dyDescent="0.2">
      <c r="A281" s="185" t="s">
        <v>2</v>
      </c>
      <c r="B281" s="185" t="s">
        <v>279</v>
      </c>
      <c r="C281" s="14" t="s">
        <v>618</v>
      </c>
      <c r="D281" s="186">
        <v>13</v>
      </c>
      <c r="E281" s="187">
        <v>3.84</v>
      </c>
      <c r="F281" s="187">
        <v>7.99</v>
      </c>
      <c r="G281" s="187">
        <v>4</v>
      </c>
      <c r="H281" s="190">
        <v>0.23</v>
      </c>
      <c r="I281" s="190">
        <v>0.255</v>
      </c>
      <c r="J281" s="190">
        <v>0.55500000000000005</v>
      </c>
      <c r="K281" s="187">
        <v>7.84</v>
      </c>
      <c r="L281" s="186">
        <v>29.9</v>
      </c>
      <c r="M281" s="186">
        <v>39.6</v>
      </c>
      <c r="N281" s="186">
        <v>11.4</v>
      </c>
      <c r="O281" s="187">
        <v>9.91</v>
      </c>
      <c r="P281" s="187">
        <v>3.21</v>
      </c>
      <c r="Q281" s="187">
        <v>2.73</v>
      </c>
      <c r="R281" s="187">
        <v>2.15</v>
      </c>
      <c r="S281" s="187">
        <v>1.37</v>
      </c>
      <c r="T281" s="190">
        <v>0.84299999999999997</v>
      </c>
      <c r="U281" s="193">
        <v>8.7099999999999997E-2</v>
      </c>
      <c r="V281" s="186">
        <v>40.799999999999997</v>
      </c>
      <c r="W281" s="185">
        <v>1.03</v>
      </c>
      <c r="X281" s="185">
        <v>7.74</v>
      </c>
      <c r="AA281" s="39" t="str">
        <f t="shared" si="4"/>
        <v>W</v>
      </c>
    </row>
    <row r="282" spans="1:27" x14ac:dyDescent="0.2">
      <c r="A282" s="185" t="s">
        <v>2</v>
      </c>
      <c r="B282" s="185" t="s">
        <v>280</v>
      </c>
      <c r="C282" s="14" t="s">
        <v>618</v>
      </c>
      <c r="D282" s="186">
        <v>10</v>
      </c>
      <c r="E282" s="187">
        <v>2.96</v>
      </c>
      <c r="F282" s="187">
        <v>7.89</v>
      </c>
      <c r="G282" s="187">
        <v>3.94</v>
      </c>
      <c r="H282" s="190">
        <v>0.17</v>
      </c>
      <c r="I282" s="190">
        <v>0.20499999999999999</v>
      </c>
      <c r="J282" s="190">
        <v>0.505</v>
      </c>
      <c r="K282" s="187">
        <v>9.61</v>
      </c>
      <c r="L282" s="186">
        <v>40.5</v>
      </c>
      <c r="M282" s="186">
        <v>30.8</v>
      </c>
      <c r="N282" s="187">
        <v>8.8699999999999992</v>
      </c>
      <c r="O282" s="187">
        <v>7.81</v>
      </c>
      <c r="P282" s="187">
        <v>3.22</v>
      </c>
      <c r="Q282" s="187">
        <v>2.09</v>
      </c>
      <c r="R282" s="187">
        <v>1.66</v>
      </c>
      <c r="S282" s="187">
        <v>1.06</v>
      </c>
      <c r="T282" s="190">
        <v>0.84099999999999997</v>
      </c>
      <c r="U282" s="193">
        <v>4.2599999999999999E-2</v>
      </c>
      <c r="V282" s="186">
        <v>30.9</v>
      </c>
      <c r="W282" s="185">
        <v>1.01</v>
      </c>
      <c r="X282" s="185">
        <v>7.69</v>
      </c>
      <c r="AA282" s="39" t="str">
        <f t="shared" si="4"/>
        <v>W</v>
      </c>
    </row>
    <row r="283" spans="1:27" x14ac:dyDescent="0.2">
      <c r="A283" s="185" t="s">
        <v>2</v>
      </c>
      <c r="B283" s="185" t="s">
        <v>281</v>
      </c>
      <c r="C283" s="14" t="s">
        <v>618</v>
      </c>
      <c r="D283" s="186">
        <v>25</v>
      </c>
      <c r="E283" s="187">
        <v>7.34</v>
      </c>
      <c r="F283" s="187">
        <v>6.38</v>
      </c>
      <c r="G283" s="187">
        <v>6.08</v>
      </c>
      <c r="H283" s="190">
        <v>0.32</v>
      </c>
      <c r="I283" s="190">
        <v>0.45500000000000002</v>
      </c>
      <c r="J283" s="190">
        <v>0.70499999999999996</v>
      </c>
      <c r="K283" s="187">
        <v>6.68</v>
      </c>
      <c r="L283" s="186">
        <v>15.5</v>
      </c>
      <c r="M283" s="186">
        <v>53.4</v>
      </c>
      <c r="N283" s="186">
        <v>18.899999999999999</v>
      </c>
      <c r="O283" s="186">
        <v>16.7</v>
      </c>
      <c r="P283" s="187">
        <v>2.7</v>
      </c>
      <c r="Q283" s="186">
        <v>17.100000000000001</v>
      </c>
      <c r="R283" s="187">
        <v>8.56</v>
      </c>
      <c r="S283" s="187">
        <v>5.61</v>
      </c>
      <c r="T283" s="187">
        <v>1.52</v>
      </c>
      <c r="U283" s="190">
        <v>0.46100000000000002</v>
      </c>
      <c r="V283" s="185">
        <v>150</v>
      </c>
      <c r="W283" s="185">
        <v>1.74</v>
      </c>
      <c r="X283" s="185">
        <v>5.93</v>
      </c>
      <c r="AA283" s="39" t="str">
        <f t="shared" si="4"/>
        <v>W</v>
      </c>
    </row>
    <row r="284" spans="1:27" x14ac:dyDescent="0.2">
      <c r="A284" s="185" t="s">
        <v>2</v>
      </c>
      <c r="B284" s="185" t="s">
        <v>282</v>
      </c>
      <c r="C284" s="14" t="s">
        <v>618</v>
      </c>
      <c r="D284" s="186">
        <v>20</v>
      </c>
      <c r="E284" s="187">
        <v>5.87</v>
      </c>
      <c r="F284" s="187">
        <v>6.2</v>
      </c>
      <c r="G284" s="187">
        <v>6.02</v>
      </c>
      <c r="H284" s="190">
        <v>0.26</v>
      </c>
      <c r="I284" s="190">
        <v>0.36499999999999999</v>
      </c>
      <c r="J284" s="190">
        <v>0.61499999999999999</v>
      </c>
      <c r="K284" s="187">
        <v>8.25</v>
      </c>
      <c r="L284" s="186">
        <v>19.100000000000001</v>
      </c>
      <c r="M284" s="186">
        <v>41.4</v>
      </c>
      <c r="N284" s="186">
        <v>14.9</v>
      </c>
      <c r="O284" s="186">
        <v>13.4</v>
      </c>
      <c r="P284" s="187">
        <v>2.66</v>
      </c>
      <c r="Q284" s="186">
        <v>13.3</v>
      </c>
      <c r="R284" s="187">
        <v>6.72</v>
      </c>
      <c r="S284" s="187">
        <v>4.41</v>
      </c>
      <c r="T284" s="187">
        <v>1.5</v>
      </c>
      <c r="U284" s="190">
        <v>0.24</v>
      </c>
      <c r="V284" s="185">
        <v>113</v>
      </c>
      <c r="W284" s="187">
        <v>1.7</v>
      </c>
      <c r="X284" s="185">
        <v>5.84</v>
      </c>
      <c r="AA284" s="39" t="str">
        <f t="shared" si="4"/>
        <v>W</v>
      </c>
    </row>
    <row r="285" spans="1:27" x14ac:dyDescent="0.2">
      <c r="A285" s="185" t="s">
        <v>2</v>
      </c>
      <c r="B285" s="185" t="s">
        <v>283</v>
      </c>
      <c r="C285" s="14" t="s">
        <v>618</v>
      </c>
      <c r="D285" s="186">
        <v>15</v>
      </c>
      <c r="E285" s="187">
        <v>4.43</v>
      </c>
      <c r="F285" s="187">
        <v>5.99</v>
      </c>
      <c r="G285" s="187">
        <v>5.99</v>
      </c>
      <c r="H285" s="190">
        <v>0.23</v>
      </c>
      <c r="I285" s="190">
        <v>0.26</v>
      </c>
      <c r="J285" s="190">
        <v>0.51</v>
      </c>
      <c r="K285" s="186">
        <v>11.5</v>
      </c>
      <c r="L285" s="186">
        <v>21.6</v>
      </c>
      <c r="M285" s="186">
        <v>29.1</v>
      </c>
      <c r="N285" s="186">
        <v>10.8</v>
      </c>
      <c r="O285" s="187">
        <v>9.7200000000000006</v>
      </c>
      <c r="P285" s="187">
        <v>2.56</v>
      </c>
      <c r="Q285" s="187">
        <v>9.32</v>
      </c>
      <c r="R285" s="187">
        <v>4.75</v>
      </c>
      <c r="S285" s="187">
        <v>3.11</v>
      </c>
      <c r="T285" s="187">
        <v>1.45</v>
      </c>
      <c r="U285" s="190">
        <v>0.10100000000000001</v>
      </c>
      <c r="V285" s="186">
        <v>76.5</v>
      </c>
      <c r="W285" s="185">
        <v>1.66</v>
      </c>
      <c r="X285" s="185">
        <v>5.73</v>
      </c>
      <c r="AA285" s="39" t="str">
        <f t="shared" si="4"/>
        <v>W</v>
      </c>
    </row>
    <row r="286" spans="1:27" x14ac:dyDescent="0.2">
      <c r="A286" s="185" t="s">
        <v>2</v>
      </c>
      <c r="B286" s="185" t="s">
        <v>284</v>
      </c>
      <c r="C286" s="14" t="s">
        <v>618</v>
      </c>
      <c r="D286" s="186">
        <v>16</v>
      </c>
      <c r="E286" s="187">
        <v>4.74</v>
      </c>
      <c r="F286" s="187">
        <v>6.28</v>
      </c>
      <c r="G286" s="187">
        <v>4.03</v>
      </c>
      <c r="H286" s="190">
        <v>0.26</v>
      </c>
      <c r="I286" s="190">
        <v>0.40500000000000003</v>
      </c>
      <c r="J286" s="190">
        <v>0.65500000000000003</v>
      </c>
      <c r="K286" s="187">
        <v>4.9800000000000004</v>
      </c>
      <c r="L286" s="186">
        <v>19.100000000000001</v>
      </c>
      <c r="M286" s="186">
        <v>32.1</v>
      </c>
      <c r="N286" s="186">
        <v>11.7</v>
      </c>
      <c r="O286" s="186">
        <v>10.199999999999999</v>
      </c>
      <c r="P286" s="187">
        <v>2.6</v>
      </c>
      <c r="Q286" s="187">
        <v>4.43</v>
      </c>
      <c r="R286" s="187">
        <v>3.39</v>
      </c>
      <c r="S286" s="187">
        <v>2.2000000000000002</v>
      </c>
      <c r="T286" s="190">
        <v>0.96699999999999997</v>
      </c>
      <c r="U286" s="190">
        <v>0.223</v>
      </c>
      <c r="V286" s="186">
        <v>38.200000000000003</v>
      </c>
      <c r="W286" s="185">
        <v>1.1299999999999999</v>
      </c>
      <c r="X286" s="185">
        <v>5.88</v>
      </c>
      <c r="AA286" s="39" t="str">
        <f t="shared" si="4"/>
        <v>W</v>
      </c>
    </row>
    <row r="287" spans="1:27" x14ac:dyDescent="0.2">
      <c r="A287" s="185" t="s">
        <v>2</v>
      </c>
      <c r="B287" s="185" t="s">
        <v>285</v>
      </c>
      <c r="C287" s="14" t="s">
        <v>618</v>
      </c>
      <c r="D287" s="186">
        <v>12</v>
      </c>
      <c r="E287" s="187">
        <v>3.55</v>
      </c>
      <c r="F287" s="187">
        <v>6.03</v>
      </c>
      <c r="G287" s="187">
        <v>4</v>
      </c>
      <c r="H287" s="190">
        <v>0.23</v>
      </c>
      <c r="I287" s="190">
        <v>0.28000000000000003</v>
      </c>
      <c r="J287" s="190">
        <v>0.53</v>
      </c>
      <c r="K287" s="187">
        <v>7.14</v>
      </c>
      <c r="L287" s="186">
        <v>21.6</v>
      </c>
      <c r="M287" s="186">
        <v>22.1</v>
      </c>
      <c r="N287" s="187">
        <v>8.3000000000000007</v>
      </c>
      <c r="O287" s="187">
        <v>7.31</v>
      </c>
      <c r="P287" s="187">
        <v>2.4900000000000002</v>
      </c>
      <c r="Q287" s="187">
        <v>2.99</v>
      </c>
      <c r="R287" s="187">
        <v>2.3199999999999998</v>
      </c>
      <c r="S287" s="187">
        <v>1.5</v>
      </c>
      <c r="T287" s="190">
        <v>0.91800000000000004</v>
      </c>
      <c r="U287" s="193">
        <v>9.0300000000000005E-2</v>
      </c>
      <c r="V287" s="186">
        <v>24.7</v>
      </c>
      <c r="W287" s="185">
        <v>1.08</v>
      </c>
      <c r="X287" s="185">
        <v>5.75</v>
      </c>
      <c r="AA287" s="39" t="str">
        <f t="shared" si="4"/>
        <v>W</v>
      </c>
    </row>
    <row r="288" spans="1:27" x14ac:dyDescent="0.2">
      <c r="A288" s="185" t="s">
        <v>2</v>
      </c>
      <c r="B288" s="185" t="s">
        <v>286</v>
      </c>
      <c r="C288" s="14" t="s">
        <v>618</v>
      </c>
      <c r="D288" s="187">
        <v>9</v>
      </c>
      <c r="E288" s="187">
        <v>2.68</v>
      </c>
      <c r="F288" s="187">
        <v>5.9</v>
      </c>
      <c r="G288" s="187">
        <v>3.94</v>
      </c>
      <c r="H288" s="190">
        <v>0.17</v>
      </c>
      <c r="I288" s="190">
        <v>0.215</v>
      </c>
      <c r="J288" s="190">
        <v>0.46500000000000002</v>
      </c>
      <c r="K288" s="187">
        <v>9.16</v>
      </c>
      <c r="L288" s="186">
        <v>29.2</v>
      </c>
      <c r="M288" s="186">
        <v>16.399999999999999</v>
      </c>
      <c r="N288" s="187">
        <v>6.23</v>
      </c>
      <c r="O288" s="187">
        <v>5.56</v>
      </c>
      <c r="P288" s="187">
        <v>2.4700000000000002</v>
      </c>
      <c r="Q288" s="187">
        <v>2.2000000000000002</v>
      </c>
      <c r="R288" s="187">
        <v>1.72</v>
      </c>
      <c r="S288" s="187">
        <v>1.1100000000000001</v>
      </c>
      <c r="T288" s="190">
        <v>0.90500000000000003</v>
      </c>
      <c r="U288" s="193">
        <v>4.0500000000000001E-2</v>
      </c>
      <c r="V288" s="186">
        <v>17.7</v>
      </c>
      <c r="W288" s="185">
        <v>1.06</v>
      </c>
      <c r="X288" s="185">
        <v>5.69</v>
      </c>
      <c r="AA288" s="39" t="str">
        <f t="shared" si="4"/>
        <v>W</v>
      </c>
    </row>
    <row r="289" spans="1:27" x14ac:dyDescent="0.2">
      <c r="A289" s="185" t="s">
        <v>2</v>
      </c>
      <c r="B289" s="185" t="s">
        <v>287</v>
      </c>
      <c r="C289" s="14" t="s">
        <v>618</v>
      </c>
      <c r="D289" s="187">
        <v>8.5</v>
      </c>
      <c r="E289" s="187">
        <v>2.52</v>
      </c>
      <c r="F289" s="187">
        <v>5.83</v>
      </c>
      <c r="G289" s="187">
        <v>3.94</v>
      </c>
      <c r="H289" s="190">
        <v>0.17</v>
      </c>
      <c r="I289" s="190">
        <v>0.19500000000000001</v>
      </c>
      <c r="J289" s="190">
        <v>0.44500000000000001</v>
      </c>
      <c r="K289" s="186">
        <v>10.1</v>
      </c>
      <c r="L289" s="186">
        <v>29.1</v>
      </c>
      <c r="M289" s="186">
        <v>14.9</v>
      </c>
      <c r="N289" s="187">
        <v>5.73</v>
      </c>
      <c r="O289" s="187">
        <v>5.0999999999999996</v>
      </c>
      <c r="P289" s="187">
        <v>2.4300000000000002</v>
      </c>
      <c r="Q289" s="187">
        <v>1.99</v>
      </c>
      <c r="R289" s="187">
        <v>1.56</v>
      </c>
      <c r="S289" s="187">
        <v>1.01</v>
      </c>
      <c r="T289" s="190">
        <v>0.89</v>
      </c>
      <c r="U289" s="193">
        <v>3.3300000000000003E-2</v>
      </c>
      <c r="V289" s="186">
        <v>15.8</v>
      </c>
      <c r="W289" s="185">
        <v>1.05</v>
      </c>
      <c r="X289" s="185">
        <v>5.64</v>
      </c>
      <c r="AA289" s="39" t="str">
        <f t="shared" si="4"/>
        <v>W</v>
      </c>
    </row>
    <row r="290" spans="1:27" x14ac:dyDescent="0.2">
      <c r="A290" s="185" t="s">
        <v>2</v>
      </c>
      <c r="B290" s="185" t="s">
        <v>288</v>
      </c>
      <c r="C290" s="14" t="s">
        <v>618</v>
      </c>
      <c r="D290" s="186">
        <v>19</v>
      </c>
      <c r="E290" s="187">
        <v>5.56</v>
      </c>
      <c r="F290" s="187">
        <v>5.15</v>
      </c>
      <c r="G290" s="187">
        <v>5.03</v>
      </c>
      <c r="H290" s="190">
        <v>0.27</v>
      </c>
      <c r="I290" s="190">
        <v>0.43</v>
      </c>
      <c r="J290" s="190">
        <v>0.73</v>
      </c>
      <c r="K290" s="187">
        <v>5.85</v>
      </c>
      <c r="L290" s="186">
        <v>13.7</v>
      </c>
      <c r="M290" s="186">
        <v>26.3</v>
      </c>
      <c r="N290" s="186">
        <v>11.6</v>
      </c>
      <c r="O290" s="186">
        <v>10.199999999999999</v>
      </c>
      <c r="P290" s="187">
        <v>2.17</v>
      </c>
      <c r="Q290" s="187">
        <v>9.1300000000000008</v>
      </c>
      <c r="R290" s="187">
        <v>5.53</v>
      </c>
      <c r="S290" s="187">
        <v>3.63</v>
      </c>
      <c r="T290" s="187">
        <v>1.28</v>
      </c>
      <c r="U290" s="190">
        <v>0.316</v>
      </c>
      <c r="V290" s="186">
        <v>50.9</v>
      </c>
      <c r="W290" s="185">
        <v>1.45</v>
      </c>
      <c r="X290" s="185">
        <v>4.72</v>
      </c>
      <c r="AA290" s="39" t="str">
        <f t="shared" si="4"/>
        <v>W</v>
      </c>
    </row>
    <row r="291" spans="1:27" x14ac:dyDescent="0.2">
      <c r="A291" s="185" t="s">
        <v>2</v>
      </c>
      <c r="B291" s="185" t="s">
        <v>289</v>
      </c>
      <c r="C291" s="14" t="s">
        <v>618</v>
      </c>
      <c r="D291" s="186">
        <v>16</v>
      </c>
      <c r="E291" s="187">
        <v>4.71</v>
      </c>
      <c r="F291" s="187">
        <v>5.01</v>
      </c>
      <c r="G291" s="187">
        <v>5</v>
      </c>
      <c r="H291" s="190">
        <v>0.24</v>
      </c>
      <c r="I291" s="190">
        <v>0.36</v>
      </c>
      <c r="J291" s="190">
        <v>0.66</v>
      </c>
      <c r="K291" s="187">
        <v>6.94</v>
      </c>
      <c r="L291" s="186">
        <v>15.4</v>
      </c>
      <c r="M291" s="186">
        <v>21.4</v>
      </c>
      <c r="N291" s="187">
        <v>9.6300000000000008</v>
      </c>
      <c r="O291" s="187">
        <v>8.5500000000000007</v>
      </c>
      <c r="P291" s="187">
        <v>2.13</v>
      </c>
      <c r="Q291" s="187">
        <v>7.51</v>
      </c>
      <c r="R291" s="187">
        <v>4.58</v>
      </c>
      <c r="S291" s="187">
        <v>3</v>
      </c>
      <c r="T291" s="187">
        <v>1.26</v>
      </c>
      <c r="U291" s="190">
        <v>0.192</v>
      </c>
      <c r="V291" s="186">
        <v>40.6</v>
      </c>
      <c r="W291" s="185">
        <v>1.43</v>
      </c>
      <c r="X291" s="185">
        <v>4.6500000000000004</v>
      </c>
      <c r="AA291" s="39" t="str">
        <f t="shared" si="4"/>
        <v>W</v>
      </c>
    </row>
    <row r="292" spans="1:27" x14ac:dyDescent="0.2">
      <c r="A292" s="185" t="s">
        <v>2</v>
      </c>
      <c r="B292" s="185" t="s">
        <v>290</v>
      </c>
      <c r="C292" s="14" t="s">
        <v>618</v>
      </c>
      <c r="D292" s="186">
        <v>13</v>
      </c>
      <c r="E292" s="187">
        <v>3.83</v>
      </c>
      <c r="F292" s="187">
        <v>4.16</v>
      </c>
      <c r="G292" s="187">
        <v>4.0599999999999996</v>
      </c>
      <c r="H292" s="190">
        <v>0.28000000000000003</v>
      </c>
      <c r="I292" s="190">
        <v>0.34499999999999997</v>
      </c>
      <c r="J292" s="190">
        <v>0.59499999999999997</v>
      </c>
      <c r="K292" s="187">
        <v>5.88</v>
      </c>
      <c r="L292" s="186">
        <v>10.6</v>
      </c>
      <c r="M292" s="186">
        <v>11.3</v>
      </c>
      <c r="N292" s="187">
        <v>6.28</v>
      </c>
      <c r="O292" s="187">
        <v>5.46</v>
      </c>
      <c r="P292" s="187">
        <v>1.72</v>
      </c>
      <c r="Q292" s="187">
        <v>3.86</v>
      </c>
      <c r="R292" s="187">
        <v>2.92</v>
      </c>
      <c r="S292" s="187">
        <v>1.9</v>
      </c>
      <c r="T292" s="187">
        <v>1</v>
      </c>
      <c r="U292" s="190">
        <v>0.151</v>
      </c>
      <c r="V292" s="186">
        <v>14</v>
      </c>
      <c r="W292" s="185">
        <v>1.1599999999999999</v>
      </c>
      <c r="X292" s="185">
        <v>3.82</v>
      </c>
      <c r="AA292" s="39" t="str">
        <f t="shared" si="4"/>
        <v>W</v>
      </c>
    </row>
    <row r="293" spans="1:27" x14ac:dyDescent="0.2">
      <c r="A293" s="185" t="s">
        <v>291</v>
      </c>
      <c r="B293" s="185" t="s">
        <v>292</v>
      </c>
      <c r="C293" s="14" t="s">
        <v>618</v>
      </c>
      <c r="D293" s="186">
        <v>12.4</v>
      </c>
      <c r="E293" s="187">
        <v>3.63</v>
      </c>
      <c r="F293" s="186">
        <v>12.5</v>
      </c>
      <c r="G293" s="187">
        <v>3.75</v>
      </c>
      <c r="H293" s="190">
        <v>0.155</v>
      </c>
      <c r="I293" s="190">
        <v>0.22800000000000001</v>
      </c>
      <c r="J293" s="190">
        <v>0.56299999999999994</v>
      </c>
      <c r="K293" s="187">
        <v>8.2200000000000006</v>
      </c>
      <c r="L293" s="186">
        <v>74.8</v>
      </c>
      <c r="M293" s="186">
        <v>89.3</v>
      </c>
      <c r="N293" s="186">
        <v>16.5</v>
      </c>
      <c r="O293" s="186">
        <v>14.2</v>
      </c>
      <c r="P293" s="187">
        <v>4.96</v>
      </c>
      <c r="Q293" s="187">
        <v>2.0099999999999998</v>
      </c>
      <c r="R293" s="187">
        <v>1.68</v>
      </c>
      <c r="S293" s="187">
        <v>1.07</v>
      </c>
      <c r="T293" s="190">
        <v>0.74399999999999999</v>
      </c>
      <c r="U293" s="193">
        <v>4.9299999999999997E-2</v>
      </c>
      <c r="V293" s="186">
        <v>76</v>
      </c>
      <c r="W293" s="185">
        <v>0.93300000000000005</v>
      </c>
      <c r="X293" s="185">
        <v>12.3</v>
      </c>
      <c r="AA293" s="39" t="str">
        <f t="shared" si="4"/>
        <v>M</v>
      </c>
    </row>
    <row r="294" spans="1:27" x14ac:dyDescent="0.2">
      <c r="A294" s="185" t="s">
        <v>291</v>
      </c>
      <c r="B294" s="185" t="s">
        <v>293</v>
      </c>
      <c r="C294" s="14" t="s">
        <v>618</v>
      </c>
      <c r="D294" s="186">
        <v>11.6</v>
      </c>
      <c r="E294" s="187">
        <v>3.4</v>
      </c>
      <c r="F294" s="186">
        <v>12.5</v>
      </c>
      <c r="G294" s="187">
        <v>3.5</v>
      </c>
      <c r="H294" s="190">
        <v>0.155</v>
      </c>
      <c r="I294" s="190">
        <v>0.21099999999999999</v>
      </c>
      <c r="J294" s="190">
        <v>0.56299999999999994</v>
      </c>
      <c r="K294" s="187">
        <v>8.2899999999999991</v>
      </c>
      <c r="L294" s="186">
        <v>74.8</v>
      </c>
      <c r="M294" s="186">
        <v>80.3</v>
      </c>
      <c r="N294" s="186">
        <v>15</v>
      </c>
      <c r="O294" s="186">
        <v>12.8</v>
      </c>
      <c r="P294" s="187">
        <v>4.8600000000000003</v>
      </c>
      <c r="Q294" s="187">
        <v>1.51</v>
      </c>
      <c r="R294" s="187">
        <v>1.37</v>
      </c>
      <c r="S294" s="190">
        <v>0.86399999999999999</v>
      </c>
      <c r="T294" s="190">
        <v>0.66700000000000004</v>
      </c>
      <c r="U294" s="193">
        <v>4.1399999999999999E-2</v>
      </c>
      <c r="V294" s="186">
        <v>57.1</v>
      </c>
      <c r="W294" s="185">
        <v>0.85199999999999998</v>
      </c>
      <c r="X294" s="185">
        <v>12.3</v>
      </c>
      <c r="AA294" s="39" t="str">
        <f t="shared" si="4"/>
        <v>M</v>
      </c>
    </row>
    <row r="295" spans="1:27" x14ac:dyDescent="0.2">
      <c r="A295" s="185" t="s">
        <v>291</v>
      </c>
      <c r="B295" s="185" t="s">
        <v>294</v>
      </c>
      <c r="C295" s="14" t="s">
        <v>618</v>
      </c>
      <c r="D295" s="186">
        <v>11.8</v>
      </c>
      <c r="E295" s="187">
        <v>3.47</v>
      </c>
      <c r="F295" s="186">
        <v>12</v>
      </c>
      <c r="G295" s="187">
        <v>3.07</v>
      </c>
      <c r="H295" s="190">
        <v>0.17699999999999999</v>
      </c>
      <c r="I295" s="190">
        <v>0.22500000000000001</v>
      </c>
      <c r="J295" s="190">
        <v>0.56299999999999994</v>
      </c>
      <c r="K295" s="187">
        <v>6.81</v>
      </c>
      <c r="L295" s="186">
        <v>62.5</v>
      </c>
      <c r="M295" s="186">
        <v>72.2</v>
      </c>
      <c r="N295" s="186">
        <v>14.3</v>
      </c>
      <c r="O295" s="186">
        <v>12</v>
      </c>
      <c r="P295" s="187">
        <v>4.5599999999999996</v>
      </c>
      <c r="Q295" s="187">
        <v>1.0900000000000001</v>
      </c>
      <c r="R295" s="187">
        <v>1.1499999999999999</v>
      </c>
      <c r="S295" s="190">
        <v>0.70899999999999996</v>
      </c>
      <c r="T295" s="190">
        <v>0.55900000000000005</v>
      </c>
      <c r="U295" s="193">
        <v>0.05</v>
      </c>
      <c r="V295" s="186">
        <v>37.700000000000003</v>
      </c>
      <c r="W295" s="194">
        <v>0.73099999999999998</v>
      </c>
      <c r="X295" s="194">
        <v>11.8</v>
      </c>
      <c r="AA295" s="39" t="str">
        <f t="shared" si="4"/>
        <v>M</v>
      </c>
    </row>
    <row r="296" spans="1:27" x14ac:dyDescent="0.2">
      <c r="A296" s="185" t="s">
        <v>291</v>
      </c>
      <c r="B296" s="185" t="s">
        <v>295</v>
      </c>
      <c r="C296" s="14" t="s">
        <v>618</v>
      </c>
      <c r="D296" s="186">
        <v>10.8</v>
      </c>
      <c r="E296" s="187">
        <v>3.18</v>
      </c>
      <c r="F296" s="186">
        <v>12</v>
      </c>
      <c r="G296" s="187">
        <v>3.07</v>
      </c>
      <c r="H296" s="190">
        <v>0.16</v>
      </c>
      <c r="I296" s="190">
        <v>0.21</v>
      </c>
      <c r="J296" s="190">
        <v>0.56299999999999994</v>
      </c>
      <c r="K296" s="187">
        <v>7.3</v>
      </c>
      <c r="L296" s="186">
        <v>69.2</v>
      </c>
      <c r="M296" s="186">
        <v>66.7</v>
      </c>
      <c r="N296" s="186">
        <v>13.2</v>
      </c>
      <c r="O296" s="186">
        <v>11.1</v>
      </c>
      <c r="P296" s="187">
        <v>4.58</v>
      </c>
      <c r="Q296" s="187">
        <v>1.01</v>
      </c>
      <c r="R296" s="187">
        <v>1.07</v>
      </c>
      <c r="S296" s="190">
        <v>0.66100000000000003</v>
      </c>
      <c r="T296" s="190">
        <v>0.56399999999999995</v>
      </c>
      <c r="U296" s="193">
        <v>3.9300000000000002E-2</v>
      </c>
      <c r="V296" s="186">
        <v>35</v>
      </c>
      <c r="W296" s="194">
        <v>0.73199999999999998</v>
      </c>
      <c r="X296" s="194">
        <v>11.8</v>
      </c>
      <c r="AA296" s="39" t="str">
        <f t="shared" si="4"/>
        <v>M</v>
      </c>
    </row>
    <row r="297" spans="1:27" x14ac:dyDescent="0.2">
      <c r="A297" s="185" t="s">
        <v>291</v>
      </c>
      <c r="B297" s="185" t="s">
        <v>296</v>
      </c>
      <c r="C297" s="14" t="s">
        <v>618</v>
      </c>
      <c r="D297" s="186">
        <v>10</v>
      </c>
      <c r="E297" s="187">
        <v>2.95</v>
      </c>
      <c r="F297" s="186">
        <v>12</v>
      </c>
      <c r="G297" s="187">
        <v>3.25</v>
      </c>
      <c r="H297" s="190">
        <v>0.14899999999999999</v>
      </c>
      <c r="I297" s="190">
        <v>0.18</v>
      </c>
      <c r="J297" s="190">
        <v>0.5</v>
      </c>
      <c r="K297" s="187">
        <v>9.0299999999999994</v>
      </c>
      <c r="L297" s="186">
        <v>74.7</v>
      </c>
      <c r="M297" s="186">
        <v>61.7</v>
      </c>
      <c r="N297" s="186">
        <v>12.2</v>
      </c>
      <c r="O297" s="186">
        <v>10.3</v>
      </c>
      <c r="P297" s="187">
        <v>4.57</v>
      </c>
      <c r="Q297" s="187">
        <v>1.03</v>
      </c>
      <c r="R297" s="187">
        <v>1.02</v>
      </c>
      <c r="S297" s="190">
        <v>0.63600000000000001</v>
      </c>
      <c r="T297" s="190">
        <v>0.59199999999999997</v>
      </c>
      <c r="U297" s="193">
        <v>2.92E-2</v>
      </c>
      <c r="V297" s="186">
        <v>35.9</v>
      </c>
      <c r="W297" s="185">
        <v>0.76800000000000002</v>
      </c>
      <c r="X297" s="185">
        <v>11.8</v>
      </c>
      <c r="AA297" s="39" t="str">
        <f t="shared" si="4"/>
        <v>M</v>
      </c>
    </row>
    <row r="298" spans="1:27" x14ac:dyDescent="0.2">
      <c r="A298" s="185" t="s">
        <v>291</v>
      </c>
      <c r="B298" s="185" t="s">
        <v>297</v>
      </c>
      <c r="C298" s="14" t="s">
        <v>618</v>
      </c>
      <c r="D298" s="187">
        <v>9</v>
      </c>
      <c r="E298" s="187">
        <v>2.65</v>
      </c>
      <c r="F298" s="186">
        <v>10</v>
      </c>
      <c r="G298" s="187">
        <v>2.69</v>
      </c>
      <c r="H298" s="190">
        <v>0.157</v>
      </c>
      <c r="I298" s="190">
        <v>0.20599999999999999</v>
      </c>
      <c r="J298" s="190">
        <v>0.56299999999999994</v>
      </c>
      <c r="K298" s="187">
        <v>6.53</v>
      </c>
      <c r="L298" s="186">
        <v>58.4</v>
      </c>
      <c r="M298" s="186">
        <v>39</v>
      </c>
      <c r="N298" s="187">
        <v>9.2200000000000006</v>
      </c>
      <c r="O298" s="187">
        <v>7.79</v>
      </c>
      <c r="P298" s="187">
        <v>3.83</v>
      </c>
      <c r="Q298" s="190">
        <v>0.67200000000000004</v>
      </c>
      <c r="R298" s="190">
        <v>0.80900000000000005</v>
      </c>
      <c r="S298" s="190">
        <v>0.5</v>
      </c>
      <c r="T298" s="190">
        <v>0.503</v>
      </c>
      <c r="U298" s="193">
        <v>3.1399999999999997E-2</v>
      </c>
      <c r="V298" s="186">
        <v>16.100000000000001</v>
      </c>
      <c r="W298" s="190">
        <v>0.65</v>
      </c>
      <c r="X298" s="185">
        <v>9.7899999999999991</v>
      </c>
      <c r="AA298" s="39" t="str">
        <f t="shared" si="4"/>
        <v>M</v>
      </c>
    </row>
    <row r="299" spans="1:27" x14ac:dyDescent="0.2">
      <c r="A299" s="185" t="s">
        <v>291</v>
      </c>
      <c r="B299" s="185" t="s">
        <v>298</v>
      </c>
      <c r="C299" s="14" t="s">
        <v>618</v>
      </c>
      <c r="D299" s="187">
        <v>8</v>
      </c>
      <c r="E299" s="187">
        <v>2.37</v>
      </c>
      <c r="F299" s="187">
        <v>9.9499999999999993</v>
      </c>
      <c r="G299" s="187">
        <v>2.69</v>
      </c>
      <c r="H299" s="190">
        <v>0.14099999999999999</v>
      </c>
      <c r="I299" s="190">
        <v>0.182</v>
      </c>
      <c r="J299" s="190">
        <v>0.56299999999999994</v>
      </c>
      <c r="K299" s="187">
        <v>7.39</v>
      </c>
      <c r="L299" s="186">
        <v>65</v>
      </c>
      <c r="M299" s="186">
        <v>34.6</v>
      </c>
      <c r="N299" s="187">
        <v>8.1999999999999993</v>
      </c>
      <c r="O299" s="187">
        <v>6.95</v>
      </c>
      <c r="P299" s="187">
        <v>3.82</v>
      </c>
      <c r="Q299" s="190">
        <v>0.59299999999999997</v>
      </c>
      <c r="R299" s="190">
        <v>0.71099999999999997</v>
      </c>
      <c r="S299" s="190">
        <v>0.441</v>
      </c>
      <c r="T299" s="190">
        <v>0.5</v>
      </c>
      <c r="U299" s="193">
        <v>2.24E-2</v>
      </c>
      <c r="V299" s="186">
        <v>14.2</v>
      </c>
      <c r="W299" s="185">
        <v>0.64600000000000002</v>
      </c>
      <c r="X299" s="185">
        <v>9.77</v>
      </c>
      <c r="AA299" s="39" t="str">
        <f t="shared" si="4"/>
        <v>M</v>
      </c>
    </row>
    <row r="300" spans="1:27" x14ac:dyDescent="0.2">
      <c r="A300" s="185" t="s">
        <v>291</v>
      </c>
      <c r="B300" s="185" t="s">
        <v>299</v>
      </c>
      <c r="C300" s="14" t="s">
        <v>618</v>
      </c>
      <c r="D300" s="187">
        <v>7.5</v>
      </c>
      <c r="E300" s="187">
        <v>2.2200000000000002</v>
      </c>
      <c r="F300" s="187">
        <v>9.99</v>
      </c>
      <c r="G300" s="187">
        <v>2.69</v>
      </c>
      <c r="H300" s="190">
        <v>0.13</v>
      </c>
      <c r="I300" s="190">
        <v>0.17299999999999999</v>
      </c>
      <c r="J300" s="190">
        <v>0.438</v>
      </c>
      <c r="K300" s="187">
        <v>7.77</v>
      </c>
      <c r="L300" s="186">
        <v>71</v>
      </c>
      <c r="M300" s="186">
        <v>33</v>
      </c>
      <c r="N300" s="187">
        <v>7.77</v>
      </c>
      <c r="O300" s="187">
        <v>6.6</v>
      </c>
      <c r="P300" s="187">
        <v>3.85</v>
      </c>
      <c r="Q300" s="190">
        <v>0.56200000000000006</v>
      </c>
      <c r="R300" s="190">
        <v>0.67</v>
      </c>
      <c r="S300" s="190">
        <v>0.41799999999999998</v>
      </c>
      <c r="T300" s="190">
        <v>0.503</v>
      </c>
      <c r="U300" s="193">
        <v>1.8700000000000001E-2</v>
      </c>
      <c r="V300" s="186">
        <v>13.5</v>
      </c>
      <c r="W300" s="185">
        <v>0.64600000000000002</v>
      </c>
      <c r="X300" s="185">
        <v>9.82</v>
      </c>
      <c r="AA300" s="39" t="str">
        <f t="shared" si="4"/>
        <v>M</v>
      </c>
    </row>
    <row r="301" spans="1:27" x14ac:dyDescent="0.2">
      <c r="A301" s="185" t="s">
        <v>291</v>
      </c>
      <c r="B301" s="185" t="s">
        <v>300</v>
      </c>
      <c r="C301" s="14" t="s">
        <v>618</v>
      </c>
      <c r="D301" s="187">
        <v>6.5</v>
      </c>
      <c r="E301" s="187">
        <v>1.92</v>
      </c>
      <c r="F301" s="187">
        <v>8</v>
      </c>
      <c r="G301" s="187">
        <v>2.2799999999999998</v>
      </c>
      <c r="H301" s="190">
        <v>0.13500000000000001</v>
      </c>
      <c r="I301" s="190">
        <v>0.189</v>
      </c>
      <c r="J301" s="190">
        <v>0.56299999999999994</v>
      </c>
      <c r="K301" s="187">
        <v>6.03</v>
      </c>
      <c r="L301" s="186">
        <v>53.8</v>
      </c>
      <c r="M301" s="186">
        <v>18.5</v>
      </c>
      <c r="N301" s="187">
        <v>5.43</v>
      </c>
      <c r="O301" s="187">
        <v>4.63</v>
      </c>
      <c r="P301" s="187">
        <v>3.11</v>
      </c>
      <c r="Q301" s="190">
        <v>0.376</v>
      </c>
      <c r="R301" s="190">
        <v>0.52900000000000003</v>
      </c>
      <c r="S301" s="190">
        <v>0.32900000000000001</v>
      </c>
      <c r="T301" s="190">
        <v>0.443</v>
      </c>
      <c r="U301" s="193">
        <v>1.84E-2</v>
      </c>
      <c r="V301" s="187">
        <v>5.73</v>
      </c>
      <c r="W301" s="185">
        <v>0.56299999999999994</v>
      </c>
      <c r="X301" s="185">
        <v>7.81</v>
      </c>
      <c r="AA301" s="39" t="str">
        <f t="shared" si="4"/>
        <v>M</v>
      </c>
    </row>
    <row r="302" spans="1:27" x14ac:dyDescent="0.2">
      <c r="A302" s="185" t="s">
        <v>291</v>
      </c>
      <c r="B302" s="185" t="s">
        <v>301</v>
      </c>
      <c r="C302" s="14" t="s">
        <v>618</v>
      </c>
      <c r="D302" s="187">
        <v>6.2</v>
      </c>
      <c r="E302" s="187">
        <v>1.82</v>
      </c>
      <c r="F302" s="187">
        <v>8</v>
      </c>
      <c r="G302" s="187">
        <v>2.2799999999999998</v>
      </c>
      <c r="H302" s="190">
        <v>0.129</v>
      </c>
      <c r="I302" s="190">
        <v>0.17699999999999999</v>
      </c>
      <c r="J302" s="190">
        <v>0.438</v>
      </c>
      <c r="K302" s="187">
        <v>6.44</v>
      </c>
      <c r="L302" s="186">
        <v>56.5</v>
      </c>
      <c r="M302" s="186">
        <v>17.600000000000001</v>
      </c>
      <c r="N302" s="187">
        <v>5.15</v>
      </c>
      <c r="O302" s="187">
        <v>4.3899999999999997</v>
      </c>
      <c r="P302" s="187">
        <v>3.1</v>
      </c>
      <c r="Q302" s="190">
        <v>0.35199999999999998</v>
      </c>
      <c r="R302" s="190">
        <v>0.495</v>
      </c>
      <c r="S302" s="190">
        <v>0.308</v>
      </c>
      <c r="T302" s="190">
        <v>0.439</v>
      </c>
      <c r="U302" s="193">
        <v>1.5599999999999999E-2</v>
      </c>
      <c r="V302" s="187">
        <v>5.38</v>
      </c>
      <c r="W302" s="190">
        <v>0.56000000000000005</v>
      </c>
      <c r="X302" s="185">
        <v>7.82</v>
      </c>
      <c r="AA302" s="39" t="str">
        <f t="shared" si="4"/>
        <v>M</v>
      </c>
    </row>
    <row r="303" spans="1:27" x14ac:dyDescent="0.2">
      <c r="A303" s="185" t="s">
        <v>291</v>
      </c>
      <c r="B303" s="185" t="s">
        <v>302</v>
      </c>
      <c r="C303" s="14" t="s">
        <v>618</v>
      </c>
      <c r="D303" s="187">
        <v>4.4000000000000004</v>
      </c>
      <c r="E303" s="187">
        <v>1.29</v>
      </c>
      <c r="F303" s="187">
        <v>6</v>
      </c>
      <c r="G303" s="187">
        <v>1.84</v>
      </c>
      <c r="H303" s="190">
        <v>0.114</v>
      </c>
      <c r="I303" s="190">
        <v>0.17100000000000001</v>
      </c>
      <c r="J303" s="190">
        <v>0.375</v>
      </c>
      <c r="K303" s="187">
        <v>5.39</v>
      </c>
      <c r="L303" s="186">
        <v>47</v>
      </c>
      <c r="M303" s="187">
        <v>7.23</v>
      </c>
      <c r="N303" s="187">
        <v>2.8</v>
      </c>
      <c r="O303" s="187">
        <v>2.41</v>
      </c>
      <c r="P303" s="187">
        <v>2.36</v>
      </c>
      <c r="Q303" s="190">
        <v>0.18</v>
      </c>
      <c r="R303" s="190">
        <v>0.311</v>
      </c>
      <c r="S303" s="190">
        <v>0.19500000000000001</v>
      </c>
      <c r="T303" s="190">
        <v>0.372</v>
      </c>
      <c r="U303" s="195">
        <v>9.9000000000000008E-3</v>
      </c>
      <c r="V303" s="187">
        <v>1.53</v>
      </c>
      <c r="W303" s="185">
        <v>0.46700000000000003</v>
      </c>
      <c r="X303" s="185">
        <v>5.83</v>
      </c>
      <c r="AA303" s="39" t="str">
        <f t="shared" si="4"/>
        <v>M</v>
      </c>
    </row>
    <row r="304" spans="1:27" x14ac:dyDescent="0.2">
      <c r="A304" s="185" t="s">
        <v>291</v>
      </c>
      <c r="B304" s="185" t="s">
        <v>303</v>
      </c>
      <c r="C304" s="14" t="s">
        <v>618</v>
      </c>
      <c r="D304" s="187">
        <v>3.7</v>
      </c>
      <c r="E304" s="187">
        <v>1.0900000000000001</v>
      </c>
      <c r="F304" s="187">
        <v>5.92</v>
      </c>
      <c r="G304" s="187">
        <v>2</v>
      </c>
      <c r="H304" s="193">
        <v>9.8000000000000004E-2</v>
      </c>
      <c r="I304" s="190">
        <v>0.129</v>
      </c>
      <c r="J304" s="190">
        <v>0.313</v>
      </c>
      <c r="K304" s="187">
        <v>7.75</v>
      </c>
      <c r="L304" s="186">
        <v>54.7</v>
      </c>
      <c r="M304" s="187">
        <v>5.96</v>
      </c>
      <c r="N304" s="187">
        <v>2.33</v>
      </c>
      <c r="O304" s="187">
        <v>2.0099999999999998</v>
      </c>
      <c r="P304" s="187">
        <v>2.34</v>
      </c>
      <c r="Q304" s="190">
        <v>0.17299999999999999</v>
      </c>
      <c r="R304" s="190">
        <v>0.27300000000000002</v>
      </c>
      <c r="S304" s="190">
        <v>0.17299999999999999</v>
      </c>
      <c r="T304" s="190">
        <v>0.39800000000000002</v>
      </c>
      <c r="U304" s="195">
        <v>5.3E-3</v>
      </c>
      <c r="V304" s="187">
        <v>1.45</v>
      </c>
      <c r="W304" s="185">
        <v>0.499</v>
      </c>
      <c r="X304" s="185">
        <v>5.79</v>
      </c>
      <c r="AA304" s="39" t="str">
        <f t="shared" si="4"/>
        <v>M</v>
      </c>
    </row>
    <row r="305" spans="1:27" x14ac:dyDescent="0.2">
      <c r="A305" s="185" t="s">
        <v>291</v>
      </c>
      <c r="B305" s="185" t="s">
        <v>304</v>
      </c>
      <c r="C305" s="14" t="s">
        <v>618</v>
      </c>
      <c r="D305" s="186">
        <v>18.899999999999999</v>
      </c>
      <c r="E305" s="187">
        <v>5.56</v>
      </c>
      <c r="F305" s="187">
        <v>5</v>
      </c>
      <c r="G305" s="187">
        <v>5</v>
      </c>
      <c r="H305" s="190">
        <v>0.316</v>
      </c>
      <c r="I305" s="190">
        <v>0.41599999999999998</v>
      </c>
      <c r="J305" s="190">
        <v>0.81299999999999994</v>
      </c>
      <c r="K305" s="187">
        <v>6.01</v>
      </c>
      <c r="L305" s="186">
        <v>11.2</v>
      </c>
      <c r="M305" s="186">
        <v>24.2</v>
      </c>
      <c r="N305" s="186">
        <v>11.1</v>
      </c>
      <c r="O305" s="187">
        <v>9.67</v>
      </c>
      <c r="P305" s="187">
        <v>2.08</v>
      </c>
      <c r="Q305" s="187">
        <v>8.6999999999999993</v>
      </c>
      <c r="R305" s="187">
        <v>5.33</v>
      </c>
      <c r="S305" s="187">
        <v>3.48</v>
      </c>
      <c r="T305" s="187">
        <v>1.25</v>
      </c>
      <c r="U305" s="190">
        <v>0.313</v>
      </c>
      <c r="V305" s="186">
        <v>45.7</v>
      </c>
      <c r="W305" s="185">
        <v>1.44</v>
      </c>
      <c r="X305" s="185">
        <v>4.58</v>
      </c>
      <c r="AA305" s="39" t="str">
        <f t="shared" si="4"/>
        <v>M</v>
      </c>
    </row>
    <row r="306" spans="1:27" x14ac:dyDescent="0.2">
      <c r="A306" s="185" t="s">
        <v>291</v>
      </c>
      <c r="B306" s="185" t="s">
        <v>305</v>
      </c>
      <c r="C306" s="14" t="s">
        <v>618</v>
      </c>
      <c r="D306" s="187">
        <v>6</v>
      </c>
      <c r="E306" s="187">
        <v>1.75</v>
      </c>
      <c r="F306" s="187">
        <v>3.8</v>
      </c>
      <c r="G306" s="187">
        <v>3.8</v>
      </c>
      <c r="H306" s="190">
        <v>0.13</v>
      </c>
      <c r="I306" s="190">
        <v>0.16</v>
      </c>
      <c r="J306" s="190">
        <v>0.5</v>
      </c>
      <c r="K306" s="186">
        <v>11.9</v>
      </c>
      <c r="L306" s="186">
        <v>22</v>
      </c>
      <c r="M306" s="187">
        <v>4.72</v>
      </c>
      <c r="N306" s="187">
        <v>2.74</v>
      </c>
      <c r="O306" s="187">
        <v>2.48</v>
      </c>
      <c r="P306" s="187">
        <v>1.64</v>
      </c>
      <c r="Q306" s="187">
        <v>1.47</v>
      </c>
      <c r="R306" s="187">
        <v>1.18</v>
      </c>
      <c r="S306" s="190">
        <v>0.77100000000000002</v>
      </c>
      <c r="T306" s="190">
        <v>0.91500000000000004</v>
      </c>
      <c r="U306" s="193">
        <v>1.84E-2</v>
      </c>
      <c r="V306" s="187">
        <v>4.87</v>
      </c>
      <c r="W306" s="185">
        <v>1.04</v>
      </c>
      <c r="X306" s="185">
        <v>3.64</v>
      </c>
      <c r="AA306" s="39" t="str">
        <f t="shared" si="4"/>
        <v>M</v>
      </c>
    </row>
    <row r="307" spans="1:27" x14ac:dyDescent="0.2">
      <c r="A307" s="185" t="s">
        <v>291</v>
      </c>
      <c r="B307" s="185" t="s">
        <v>306</v>
      </c>
      <c r="C307" s="14" t="s">
        <v>618</v>
      </c>
      <c r="D307" s="187">
        <v>4.08</v>
      </c>
      <c r="E307" s="187">
        <v>1.27</v>
      </c>
      <c r="F307" s="187">
        <v>4</v>
      </c>
      <c r="G307" s="187">
        <v>2.25</v>
      </c>
      <c r="H307" s="190">
        <v>0.115</v>
      </c>
      <c r="I307" s="190">
        <v>0.17</v>
      </c>
      <c r="J307" s="190">
        <v>0.56299999999999994</v>
      </c>
      <c r="K307" s="187">
        <v>6.62</v>
      </c>
      <c r="L307" s="186">
        <v>26.4</v>
      </c>
      <c r="M307" s="187">
        <v>3.53</v>
      </c>
      <c r="N307" s="187">
        <v>2</v>
      </c>
      <c r="O307" s="187">
        <v>1.77</v>
      </c>
      <c r="P307" s="187">
        <v>1.67</v>
      </c>
      <c r="Q307" s="190">
        <v>0.32500000000000001</v>
      </c>
      <c r="R307" s="190">
        <v>0.45300000000000001</v>
      </c>
      <c r="S307" s="190">
        <v>0.28899999999999998</v>
      </c>
      <c r="T307" s="190">
        <v>0.50600000000000001</v>
      </c>
      <c r="U307" s="193">
        <v>1.47E-2</v>
      </c>
      <c r="V307" s="187">
        <v>1.19</v>
      </c>
      <c r="W307" s="185">
        <v>0.59299999999999997</v>
      </c>
      <c r="X307" s="185">
        <v>3.83</v>
      </c>
      <c r="AA307" s="39" t="str">
        <f t="shared" si="4"/>
        <v>M</v>
      </c>
    </row>
    <row r="308" spans="1:27" x14ac:dyDescent="0.2">
      <c r="A308" s="185" t="s">
        <v>291</v>
      </c>
      <c r="B308" s="185" t="s">
        <v>307</v>
      </c>
      <c r="C308" s="14" t="s">
        <v>618</v>
      </c>
      <c r="D308" s="187">
        <v>3.45</v>
      </c>
      <c r="E308" s="187">
        <v>1.01</v>
      </c>
      <c r="F308" s="187">
        <v>4</v>
      </c>
      <c r="G308" s="187">
        <v>2.25</v>
      </c>
      <c r="H308" s="193">
        <v>9.1999999999999998E-2</v>
      </c>
      <c r="I308" s="190">
        <v>0.13</v>
      </c>
      <c r="J308" s="190">
        <v>0.5</v>
      </c>
      <c r="K308" s="187">
        <v>8.65</v>
      </c>
      <c r="L308" s="186">
        <v>33.9</v>
      </c>
      <c r="M308" s="187">
        <v>2.86</v>
      </c>
      <c r="N308" s="187">
        <v>1.6</v>
      </c>
      <c r="O308" s="187">
        <v>1.43</v>
      </c>
      <c r="P308" s="187">
        <v>1.68</v>
      </c>
      <c r="Q308" s="190">
        <v>0.248</v>
      </c>
      <c r="R308" s="190">
        <v>0.34599999999999997</v>
      </c>
      <c r="S308" s="190">
        <v>0.221</v>
      </c>
      <c r="T308" s="190">
        <v>0.496</v>
      </c>
      <c r="U308" s="195">
        <v>8.2000000000000007E-3</v>
      </c>
      <c r="V308" s="190">
        <v>0.93</v>
      </c>
      <c r="W308" s="190">
        <v>0.57999999999999996</v>
      </c>
      <c r="X308" s="185">
        <v>3.87</v>
      </c>
      <c r="AA308" s="39" t="str">
        <f t="shared" si="4"/>
        <v>M</v>
      </c>
    </row>
    <row r="309" spans="1:27" x14ac:dyDescent="0.2">
      <c r="A309" s="185" t="s">
        <v>291</v>
      </c>
      <c r="B309" s="185" t="s">
        <v>308</v>
      </c>
      <c r="C309" s="14" t="s">
        <v>618</v>
      </c>
      <c r="D309" s="187">
        <v>3.2</v>
      </c>
      <c r="E309" s="187">
        <v>1.01</v>
      </c>
      <c r="F309" s="187">
        <v>4</v>
      </c>
      <c r="G309" s="187">
        <v>2.25</v>
      </c>
      <c r="H309" s="193">
        <v>9.1999999999999998E-2</v>
      </c>
      <c r="I309" s="190">
        <v>0.13</v>
      </c>
      <c r="J309" s="190">
        <v>0.5</v>
      </c>
      <c r="K309" s="187">
        <v>8.65</v>
      </c>
      <c r="L309" s="186">
        <v>33.9</v>
      </c>
      <c r="M309" s="187">
        <v>2.86</v>
      </c>
      <c r="N309" s="187">
        <v>1.6</v>
      </c>
      <c r="O309" s="187">
        <v>1.43</v>
      </c>
      <c r="P309" s="187">
        <v>1.68</v>
      </c>
      <c r="Q309" s="190">
        <v>0.248</v>
      </c>
      <c r="R309" s="190">
        <v>0.34599999999999997</v>
      </c>
      <c r="S309" s="190">
        <v>0.221</v>
      </c>
      <c r="T309" s="190">
        <v>0.496</v>
      </c>
      <c r="U309" s="195">
        <v>8.2000000000000007E-3</v>
      </c>
      <c r="V309" s="190">
        <v>0.93</v>
      </c>
      <c r="W309" s="190">
        <v>0.57999999999999996</v>
      </c>
      <c r="X309" s="185">
        <v>3.87</v>
      </c>
      <c r="AA309" s="39" t="str">
        <f t="shared" si="4"/>
        <v>M</v>
      </c>
    </row>
    <row r="310" spans="1:27" x14ac:dyDescent="0.2">
      <c r="A310" s="185" t="s">
        <v>291</v>
      </c>
      <c r="B310" s="185" t="s">
        <v>309</v>
      </c>
      <c r="C310" s="14" t="s">
        <v>618</v>
      </c>
      <c r="D310" s="187">
        <v>2.9</v>
      </c>
      <c r="E310" s="190">
        <v>0.91400000000000003</v>
      </c>
      <c r="F310" s="187">
        <v>3</v>
      </c>
      <c r="G310" s="187">
        <v>2.25</v>
      </c>
      <c r="H310" s="193">
        <v>0.09</v>
      </c>
      <c r="I310" s="190">
        <v>0.13</v>
      </c>
      <c r="J310" s="190">
        <v>0.5</v>
      </c>
      <c r="K310" s="187">
        <v>8.65</v>
      </c>
      <c r="L310" s="186">
        <v>23.6</v>
      </c>
      <c r="M310" s="187">
        <v>1.5</v>
      </c>
      <c r="N310" s="187">
        <v>1.1200000000000001</v>
      </c>
      <c r="O310" s="187">
        <v>1</v>
      </c>
      <c r="P310" s="187">
        <v>1.28</v>
      </c>
      <c r="Q310" s="190">
        <v>0.248</v>
      </c>
      <c r="R310" s="190">
        <v>0.34399999999999997</v>
      </c>
      <c r="S310" s="190">
        <v>0.221</v>
      </c>
      <c r="T310" s="190">
        <v>0.52100000000000002</v>
      </c>
      <c r="U310" s="195">
        <v>7.9000000000000008E-3</v>
      </c>
      <c r="V310" s="190">
        <v>0.51100000000000001</v>
      </c>
      <c r="W310" s="185">
        <v>0.59699999999999998</v>
      </c>
      <c r="X310" s="185">
        <v>2.87</v>
      </c>
      <c r="AA310" s="39" t="str">
        <f t="shared" si="4"/>
        <v>M</v>
      </c>
    </row>
    <row r="311" spans="1:27" x14ac:dyDescent="0.2">
      <c r="A311" s="185" t="s">
        <v>310</v>
      </c>
      <c r="B311" s="185" t="s">
        <v>311</v>
      </c>
      <c r="C311" s="14" t="s">
        <v>618</v>
      </c>
      <c r="D311" s="185">
        <v>121</v>
      </c>
      <c r="E311" s="186">
        <v>35.5</v>
      </c>
      <c r="F311" s="186">
        <v>24.5</v>
      </c>
      <c r="G311" s="187">
        <v>8.0500000000000007</v>
      </c>
      <c r="H311" s="190">
        <v>0.8</v>
      </c>
      <c r="I311" s="187">
        <v>1.0900000000000001</v>
      </c>
      <c r="J311" s="187">
        <v>2</v>
      </c>
      <c r="K311" s="187">
        <v>3.69</v>
      </c>
      <c r="L311" s="186">
        <v>25.9</v>
      </c>
      <c r="M311" s="185">
        <v>3160</v>
      </c>
      <c r="N311" s="185">
        <v>306</v>
      </c>
      <c r="O311" s="185">
        <v>258</v>
      </c>
      <c r="P311" s="187">
        <v>9.43</v>
      </c>
      <c r="Q311" s="186">
        <v>83</v>
      </c>
      <c r="R311" s="186">
        <v>36.299999999999997</v>
      </c>
      <c r="S311" s="186">
        <v>20.6</v>
      </c>
      <c r="T311" s="187">
        <v>1.53</v>
      </c>
      <c r="U311" s="186">
        <v>12.8</v>
      </c>
      <c r="V311" s="185">
        <v>11400</v>
      </c>
      <c r="W311" s="185">
        <v>1.94</v>
      </c>
      <c r="X311" s="185">
        <v>23.4</v>
      </c>
      <c r="AA311" s="39" t="str">
        <f t="shared" si="4"/>
        <v>S</v>
      </c>
    </row>
    <row r="312" spans="1:27" x14ac:dyDescent="0.2">
      <c r="A312" s="185" t="s">
        <v>310</v>
      </c>
      <c r="B312" s="185" t="s">
        <v>312</v>
      </c>
      <c r="C312" s="14" t="s">
        <v>618</v>
      </c>
      <c r="D312" s="185">
        <v>106</v>
      </c>
      <c r="E312" s="186">
        <v>31.1</v>
      </c>
      <c r="F312" s="186">
        <v>24.5</v>
      </c>
      <c r="G312" s="187">
        <v>7.87</v>
      </c>
      <c r="H312" s="190">
        <v>0.62</v>
      </c>
      <c r="I312" s="187">
        <v>1.0900000000000001</v>
      </c>
      <c r="J312" s="187">
        <v>2</v>
      </c>
      <c r="K312" s="187">
        <v>3.61</v>
      </c>
      <c r="L312" s="186">
        <v>33.4</v>
      </c>
      <c r="M312" s="185">
        <v>2940</v>
      </c>
      <c r="N312" s="185">
        <v>279</v>
      </c>
      <c r="O312" s="185">
        <v>240</v>
      </c>
      <c r="P312" s="187">
        <v>9.7100000000000009</v>
      </c>
      <c r="Q312" s="186">
        <v>76.8</v>
      </c>
      <c r="R312" s="186">
        <v>33.4</v>
      </c>
      <c r="S312" s="186">
        <v>19.5</v>
      </c>
      <c r="T312" s="187">
        <v>1.57</v>
      </c>
      <c r="U312" s="186">
        <v>10.1</v>
      </c>
      <c r="V312" s="185">
        <v>10500</v>
      </c>
      <c r="W312" s="185">
        <v>1.93</v>
      </c>
      <c r="X312" s="185">
        <v>23.4</v>
      </c>
      <c r="AA312" s="39" t="str">
        <f t="shared" si="4"/>
        <v>S</v>
      </c>
    </row>
    <row r="313" spans="1:27" x14ac:dyDescent="0.2">
      <c r="A313" s="185" t="s">
        <v>310</v>
      </c>
      <c r="B313" s="185" t="s">
        <v>313</v>
      </c>
      <c r="C313" s="14" t="s">
        <v>618</v>
      </c>
      <c r="D313" s="185">
        <v>100</v>
      </c>
      <c r="E313" s="186">
        <v>29.3</v>
      </c>
      <c r="F313" s="186">
        <v>24</v>
      </c>
      <c r="G313" s="187">
        <v>7.25</v>
      </c>
      <c r="H313" s="190">
        <v>0.745</v>
      </c>
      <c r="I313" s="190">
        <v>0.87</v>
      </c>
      <c r="J313" s="187">
        <v>1.75</v>
      </c>
      <c r="K313" s="187">
        <v>4.16</v>
      </c>
      <c r="L313" s="186">
        <v>27.8</v>
      </c>
      <c r="M313" s="185">
        <v>2380</v>
      </c>
      <c r="N313" s="185">
        <v>239</v>
      </c>
      <c r="O313" s="185">
        <v>199</v>
      </c>
      <c r="P313" s="187">
        <v>9.01</v>
      </c>
      <c r="Q313" s="186">
        <v>47.4</v>
      </c>
      <c r="R313" s="186">
        <v>24</v>
      </c>
      <c r="S313" s="186">
        <v>13.1</v>
      </c>
      <c r="T313" s="187">
        <v>1.27</v>
      </c>
      <c r="U313" s="187">
        <v>7.59</v>
      </c>
      <c r="V313" s="185">
        <v>6350</v>
      </c>
      <c r="W313" s="185">
        <v>1.66</v>
      </c>
      <c r="X313" s="185">
        <v>23.1</v>
      </c>
      <c r="AA313" s="39" t="str">
        <f t="shared" si="4"/>
        <v>S</v>
      </c>
    </row>
    <row r="314" spans="1:27" x14ac:dyDescent="0.2">
      <c r="A314" s="185" t="s">
        <v>310</v>
      </c>
      <c r="B314" s="185" t="s">
        <v>314</v>
      </c>
      <c r="C314" s="14" t="s">
        <v>618</v>
      </c>
      <c r="D314" s="186">
        <v>90</v>
      </c>
      <c r="E314" s="186">
        <v>26.5</v>
      </c>
      <c r="F314" s="186">
        <v>24</v>
      </c>
      <c r="G314" s="187">
        <v>7.13</v>
      </c>
      <c r="H314" s="190">
        <v>0.625</v>
      </c>
      <c r="I314" s="190">
        <v>0.87</v>
      </c>
      <c r="J314" s="187">
        <v>1.75</v>
      </c>
      <c r="K314" s="187">
        <v>4.09</v>
      </c>
      <c r="L314" s="186">
        <v>33.1</v>
      </c>
      <c r="M314" s="185">
        <v>2250</v>
      </c>
      <c r="N314" s="185">
        <v>222</v>
      </c>
      <c r="O314" s="185">
        <v>187</v>
      </c>
      <c r="P314" s="187">
        <v>9.2100000000000009</v>
      </c>
      <c r="Q314" s="186">
        <v>44.7</v>
      </c>
      <c r="R314" s="186">
        <v>22.4</v>
      </c>
      <c r="S314" s="186">
        <v>12.5</v>
      </c>
      <c r="T314" s="187">
        <v>1.3</v>
      </c>
      <c r="U314" s="187">
        <v>6.05</v>
      </c>
      <c r="V314" s="185">
        <v>5980</v>
      </c>
      <c r="W314" s="185">
        <v>1.66</v>
      </c>
      <c r="X314" s="185">
        <v>23.1</v>
      </c>
      <c r="AA314" s="39" t="str">
        <f t="shared" si="4"/>
        <v>S</v>
      </c>
    </row>
    <row r="315" spans="1:27" x14ac:dyDescent="0.2">
      <c r="A315" s="185" t="s">
        <v>310</v>
      </c>
      <c r="B315" s="185" t="s">
        <v>315</v>
      </c>
      <c r="C315" s="14" t="s">
        <v>618</v>
      </c>
      <c r="D315" s="186">
        <v>80</v>
      </c>
      <c r="E315" s="186">
        <v>23.5</v>
      </c>
      <c r="F315" s="186">
        <v>24</v>
      </c>
      <c r="G315" s="187">
        <v>7</v>
      </c>
      <c r="H315" s="190">
        <v>0.5</v>
      </c>
      <c r="I315" s="190">
        <v>0.87</v>
      </c>
      <c r="J315" s="187">
        <v>1.75</v>
      </c>
      <c r="K315" s="187">
        <v>4.0199999999999996</v>
      </c>
      <c r="L315" s="186">
        <v>41.4</v>
      </c>
      <c r="M315" s="185">
        <v>2100</v>
      </c>
      <c r="N315" s="185">
        <v>204</v>
      </c>
      <c r="O315" s="185">
        <v>175</v>
      </c>
      <c r="P315" s="187">
        <v>9.4700000000000006</v>
      </c>
      <c r="Q315" s="186">
        <v>42</v>
      </c>
      <c r="R315" s="186">
        <v>20.8</v>
      </c>
      <c r="S315" s="186">
        <v>12</v>
      </c>
      <c r="T315" s="187">
        <v>1.34</v>
      </c>
      <c r="U315" s="187">
        <v>4.8899999999999997</v>
      </c>
      <c r="V315" s="185">
        <v>5620</v>
      </c>
      <c r="W315" s="185">
        <v>1.67</v>
      </c>
      <c r="X315" s="185">
        <v>23.1</v>
      </c>
      <c r="AA315" s="39" t="str">
        <f t="shared" si="4"/>
        <v>S</v>
      </c>
    </row>
    <row r="316" spans="1:27" x14ac:dyDescent="0.2">
      <c r="A316" s="185" t="s">
        <v>310</v>
      </c>
      <c r="B316" s="185" t="s">
        <v>316</v>
      </c>
      <c r="C316" s="14" t="s">
        <v>618</v>
      </c>
      <c r="D316" s="186">
        <v>96</v>
      </c>
      <c r="E316" s="186">
        <v>28.2</v>
      </c>
      <c r="F316" s="186">
        <v>20.3</v>
      </c>
      <c r="G316" s="187">
        <v>7.2</v>
      </c>
      <c r="H316" s="190">
        <v>0.8</v>
      </c>
      <c r="I316" s="190">
        <v>0.92</v>
      </c>
      <c r="J316" s="187">
        <v>1.75</v>
      </c>
      <c r="K316" s="187">
        <v>3.91</v>
      </c>
      <c r="L316" s="186">
        <v>21.1</v>
      </c>
      <c r="M316" s="185">
        <v>1670</v>
      </c>
      <c r="N316" s="185">
        <v>198</v>
      </c>
      <c r="O316" s="185">
        <v>165</v>
      </c>
      <c r="P316" s="187">
        <v>7.71</v>
      </c>
      <c r="Q316" s="186">
        <v>49.9</v>
      </c>
      <c r="R316" s="186">
        <v>24.9</v>
      </c>
      <c r="S316" s="186">
        <v>13.9</v>
      </c>
      <c r="T316" s="187">
        <v>1.33</v>
      </c>
      <c r="U316" s="187">
        <v>8.4</v>
      </c>
      <c r="V316" s="185">
        <v>4690</v>
      </c>
      <c r="W316" s="185">
        <v>1.71</v>
      </c>
      <c r="X316" s="185">
        <v>19.399999999999999</v>
      </c>
      <c r="AA316" s="39" t="str">
        <f t="shared" si="4"/>
        <v>S</v>
      </c>
    </row>
    <row r="317" spans="1:27" x14ac:dyDescent="0.2">
      <c r="A317" s="185" t="s">
        <v>310</v>
      </c>
      <c r="B317" s="185" t="s">
        <v>317</v>
      </c>
      <c r="C317" s="14" t="s">
        <v>618</v>
      </c>
      <c r="D317" s="186">
        <v>86</v>
      </c>
      <c r="E317" s="186">
        <v>25.3</v>
      </c>
      <c r="F317" s="186">
        <v>20.3</v>
      </c>
      <c r="G317" s="187">
        <v>7.06</v>
      </c>
      <c r="H317" s="190">
        <v>0.66</v>
      </c>
      <c r="I317" s="190">
        <v>0.92</v>
      </c>
      <c r="J317" s="187">
        <v>1.75</v>
      </c>
      <c r="K317" s="187">
        <v>3.84</v>
      </c>
      <c r="L317" s="186">
        <v>25.6</v>
      </c>
      <c r="M317" s="185">
        <v>1570</v>
      </c>
      <c r="N317" s="185">
        <v>183</v>
      </c>
      <c r="O317" s="185">
        <v>155</v>
      </c>
      <c r="P317" s="187">
        <v>7.89</v>
      </c>
      <c r="Q317" s="186">
        <v>46.6</v>
      </c>
      <c r="R317" s="186">
        <v>23.1</v>
      </c>
      <c r="S317" s="186">
        <v>13.2</v>
      </c>
      <c r="T317" s="187">
        <v>1.36</v>
      </c>
      <c r="U317" s="187">
        <v>6.65</v>
      </c>
      <c r="V317" s="185">
        <v>4370</v>
      </c>
      <c r="W317" s="185">
        <v>1.71</v>
      </c>
      <c r="X317" s="185">
        <v>19.399999999999999</v>
      </c>
      <c r="AA317" s="39" t="str">
        <f t="shared" si="4"/>
        <v>S</v>
      </c>
    </row>
    <row r="318" spans="1:27" x14ac:dyDescent="0.2">
      <c r="A318" s="185" t="s">
        <v>310</v>
      </c>
      <c r="B318" s="185" t="s">
        <v>318</v>
      </c>
      <c r="C318" s="14" t="s">
        <v>618</v>
      </c>
      <c r="D318" s="186">
        <v>75</v>
      </c>
      <c r="E318" s="186">
        <v>22</v>
      </c>
      <c r="F318" s="186">
        <v>20</v>
      </c>
      <c r="G318" s="187">
        <v>6.39</v>
      </c>
      <c r="H318" s="190">
        <v>0.63500000000000001</v>
      </c>
      <c r="I318" s="190">
        <v>0.79500000000000004</v>
      </c>
      <c r="J318" s="187">
        <v>1.63</v>
      </c>
      <c r="K318" s="187">
        <v>4.0199999999999996</v>
      </c>
      <c r="L318" s="186">
        <v>26.6</v>
      </c>
      <c r="M318" s="185">
        <v>1280</v>
      </c>
      <c r="N318" s="185">
        <v>152</v>
      </c>
      <c r="O318" s="185">
        <v>128</v>
      </c>
      <c r="P318" s="187">
        <v>7.62</v>
      </c>
      <c r="Q318" s="186">
        <v>29.5</v>
      </c>
      <c r="R318" s="186">
        <v>16.7</v>
      </c>
      <c r="S318" s="187">
        <v>9.25</v>
      </c>
      <c r="T318" s="187">
        <v>1.1599999999999999</v>
      </c>
      <c r="U318" s="187">
        <v>4.59</v>
      </c>
      <c r="V318" s="185">
        <v>2720</v>
      </c>
      <c r="W318" s="185">
        <v>1.49</v>
      </c>
      <c r="X318" s="185">
        <v>19.2</v>
      </c>
      <c r="AA318" s="39" t="str">
        <f t="shared" si="4"/>
        <v>S</v>
      </c>
    </row>
    <row r="319" spans="1:27" x14ac:dyDescent="0.2">
      <c r="A319" s="185" t="s">
        <v>310</v>
      </c>
      <c r="B319" s="185" t="s">
        <v>319</v>
      </c>
      <c r="C319" s="14" t="s">
        <v>618</v>
      </c>
      <c r="D319" s="186">
        <v>66</v>
      </c>
      <c r="E319" s="186">
        <v>19.399999999999999</v>
      </c>
      <c r="F319" s="186">
        <v>20</v>
      </c>
      <c r="G319" s="187">
        <v>6.26</v>
      </c>
      <c r="H319" s="190">
        <v>0.505</v>
      </c>
      <c r="I319" s="190">
        <v>0.79500000000000004</v>
      </c>
      <c r="J319" s="187">
        <v>1.63</v>
      </c>
      <c r="K319" s="187">
        <v>3.93</v>
      </c>
      <c r="L319" s="186">
        <v>33.5</v>
      </c>
      <c r="M319" s="185">
        <v>1190</v>
      </c>
      <c r="N319" s="185">
        <v>139</v>
      </c>
      <c r="O319" s="185">
        <v>119</v>
      </c>
      <c r="P319" s="187">
        <v>7.83</v>
      </c>
      <c r="Q319" s="186">
        <v>27.5</v>
      </c>
      <c r="R319" s="186">
        <v>15.4</v>
      </c>
      <c r="S319" s="187">
        <v>8.7799999999999994</v>
      </c>
      <c r="T319" s="187">
        <v>1.19</v>
      </c>
      <c r="U319" s="187">
        <v>3.58</v>
      </c>
      <c r="V319" s="185">
        <v>2530</v>
      </c>
      <c r="W319" s="185">
        <v>1.49</v>
      </c>
      <c r="X319" s="185">
        <v>19.2</v>
      </c>
      <c r="AA319" s="39" t="str">
        <f t="shared" si="4"/>
        <v>S</v>
      </c>
    </row>
    <row r="320" spans="1:27" x14ac:dyDescent="0.2">
      <c r="A320" s="185" t="s">
        <v>310</v>
      </c>
      <c r="B320" s="185" t="s">
        <v>320</v>
      </c>
      <c r="C320" s="14" t="s">
        <v>618</v>
      </c>
      <c r="D320" s="186">
        <v>70</v>
      </c>
      <c r="E320" s="186">
        <v>20.5</v>
      </c>
      <c r="F320" s="186">
        <v>18</v>
      </c>
      <c r="G320" s="187">
        <v>6.25</v>
      </c>
      <c r="H320" s="190">
        <v>0.71099999999999997</v>
      </c>
      <c r="I320" s="190">
        <v>0.69099999999999995</v>
      </c>
      <c r="J320" s="187">
        <v>1.5</v>
      </c>
      <c r="K320" s="187">
        <v>4.5199999999999996</v>
      </c>
      <c r="L320" s="186">
        <v>21.5</v>
      </c>
      <c r="M320" s="185">
        <v>923</v>
      </c>
      <c r="N320" s="185">
        <v>124</v>
      </c>
      <c r="O320" s="185">
        <v>103</v>
      </c>
      <c r="P320" s="187">
        <v>6.7</v>
      </c>
      <c r="Q320" s="186">
        <v>24</v>
      </c>
      <c r="R320" s="186">
        <v>14.3</v>
      </c>
      <c r="S320" s="187">
        <v>7.69</v>
      </c>
      <c r="T320" s="187">
        <v>1.08</v>
      </c>
      <c r="U320" s="187">
        <v>4.0999999999999996</v>
      </c>
      <c r="V320" s="185">
        <v>1800</v>
      </c>
      <c r="W320" s="185">
        <v>1.42</v>
      </c>
      <c r="X320" s="185">
        <v>17.3</v>
      </c>
      <c r="AA320" s="39" t="str">
        <f t="shared" si="4"/>
        <v>S</v>
      </c>
    </row>
    <row r="321" spans="1:27" x14ac:dyDescent="0.2">
      <c r="A321" s="185" t="s">
        <v>310</v>
      </c>
      <c r="B321" s="185" t="s">
        <v>321</v>
      </c>
      <c r="C321" s="14" t="s">
        <v>618</v>
      </c>
      <c r="D321" s="186">
        <v>54.7</v>
      </c>
      <c r="E321" s="186">
        <v>16</v>
      </c>
      <c r="F321" s="186">
        <v>18</v>
      </c>
      <c r="G321" s="187">
        <v>6</v>
      </c>
      <c r="H321" s="190">
        <v>0.46100000000000002</v>
      </c>
      <c r="I321" s="190">
        <v>0.69099999999999995</v>
      </c>
      <c r="J321" s="187">
        <v>1.5</v>
      </c>
      <c r="K321" s="187">
        <v>4.34</v>
      </c>
      <c r="L321" s="186">
        <v>33.200000000000003</v>
      </c>
      <c r="M321" s="185">
        <v>801</v>
      </c>
      <c r="N321" s="185">
        <v>104</v>
      </c>
      <c r="O321" s="186">
        <v>89</v>
      </c>
      <c r="P321" s="187">
        <v>7.07</v>
      </c>
      <c r="Q321" s="186">
        <v>20.7</v>
      </c>
      <c r="R321" s="186">
        <v>12.1</v>
      </c>
      <c r="S321" s="187">
        <v>6.91</v>
      </c>
      <c r="T321" s="187">
        <v>1.1399999999999999</v>
      </c>
      <c r="U321" s="187">
        <v>2.33</v>
      </c>
      <c r="V321" s="185">
        <v>1550</v>
      </c>
      <c r="W321" s="185">
        <v>1.42</v>
      </c>
      <c r="X321" s="185">
        <v>17.3</v>
      </c>
      <c r="AA321" s="39" t="str">
        <f t="shared" si="4"/>
        <v>S</v>
      </c>
    </row>
    <row r="322" spans="1:27" x14ac:dyDescent="0.2">
      <c r="A322" s="185" t="s">
        <v>310</v>
      </c>
      <c r="B322" s="185" t="s">
        <v>322</v>
      </c>
      <c r="C322" s="14" t="s">
        <v>618</v>
      </c>
      <c r="D322" s="186">
        <v>50</v>
      </c>
      <c r="E322" s="186">
        <v>14.7</v>
      </c>
      <c r="F322" s="186">
        <v>15</v>
      </c>
      <c r="G322" s="187">
        <v>5.64</v>
      </c>
      <c r="H322" s="190">
        <v>0.55000000000000004</v>
      </c>
      <c r="I322" s="190">
        <v>0.622</v>
      </c>
      <c r="J322" s="187">
        <v>1.38</v>
      </c>
      <c r="K322" s="187">
        <v>4.53</v>
      </c>
      <c r="L322" s="186">
        <v>22.7</v>
      </c>
      <c r="M322" s="185">
        <v>485</v>
      </c>
      <c r="N322" s="186">
        <v>77</v>
      </c>
      <c r="O322" s="186">
        <v>64.7</v>
      </c>
      <c r="P322" s="187">
        <v>5.75</v>
      </c>
      <c r="Q322" s="186">
        <v>15.6</v>
      </c>
      <c r="R322" s="186">
        <v>10</v>
      </c>
      <c r="S322" s="187">
        <v>5.53</v>
      </c>
      <c r="T322" s="187">
        <v>1.03</v>
      </c>
      <c r="U322" s="187">
        <v>2.12</v>
      </c>
      <c r="V322" s="185">
        <v>805</v>
      </c>
      <c r="W322" s="185">
        <v>1.32</v>
      </c>
      <c r="X322" s="185">
        <v>14.4</v>
      </c>
      <c r="AA322" s="39" t="str">
        <f t="shared" si="4"/>
        <v>S</v>
      </c>
    </row>
    <row r="323" spans="1:27" x14ac:dyDescent="0.2">
      <c r="A323" s="185" t="s">
        <v>310</v>
      </c>
      <c r="B323" s="185" t="s">
        <v>323</v>
      </c>
      <c r="C323" s="14" t="s">
        <v>618</v>
      </c>
      <c r="D323" s="186">
        <v>42.9</v>
      </c>
      <c r="E323" s="186">
        <v>12.6</v>
      </c>
      <c r="F323" s="186">
        <v>15</v>
      </c>
      <c r="G323" s="187">
        <v>5.5</v>
      </c>
      <c r="H323" s="190">
        <v>0.41099999999999998</v>
      </c>
      <c r="I323" s="190">
        <v>0.622</v>
      </c>
      <c r="J323" s="187">
        <v>1.38</v>
      </c>
      <c r="K323" s="187">
        <v>4.42</v>
      </c>
      <c r="L323" s="186">
        <v>30.4</v>
      </c>
      <c r="M323" s="185">
        <v>446</v>
      </c>
      <c r="N323" s="186">
        <v>69.2</v>
      </c>
      <c r="O323" s="186">
        <v>59.4</v>
      </c>
      <c r="P323" s="187">
        <v>5.95</v>
      </c>
      <c r="Q323" s="186">
        <v>14.3</v>
      </c>
      <c r="R323" s="187">
        <v>9.08</v>
      </c>
      <c r="S323" s="187">
        <v>5.19</v>
      </c>
      <c r="T323" s="187">
        <v>1.06</v>
      </c>
      <c r="U323" s="187">
        <v>1.54</v>
      </c>
      <c r="V323" s="185">
        <v>737</v>
      </c>
      <c r="W323" s="185">
        <v>1.31</v>
      </c>
      <c r="X323" s="185">
        <v>14.4</v>
      </c>
      <c r="AA323" s="39" t="str">
        <f t="shared" si="4"/>
        <v>S</v>
      </c>
    </row>
    <row r="324" spans="1:27" x14ac:dyDescent="0.2">
      <c r="A324" s="185" t="s">
        <v>310</v>
      </c>
      <c r="B324" s="185" t="s">
        <v>324</v>
      </c>
      <c r="C324" s="14" t="s">
        <v>618</v>
      </c>
      <c r="D324" s="186">
        <v>50</v>
      </c>
      <c r="E324" s="186">
        <v>14.7</v>
      </c>
      <c r="F324" s="186">
        <v>12</v>
      </c>
      <c r="G324" s="187">
        <v>5.48</v>
      </c>
      <c r="H324" s="190">
        <v>0.68700000000000006</v>
      </c>
      <c r="I324" s="190">
        <v>0.65900000000000003</v>
      </c>
      <c r="J324" s="187">
        <v>1.44</v>
      </c>
      <c r="K324" s="187">
        <v>4.16</v>
      </c>
      <c r="L324" s="186">
        <v>13.7</v>
      </c>
      <c r="M324" s="185">
        <v>303</v>
      </c>
      <c r="N324" s="186">
        <v>60.9</v>
      </c>
      <c r="O324" s="186">
        <v>50.6</v>
      </c>
      <c r="P324" s="187">
        <v>4.55</v>
      </c>
      <c r="Q324" s="186">
        <v>15.6</v>
      </c>
      <c r="R324" s="186">
        <v>10.3</v>
      </c>
      <c r="S324" s="187">
        <v>5.69</v>
      </c>
      <c r="T324" s="187">
        <v>1.03</v>
      </c>
      <c r="U324" s="187">
        <v>2.77</v>
      </c>
      <c r="V324" s="185">
        <v>501</v>
      </c>
      <c r="W324" s="185">
        <v>1.32</v>
      </c>
      <c r="X324" s="185">
        <v>11.3</v>
      </c>
      <c r="AA324" s="39" t="str">
        <f t="shared" ref="AA324:AA387" si="5">A324</f>
        <v>S</v>
      </c>
    </row>
    <row r="325" spans="1:27" x14ac:dyDescent="0.2">
      <c r="A325" s="185" t="s">
        <v>310</v>
      </c>
      <c r="B325" s="185" t="s">
        <v>325</v>
      </c>
      <c r="C325" s="14" t="s">
        <v>618</v>
      </c>
      <c r="D325" s="186">
        <v>40.799999999999997</v>
      </c>
      <c r="E325" s="186">
        <v>11.9</v>
      </c>
      <c r="F325" s="186">
        <v>12</v>
      </c>
      <c r="G325" s="187">
        <v>5.25</v>
      </c>
      <c r="H325" s="190">
        <v>0.46200000000000002</v>
      </c>
      <c r="I325" s="190">
        <v>0.65900000000000003</v>
      </c>
      <c r="J325" s="187">
        <v>1.44</v>
      </c>
      <c r="K325" s="187">
        <v>3.98</v>
      </c>
      <c r="L325" s="186">
        <v>20.6</v>
      </c>
      <c r="M325" s="185">
        <v>270</v>
      </c>
      <c r="N325" s="186">
        <v>52.7</v>
      </c>
      <c r="O325" s="186">
        <v>45.1</v>
      </c>
      <c r="P325" s="187">
        <v>4.76</v>
      </c>
      <c r="Q325" s="186">
        <v>13.5</v>
      </c>
      <c r="R325" s="187">
        <v>8.86</v>
      </c>
      <c r="S325" s="187">
        <v>5.13</v>
      </c>
      <c r="T325" s="187">
        <v>1.06</v>
      </c>
      <c r="U325" s="187">
        <v>1.69</v>
      </c>
      <c r="V325" s="185">
        <v>433</v>
      </c>
      <c r="W325" s="187">
        <v>1.3</v>
      </c>
      <c r="X325" s="185">
        <v>11.3</v>
      </c>
      <c r="AA325" s="39" t="str">
        <f t="shared" si="5"/>
        <v>S</v>
      </c>
    </row>
    <row r="326" spans="1:27" x14ac:dyDescent="0.2">
      <c r="A326" s="185" t="s">
        <v>310</v>
      </c>
      <c r="B326" s="185" t="s">
        <v>326</v>
      </c>
      <c r="C326" s="14" t="s">
        <v>618</v>
      </c>
      <c r="D326" s="186">
        <v>35</v>
      </c>
      <c r="E326" s="186">
        <v>10.199999999999999</v>
      </c>
      <c r="F326" s="186">
        <v>12</v>
      </c>
      <c r="G326" s="187">
        <v>5.08</v>
      </c>
      <c r="H326" s="190">
        <v>0.42799999999999999</v>
      </c>
      <c r="I326" s="190">
        <v>0.54400000000000004</v>
      </c>
      <c r="J326" s="187">
        <v>1.19</v>
      </c>
      <c r="K326" s="187">
        <v>4.67</v>
      </c>
      <c r="L326" s="186">
        <v>23.1</v>
      </c>
      <c r="M326" s="185">
        <v>228</v>
      </c>
      <c r="N326" s="186">
        <v>44.6</v>
      </c>
      <c r="O326" s="186">
        <v>38.1</v>
      </c>
      <c r="P326" s="187">
        <v>4.72</v>
      </c>
      <c r="Q326" s="187">
        <v>9.84</v>
      </c>
      <c r="R326" s="187">
        <v>6.8</v>
      </c>
      <c r="S326" s="187">
        <v>3.88</v>
      </c>
      <c r="T326" s="190">
        <v>0.98</v>
      </c>
      <c r="U326" s="187">
        <v>1.05</v>
      </c>
      <c r="V326" s="185">
        <v>323</v>
      </c>
      <c r="W326" s="185">
        <v>1.22</v>
      </c>
      <c r="X326" s="185">
        <v>11.5</v>
      </c>
      <c r="AA326" s="39" t="str">
        <f t="shared" si="5"/>
        <v>S</v>
      </c>
    </row>
    <row r="327" spans="1:27" x14ac:dyDescent="0.2">
      <c r="A327" s="185" t="s">
        <v>310</v>
      </c>
      <c r="B327" s="185" t="s">
        <v>327</v>
      </c>
      <c r="C327" s="14" t="s">
        <v>618</v>
      </c>
      <c r="D327" s="186">
        <v>31.8</v>
      </c>
      <c r="E327" s="187">
        <v>9.31</v>
      </c>
      <c r="F327" s="186">
        <v>12</v>
      </c>
      <c r="G327" s="187">
        <v>5</v>
      </c>
      <c r="H327" s="190">
        <v>0.35</v>
      </c>
      <c r="I327" s="190">
        <v>0.54400000000000004</v>
      </c>
      <c r="J327" s="187">
        <v>1.19</v>
      </c>
      <c r="K327" s="187">
        <v>4.5999999999999996</v>
      </c>
      <c r="L327" s="186">
        <v>28.3</v>
      </c>
      <c r="M327" s="185">
        <v>217</v>
      </c>
      <c r="N327" s="186">
        <v>41.8</v>
      </c>
      <c r="O327" s="186">
        <v>36.200000000000003</v>
      </c>
      <c r="P327" s="187">
        <v>4.83</v>
      </c>
      <c r="Q327" s="187">
        <v>9.33</v>
      </c>
      <c r="R327" s="187">
        <v>6.44</v>
      </c>
      <c r="S327" s="187">
        <v>3.73</v>
      </c>
      <c r="T327" s="187">
        <v>1</v>
      </c>
      <c r="U327" s="190">
        <v>0.878</v>
      </c>
      <c r="V327" s="185">
        <v>306</v>
      </c>
      <c r="W327" s="185">
        <v>1.21</v>
      </c>
      <c r="X327" s="185">
        <v>11.5</v>
      </c>
      <c r="AA327" s="39" t="str">
        <f t="shared" si="5"/>
        <v>S</v>
      </c>
    </row>
    <row r="328" spans="1:27" x14ac:dyDescent="0.2">
      <c r="A328" s="185" t="s">
        <v>310</v>
      </c>
      <c r="B328" s="185" t="s">
        <v>328</v>
      </c>
      <c r="C328" s="14" t="s">
        <v>618</v>
      </c>
      <c r="D328" s="186">
        <v>35</v>
      </c>
      <c r="E328" s="186">
        <v>10.3</v>
      </c>
      <c r="F328" s="186">
        <v>10</v>
      </c>
      <c r="G328" s="187">
        <v>4.9400000000000004</v>
      </c>
      <c r="H328" s="190">
        <v>0.59399999999999997</v>
      </c>
      <c r="I328" s="190">
        <v>0.49099999999999999</v>
      </c>
      <c r="J328" s="187">
        <v>1.1299999999999999</v>
      </c>
      <c r="K328" s="187">
        <v>5.03</v>
      </c>
      <c r="L328" s="186">
        <v>13.4</v>
      </c>
      <c r="M328" s="185">
        <v>147</v>
      </c>
      <c r="N328" s="186">
        <v>35.4</v>
      </c>
      <c r="O328" s="186">
        <v>29.4</v>
      </c>
      <c r="P328" s="187">
        <v>3.78</v>
      </c>
      <c r="Q328" s="187">
        <v>8.3000000000000007</v>
      </c>
      <c r="R328" s="187">
        <v>6.19</v>
      </c>
      <c r="S328" s="187">
        <v>3.36</v>
      </c>
      <c r="T328" s="190">
        <v>0.89900000000000002</v>
      </c>
      <c r="U328" s="187">
        <v>1.29</v>
      </c>
      <c r="V328" s="185">
        <v>188</v>
      </c>
      <c r="W328" s="185">
        <v>1.1599999999999999</v>
      </c>
      <c r="X328" s="185">
        <v>9.51</v>
      </c>
      <c r="AA328" s="39" t="str">
        <f t="shared" si="5"/>
        <v>S</v>
      </c>
    </row>
    <row r="329" spans="1:27" x14ac:dyDescent="0.2">
      <c r="A329" s="185" t="s">
        <v>310</v>
      </c>
      <c r="B329" s="185" t="s">
        <v>329</v>
      </c>
      <c r="C329" s="14" t="s">
        <v>618</v>
      </c>
      <c r="D329" s="186">
        <v>25.4</v>
      </c>
      <c r="E329" s="187">
        <v>7.45</v>
      </c>
      <c r="F329" s="186">
        <v>10</v>
      </c>
      <c r="G329" s="187">
        <v>4.66</v>
      </c>
      <c r="H329" s="190">
        <v>0.311</v>
      </c>
      <c r="I329" s="190">
        <v>0.49099999999999999</v>
      </c>
      <c r="J329" s="187">
        <v>1.1299999999999999</v>
      </c>
      <c r="K329" s="187">
        <v>4.75</v>
      </c>
      <c r="L329" s="186">
        <v>25.6</v>
      </c>
      <c r="M329" s="185">
        <v>123</v>
      </c>
      <c r="N329" s="186">
        <v>28.3</v>
      </c>
      <c r="O329" s="186">
        <v>24.6</v>
      </c>
      <c r="P329" s="187">
        <v>4.07</v>
      </c>
      <c r="Q329" s="187">
        <v>6.73</v>
      </c>
      <c r="R329" s="187">
        <v>4.99</v>
      </c>
      <c r="S329" s="187">
        <v>2.89</v>
      </c>
      <c r="T329" s="190">
        <v>0.95</v>
      </c>
      <c r="U329" s="190">
        <v>0.60299999999999998</v>
      </c>
      <c r="V329" s="185">
        <v>152</v>
      </c>
      <c r="W329" s="185">
        <v>1.1399999999999999</v>
      </c>
      <c r="X329" s="185">
        <v>9.51</v>
      </c>
      <c r="AA329" s="39" t="str">
        <f t="shared" si="5"/>
        <v>S</v>
      </c>
    </row>
    <row r="330" spans="1:27" x14ac:dyDescent="0.2">
      <c r="A330" s="185" t="s">
        <v>310</v>
      </c>
      <c r="B330" s="185" t="s">
        <v>330</v>
      </c>
      <c r="C330" s="14" t="s">
        <v>618</v>
      </c>
      <c r="D330" s="186">
        <v>23</v>
      </c>
      <c r="E330" s="187">
        <v>6.76</v>
      </c>
      <c r="F330" s="187">
        <v>8</v>
      </c>
      <c r="G330" s="187">
        <v>4.17</v>
      </c>
      <c r="H330" s="190">
        <v>0.441</v>
      </c>
      <c r="I330" s="190">
        <v>0.42499999999999999</v>
      </c>
      <c r="J330" s="187">
        <v>1</v>
      </c>
      <c r="K330" s="187">
        <v>4.91</v>
      </c>
      <c r="L330" s="186">
        <v>14.1</v>
      </c>
      <c r="M330" s="186">
        <v>64.7</v>
      </c>
      <c r="N330" s="186">
        <v>19.2</v>
      </c>
      <c r="O330" s="186">
        <v>16.2</v>
      </c>
      <c r="P330" s="187">
        <v>3.09</v>
      </c>
      <c r="Q330" s="187">
        <v>4.2699999999999996</v>
      </c>
      <c r="R330" s="187">
        <v>3.67</v>
      </c>
      <c r="S330" s="187">
        <v>2.0499999999999998</v>
      </c>
      <c r="T330" s="190">
        <v>0.79500000000000004</v>
      </c>
      <c r="U330" s="190">
        <v>0.55000000000000004</v>
      </c>
      <c r="V330" s="186">
        <v>61.2</v>
      </c>
      <c r="W330" s="185">
        <v>0.999</v>
      </c>
      <c r="X330" s="185">
        <v>7.58</v>
      </c>
      <c r="AA330" s="39" t="str">
        <f t="shared" si="5"/>
        <v>S</v>
      </c>
    </row>
    <row r="331" spans="1:27" x14ac:dyDescent="0.2">
      <c r="A331" s="185" t="s">
        <v>310</v>
      </c>
      <c r="B331" s="185" t="s">
        <v>331</v>
      </c>
      <c r="C331" s="14" t="s">
        <v>618</v>
      </c>
      <c r="D331" s="186">
        <v>18.399999999999999</v>
      </c>
      <c r="E331" s="187">
        <v>5.4</v>
      </c>
      <c r="F331" s="187">
        <v>8</v>
      </c>
      <c r="G331" s="187">
        <v>4</v>
      </c>
      <c r="H331" s="190">
        <v>0.27100000000000002</v>
      </c>
      <c r="I331" s="190">
        <v>0.42499999999999999</v>
      </c>
      <c r="J331" s="187">
        <v>1</v>
      </c>
      <c r="K331" s="187">
        <v>4.71</v>
      </c>
      <c r="L331" s="186">
        <v>22.9</v>
      </c>
      <c r="M331" s="186">
        <v>57.5</v>
      </c>
      <c r="N331" s="186">
        <v>16.5</v>
      </c>
      <c r="O331" s="186">
        <v>14.4</v>
      </c>
      <c r="P331" s="187">
        <v>3.26</v>
      </c>
      <c r="Q331" s="187">
        <v>3.69</v>
      </c>
      <c r="R331" s="187">
        <v>3.18</v>
      </c>
      <c r="S331" s="187">
        <v>1.84</v>
      </c>
      <c r="T331" s="190">
        <v>0.82699999999999996</v>
      </c>
      <c r="U331" s="190">
        <v>0.33500000000000002</v>
      </c>
      <c r="V331" s="186">
        <v>52.9</v>
      </c>
      <c r="W331" s="185">
        <v>0.98499999999999999</v>
      </c>
      <c r="X331" s="185">
        <v>7.58</v>
      </c>
      <c r="AA331" s="39" t="str">
        <f t="shared" si="5"/>
        <v>S</v>
      </c>
    </row>
    <row r="332" spans="1:27" x14ac:dyDescent="0.2">
      <c r="A332" s="185" t="s">
        <v>310</v>
      </c>
      <c r="B332" s="185" t="s">
        <v>332</v>
      </c>
      <c r="C332" s="14" t="s">
        <v>618</v>
      </c>
      <c r="D332" s="187">
        <v>17.25</v>
      </c>
      <c r="E332" s="187">
        <v>5.05</v>
      </c>
      <c r="F332" s="187">
        <v>6</v>
      </c>
      <c r="G332" s="187">
        <v>3.57</v>
      </c>
      <c r="H332" s="190">
        <v>0.46500000000000002</v>
      </c>
      <c r="I332" s="190">
        <v>0.35899999999999999</v>
      </c>
      <c r="J332" s="190">
        <v>0.81299999999999994</v>
      </c>
      <c r="K332" s="187">
        <v>4.97</v>
      </c>
      <c r="L332" s="187">
        <v>9.67</v>
      </c>
      <c r="M332" s="186">
        <v>26.2</v>
      </c>
      <c r="N332" s="186">
        <v>10.5</v>
      </c>
      <c r="O332" s="187">
        <v>8.74</v>
      </c>
      <c r="P332" s="187">
        <v>2.2799999999999998</v>
      </c>
      <c r="Q332" s="187">
        <v>2.29</v>
      </c>
      <c r="R332" s="187">
        <v>2.35</v>
      </c>
      <c r="S332" s="187">
        <v>1.28</v>
      </c>
      <c r="T332" s="190">
        <v>0.67300000000000004</v>
      </c>
      <c r="U332" s="190">
        <v>0.371</v>
      </c>
      <c r="V332" s="186">
        <v>18.2</v>
      </c>
      <c r="W332" s="185">
        <v>0.85899999999999999</v>
      </c>
      <c r="X332" s="185">
        <v>5.64</v>
      </c>
      <c r="AA332" s="39" t="str">
        <f t="shared" si="5"/>
        <v>S</v>
      </c>
    </row>
    <row r="333" spans="1:27" x14ac:dyDescent="0.2">
      <c r="A333" s="185" t="s">
        <v>310</v>
      </c>
      <c r="B333" s="185" t="s">
        <v>333</v>
      </c>
      <c r="C333" s="14" t="s">
        <v>618</v>
      </c>
      <c r="D333" s="186">
        <v>12.5</v>
      </c>
      <c r="E333" s="187">
        <v>3.66</v>
      </c>
      <c r="F333" s="187">
        <v>6</v>
      </c>
      <c r="G333" s="187">
        <v>3.33</v>
      </c>
      <c r="H333" s="190">
        <v>0.23200000000000001</v>
      </c>
      <c r="I333" s="190">
        <v>0.35899999999999999</v>
      </c>
      <c r="J333" s="190">
        <v>0.81299999999999994</v>
      </c>
      <c r="K333" s="187">
        <v>4.6399999999999997</v>
      </c>
      <c r="L333" s="186">
        <v>19.399999999999999</v>
      </c>
      <c r="M333" s="186">
        <v>22</v>
      </c>
      <c r="N333" s="187">
        <v>8.4499999999999993</v>
      </c>
      <c r="O333" s="187">
        <v>7.34</v>
      </c>
      <c r="P333" s="187">
        <v>2.4500000000000002</v>
      </c>
      <c r="Q333" s="187">
        <v>1.8</v>
      </c>
      <c r="R333" s="187">
        <v>1.86</v>
      </c>
      <c r="S333" s="187">
        <v>1.08</v>
      </c>
      <c r="T333" s="190">
        <v>0.70199999999999996</v>
      </c>
      <c r="U333" s="190">
        <v>0.16700000000000001</v>
      </c>
      <c r="V333" s="186">
        <v>14.3</v>
      </c>
      <c r="W333" s="185">
        <v>0.83099999999999996</v>
      </c>
      <c r="X333" s="185">
        <v>5.64</v>
      </c>
      <c r="AA333" s="39" t="str">
        <f t="shared" si="5"/>
        <v>S</v>
      </c>
    </row>
    <row r="334" spans="1:27" x14ac:dyDescent="0.2">
      <c r="A334" s="185" t="s">
        <v>310</v>
      </c>
      <c r="B334" s="185" t="s">
        <v>334</v>
      </c>
      <c r="C334" s="14" t="s">
        <v>618</v>
      </c>
      <c r="D334" s="186">
        <v>10</v>
      </c>
      <c r="E334" s="187">
        <v>2.93</v>
      </c>
      <c r="F334" s="187">
        <v>5</v>
      </c>
      <c r="G334" s="187">
        <v>3</v>
      </c>
      <c r="H334" s="190">
        <v>0.214</v>
      </c>
      <c r="I334" s="190">
        <v>0.32600000000000001</v>
      </c>
      <c r="J334" s="190">
        <v>0.75</v>
      </c>
      <c r="K334" s="187">
        <v>4.6100000000000003</v>
      </c>
      <c r="L334" s="186">
        <v>16.8</v>
      </c>
      <c r="M334" s="186">
        <v>12.3</v>
      </c>
      <c r="N334" s="187">
        <v>5.66</v>
      </c>
      <c r="O334" s="187">
        <v>4.9000000000000004</v>
      </c>
      <c r="P334" s="187">
        <v>2.0499999999999998</v>
      </c>
      <c r="Q334" s="187">
        <v>1.19</v>
      </c>
      <c r="R334" s="187">
        <v>1.37</v>
      </c>
      <c r="S334" s="190">
        <v>0.79500000000000004</v>
      </c>
      <c r="T334" s="190">
        <v>0.63800000000000001</v>
      </c>
      <c r="U334" s="190">
        <v>0.114</v>
      </c>
      <c r="V334" s="187">
        <v>6.52</v>
      </c>
      <c r="W334" s="185">
        <v>0.754</v>
      </c>
      <c r="X334" s="185">
        <v>4.67</v>
      </c>
      <c r="AA334" s="39" t="str">
        <f t="shared" si="5"/>
        <v>S</v>
      </c>
    </row>
    <row r="335" spans="1:27" x14ac:dyDescent="0.2">
      <c r="A335" s="185" t="s">
        <v>310</v>
      </c>
      <c r="B335" s="185" t="s">
        <v>335</v>
      </c>
      <c r="C335" s="14" t="s">
        <v>618</v>
      </c>
      <c r="D335" s="187">
        <v>9.5</v>
      </c>
      <c r="E335" s="187">
        <v>2.79</v>
      </c>
      <c r="F335" s="187">
        <v>4</v>
      </c>
      <c r="G335" s="187">
        <v>2.8</v>
      </c>
      <c r="H335" s="190">
        <v>0.32600000000000001</v>
      </c>
      <c r="I335" s="190">
        <v>0.29299999999999998</v>
      </c>
      <c r="J335" s="190">
        <v>0.75</v>
      </c>
      <c r="K335" s="187">
        <v>4.7699999999999996</v>
      </c>
      <c r="L335" s="187">
        <v>8.33</v>
      </c>
      <c r="M335" s="187">
        <v>6.76</v>
      </c>
      <c r="N335" s="187">
        <v>4.04</v>
      </c>
      <c r="O335" s="187">
        <v>3.38</v>
      </c>
      <c r="P335" s="187">
        <v>1.56</v>
      </c>
      <c r="Q335" s="190">
        <v>0.88700000000000001</v>
      </c>
      <c r="R335" s="187">
        <v>1.1299999999999999</v>
      </c>
      <c r="S335" s="190">
        <v>0.63500000000000001</v>
      </c>
      <c r="T335" s="190">
        <v>0.56399999999999995</v>
      </c>
      <c r="U335" s="190">
        <v>0.12</v>
      </c>
      <c r="V335" s="187">
        <v>3.05</v>
      </c>
      <c r="W335" s="185">
        <v>0.69799999999999995</v>
      </c>
      <c r="X335" s="185">
        <v>3.71</v>
      </c>
      <c r="AA335" s="39" t="str">
        <f t="shared" si="5"/>
        <v>S</v>
      </c>
    </row>
    <row r="336" spans="1:27" x14ac:dyDescent="0.2">
      <c r="A336" s="185" t="s">
        <v>310</v>
      </c>
      <c r="B336" s="185" t="s">
        <v>336</v>
      </c>
      <c r="C336" s="14" t="s">
        <v>618</v>
      </c>
      <c r="D336" s="187">
        <v>7.7</v>
      </c>
      <c r="E336" s="187">
        <v>2.2599999999999998</v>
      </c>
      <c r="F336" s="187">
        <v>4</v>
      </c>
      <c r="G336" s="187">
        <v>2.66</v>
      </c>
      <c r="H336" s="190">
        <v>0.193</v>
      </c>
      <c r="I336" s="190">
        <v>0.29299999999999998</v>
      </c>
      <c r="J336" s="190">
        <v>0.75</v>
      </c>
      <c r="K336" s="187">
        <v>4.54</v>
      </c>
      <c r="L336" s="186">
        <v>14.1</v>
      </c>
      <c r="M336" s="187">
        <v>6.05</v>
      </c>
      <c r="N336" s="187">
        <v>3.5</v>
      </c>
      <c r="O336" s="187">
        <v>3.03</v>
      </c>
      <c r="P336" s="187">
        <v>1.64</v>
      </c>
      <c r="Q336" s="190">
        <v>0.748</v>
      </c>
      <c r="R336" s="190">
        <v>0.97</v>
      </c>
      <c r="S336" s="190">
        <v>0.56200000000000006</v>
      </c>
      <c r="T336" s="190">
        <v>0.57599999999999996</v>
      </c>
      <c r="U336" s="193">
        <v>7.3200000000000001E-2</v>
      </c>
      <c r="V336" s="187">
        <v>2.57</v>
      </c>
      <c r="W336" s="185">
        <v>0.67600000000000005</v>
      </c>
      <c r="X336" s="185">
        <v>3.71</v>
      </c>
      <c r="AA336" s="39" t="str">
        <f t="shared" si="5"/>
        <v>S</v>
      </c>
    </row>
    <row r="337" spans="1:27" x14ac:dyDescent="0.2">
      <c r="A337" s="185" t="s">
        <v>310</v>
      </c>
      <c r="B337" s="185" t="s">
        <v>337</v>
      </c>
      <c r="C337" s="14" t="s">
        <v>618</v>
      </c>
      <c r="D337" s="187">
        <v>7.5</v>
      </c>
      <c r="E337" s="187">
        <v>2.2000000000000002</v>
      </c>
      <c r="F337" s="187">
        <v>3</v>
      </c>
      <c r="G337" s="187">
        <v>2.5099999999999998</v>
      </c>
      <c r="H337" s="190">
        <v>0.34899999999999998</v>
      </c>
      <c r="I337" s="190">
        <v>0.26</v>
      </c>
      <c r="J337" s="190">
        <v>0.625</v>
      </c>
      <c r="K337" s="187">
        <v>4.83</v>
      </c>
      <c r="L337" s="187">
        <v>5.38</v>
      </c>
      <c r="M337" s="187">
        <v>2.91</v>
      </c>
      <c r="N337" s="187">
        <v>2.35</v>
      </c>
      <c r="O337" s="187">
        <v>1.94</v>
      </c>
      <c r="P337" s="187">
        <v>1.1499999999999999</v>
      </c>
      <c r="Q337" s="190">
        <v>0.57799999999999996</v>
      </c>
      <c r="R337" s="190">
        <v>0.82099999999999995</v>
      </c>
      <c r="S337" s="190">
        <v>0.46100000000000002</v>
      </c>
      <c r="T337" s="190">
        <v>0.51300000000000001</v>
      </c>
      <c r="U337" s="193">
        <v>8.9599999999999999E-2</v>
      </c>
      <c r="V337" s="187">
        <v>1.08</v>
      </c>
      <c r="W337" s="185">
        <v>0.63800000000000001</v>
      </c>
      <c r="X337" s="185">
        <v>2.74</v>
      </c>
      <c r="AA337" s="39" t="str">
        <f t="shared" si="5"/>
        <v>S</v>
      </c>
    </row>
    <row r="338" spans="1:27" x14ac:dyDescent="0.2">
      <c r="A338" s="185" t="s">
        <v>310</v>
      </c>
      <c r="B338" s="185" t="s">
        <v>338</v>
      </c>
      <c r="C338" s="14" t="s">
        <v>618</v>
      </c>
      <c r="D338" s="187">
        <v>5.7</v>
      </c>
      <c r="E338" s="187">
        <v>1.66</v>
      </c>
      <c r="F338" s="187">
        <v>3</v>
      </c>
      <c r="G338" s="187">
        <v>2.33</v>
      </c>
      <c r="H338" s="190">
        <v>0.17</v>
      </c>
      <c r="I338" s="190">
        <v>0.26</v>
      </c>
      <c r="J338" s="190">
        <v>0.625</v>
      </c>
      <c r="K338" s="187">
        <v>4.4800000000000004</v>
      </c>
      <c r="L338" s="186">
        <v>11</v>
      </c>
      <c r="M338" s="187">
        <v>2.5</v>
      </c>
      <c r="N338" s="187">
        <v>1.94</v>
      </c>
      <c r="O338" s="187">
        <v>1.67</v>
      </c>
      <c r="P338" s="187">
        <v>1.23</v>
      </c>
      <c r="Q338" s="190">
        <v>0.44700000000000001</v>
      </c>
      <c r="R338" s="190">
        <v>0.65600000000000003</v>
      </c>
      <c r="S338" s="190">
        <v>0.38300000000000001</v>
      </c>
      <c r="T338" s="190">
        <v>0.51800000000000002</v>
      </c>
      <c r="U338" s="193">
        <v>4.3299999999999998E-2</v>
      </c>
      <c r="V338" s="190">
        <v>0.83799999999999997</v>
      </c>
      <c r="W338" s="185">
        <v>0.60499999999999998</v>
      </c>
      <c r="X338" s="185">
        <v>2.74</v>
      </c>
      <c r="AA338" s="39" t="str">
        <f t="shared" si="5"/>
        <v>S</v>
      </c>
    </row>
    <row r="339" spans="1:27" x14ac:dyDescent="0.2">
      <c r="A339" s="185" t="s">
        <v>339</v>
      </c>
      <c r="B339" s="185" t="s">
        <v>340</v>
      </c>
      <c r="C339" s="14" t="s">
        <v>618</v>
      </c>
      <c r="D339" s="191">
        <v>204</v>
      </c>
      <c r="E339" s="186">
        <v>60.2</v>
      </c>
      <c r="F339" s="186">
        <v>18.3</v>
      </c>
      <c r="G339" s="186">
        <v>18.100000000000001</v>
      </c>
      <c r="H339" s="185">
        <v>1.1299999999999999</v>
      </c>
      <c r="I339" s="185">
        <v>1.1299999999999999</v>
      </c>
      <c r="J339" s="187">
        <v>2.31</v>
      </c>
      <c r="K339" s="187">
        <v>8.01</v>
      </c>
      <c r="L339" s="186">
        <v>12.1</v>
      </c>
      <c r="M339" s="191">
        <v>3480</v>
      </c>
      <c r="N339" s="185">
        <v>433</v>
      </c>
      <c r="O339" s="185">
        <v>380</v>
      </c>
      <c r="P339" s="187">
        <v>7.6</v>
      </c>
      <c r="Q339" s="185">
        <v>1120</v>
      </c>
      <c r="R339" s="191">
        <v>191</v>
      </c>
      <c r="S339" s="191">
        <v>124</v>
      </c>
      <c r="T339" s="187">
        <v>4.3099999999999996</v>
      </c>
      <c r="U339" s="186">
        <v>29.5</v>
      </c>
      <c r="V339" s="191">
        <v>82500</v>
      </c>
      <c r="W339" s="185">
        <v>5.03</v>
      </c>
      <c r="X339" s="185">
        <v>17.2</v>
      </c>
      <c r="AA339" s="39" t="str">
        <f t="shared" si="5"/>
        <v>HP</v>
      </c>
    </row>
    <row r="340" spans="1:27" x14ac:dyDescent="0.2">
      <c r="A340" s="185" t="s">
        <v>339</v>
      </c>
      <c r="B340" s="185" t="s">
        <v>341</v>
      </c>
      <c r="C340" s="14" t="s">
        <v>618</v>
      </c>
      <c r="D340" s="191">
        <v>181</v>
      </c>
      <c r="E340" s="186">
        <v>53.2</v>
      </c>
      <c r="F340" s="186">
        <v>18</v>
      </c>
      <c r="G340" s="186">
        <v>18</v>
      </c>
      <c r="H340" s="187">
        <v>1</v>
      </c>
      <c r="I340" s="187">
        <v>1</v>
      </c>
      <c r="J340" s="187">
        <v>2.1800000000000002</v>
      </c>
      <c r="K340" s="187">
        <v>9</v>
      </c>
      <c r="L340" s="186">
        <v>13.6</v>
      </c>
      <c r="M340" s="191">
        <v>3020</v>
      </c>
      <c r="N340" s="185">
        <v>379</v>
      </c>
      <c r="O340" s="185">
        <v>336</v>
      </c>
      <c r="P340" s="187">
        <v>7.53</v>
      </c>
      <c r="Q340" s="185">
        <v>974</v>
      </c>
      <c r="R340" s="191">
        <v>167</v>
      </c>
      <c r="S340" s="191">
        <v>108</v>
      </c>
      <c r="T340" s="187">
        <v>4.28</v>
      </c>
      <c r="U340" s="186">
        <v>20.7</v>
      </c>
      <c r="V340" s="191">
        <v>70400</v>
      </c>
      <c r="W340" s="185">
        <v>4.96</v>
      </c>
      <c r="X340" s="186">
        <v>17</v>
      </c>
      <c r="AA340" s="39" t="str">
        <f t="shared" si="5"/>
        <v>HP</v>
      </c>
    </row>
    <row r="341" spans="1:27" x14ac:dyDescent="0.2">
      <c r="A341" s="185" t="s">
        <v>339</v>
      </c>
      <c r="B341" s="185" t="s">
        <v>342</v>
      </c>
      <c r="C341" s="14" t="s">
        <v>618</v>
      </c>
      <c r="D341" s="191">
        <v>157</v>
      </c>
      <c r="E341" s="186">
        <v>46.2</v>
      </c>
      <c r="F341" s="186">
        <v>17.7</v>
      </c>
      <c r="G341" s="185">
        <v>17.899999999999999</v>
      </c>
      <c r="H341" s="190">
        <v>0.87</v>
      </c>
      <c r="I341" s="190">
        <v>0.87</v>
      </c>
      <c r="J341" s="187">
        <v>2.0499999999999998</v>
      </c>
      <c r="K341" s="186">
        <v>10.3</v>
      </c>
      <c r="L341" s="186">
        <v>15.6</v>
      </c>
      <c r="M341" s="191">
        <v>2570</v>
      </c>
      <c r="N341" s="185">
        <v>327</v>
      </c>
      <c r="O341" s="185">
        <v>290</v>
      </c>
      <c r="P341" s="187">
        <v>7.46</v>
      </c>
      <c r="Q341" s="185">
        <v>833</v>
      </c>
      <c r="R341" s="191">
        <v>143</v>
      </c>
      <c r="S341" s="186">
        <v>93.1</v>
      </c>
      <c r="T341" s="187">
        <v>4.25</v>
      </c>
      <c r="U341" s="186">
        <v>13.9</v>
      </c>
      <c r="V341" s="191">
        <v>59000</v>
      </c>
      <c r="W341" s="185">
        <v>4.92</v>
      </c>
      <c r="X341" s="185">
        <v>16.8</v>
      </c>
      <c r="AA341" s="39" t="str">
        <f t="shared" si="5"/>
        <v>HP</v>
      </c>
    </row>
    <row r="342" spans="1:27" x14ac:dyDescent="0.2">
      <c r="A342" s="185" t="s">
        <v>339</v>
      </c>
      <c r="B342" s="185" t="s">
        <v>343</v>
      </c>
      <c r="C342" s="14" t="s">
        <v>618</v>
      </c>
      <c r="D342" s="191">
        <v>135</v>
      </c>
      <c r="E342" s="186">
        <v>39.9</v>
      </c>
      <c r="F342" s="186">
        <v>17.5</v>
      </c>
      <c r="G342" s="185">
        <v>17.8</v>
      </c>
      <c r="H342" s="190">
        <v>0.75</v>
      </c>
      <c r="I342" s="190">
        <v>0.75</v>
      </c>
      <c r="J342" s="187">
        <v>1.93</v>
      </c>
      <c r="K342" s="186">
        <v>11.9</v>
      </c>
      <c r="L342" s="186">
        <v>18.2</v>
      </c>
      <c r="M342" s="191">
        <v>2200</v>
      </c>
      <c r="N342" s="185">
        <v>281</v>
      </c>
      <c r="O342" s="185">
        <v>251</v>
      </c>
      <c r="P342" s="187">
        <v>7.43</v>
      </c>
      <c r="Q342" s="185">
        <v>706</v>
      </c>
      <c r="R342" s="191">
        <v>122</v>
      </c>
      <c r="S342" s="186">
        <v>79.3</v>
      </c>
      <c r="T342" s="187">
        <v>4.21</v>
      </c>
      <c r="U342" s="187">
        <v>9.1199999999999992</v>
      </c>
      <c r="V342" s="191">
        <v>49500</v>
      </c>
      <c r="W342" s="185">
        <v>4.8499999999999996</v>
      </c>
      <c r="X342" s="185">
        <v>16.8</v>
      </c>
      <c r="AA342" s="39" t="str">
        <f t="shared" si="5"/>
        <v>HP</v>
      </c>
    </row>
    <row r="343" spans="1:27" x14ac:dyDescent="0.2">
      <c r="A343" s="185" t="s">
        <v>339</v>
      </c>
      <c r="B343" s="185" t="s">
        <v>344</v>
      </c>
      <c r="C343" s="14" t="s">
        <v>618</v>
      </c>
      <c r="D343" s="191">
        <v>183</v>
      </c>
      <c r="E343" s="186">
        <v>54.1</v>
      </c>
      <c r="F343" s="186">
        <v>16.5</v>
      </c>
      <c r="G343" s="185">
        <v>16.3</v>
      </c>
      <c r="H343" s="185">
        <v>1.1299999999999999</v>
      </c>
      <c r="I343" s="185">
        <v>1.1299999999999999</v>
      </c>
      <c r="J343" s="187">
        <v>2.31</v>
      </c>
      <c r="K343" s="187">
        <v>7.21</v>
      </c>
      <c r="L343" s="186">
        <v>10.5</v>
      </c>
      <c r="M343" s="191">
        <v>2510</v>
      </c>
      <c r="N343" s="185">
        <v>349</v>
      </c>
      <c r="O343" s="185">
        <v>304</v>
      </c>
      <c r="P343" s="187">
        <v>6.81</v>
      </c>
      <c r="Q343" s="185">
        <v>818</v>
      </c>
      <c r="R343" s="191">
        <v>156</v>
      </c>
      <c r="S343" s="186">
        <v>100</v>
      </c>
      <c r="T343" s="187">
        <v>3.89</v>
      </c>
      <c r="U343" s="186">
        <v>26.9</v>
      </c>
      <c r="V343" s="191">
        <v>48300</v>
      </c>
      <c r="W343" s="185">
        <v>4.55</v>
      </c>
      <c r="X343" s="185">
        <v>15.4</v>
      </c>
      <c r="AA343" s="39" t="str">
        <f t="shared" si="5"/>
        <v>HP</v>
      </c>
    </row>
    <row r="344" spans="1:27" x14ac:dyDescent="0.2">
      <c r="A344" s="185" t="s">
        <v>339</v>
      </c>
      <c r="B344" s="185" t="s">
        <v>345</v>
      </c>
      <c r="C344" s="14" t="s">
        <v>618</v>
      </c>
      <c r="D344" s="191">
        <v>162</v>
      </c>
      <c r="E344" s="186">
        <v>47.7</v>
      </c>
      <c r="F344" s="186">
        <v>16.3</v>
      </c>
      <c r="G344" s="186">
        <v>16.100000000000001</v>
      </c>
      <c r="H344" s="187">
        <v>1</v>
      </c>
      <c r="I344" s="187">
        <v>1</v>
      </c>
      <c r="J344" s="187">
        <v>2.1800000000000002</v>
      </c>
      <c r="K344" s="187">
        <v>8.0500000000000007</v>
      </c>
      <c r="L344" s="186">
        <v>11.9</v>
      </c>
      <c r="M344" s="191">
        <v>2190</v>
      </c>
      <c r="N344" s="185">
        <v>306</v>
      </c>
      <c r="O344" s="185">
        <v>269</v>
      </c>
      <c r="P344" s="187">
        <v>6.78</v>
      </c>
      <c r="Q344" s="185">
        <v>697</v>
      </c>
      <c r="R344" s="191">
        <v>134</v>
      </c>
      <c r="S344" s="186">
        <v>86.6</v>
      </c>
      <c r="T344" s="187">
        <v>3.82</v>
      </c>
      <c r="U344" s="186">
        <v>18.8</v>
      </c>
      <c r="V344" s="191">
        <v>40800</v>
      </c>
      <c r="W344" s="185">
        <v>4.45</v>
      </c>
      <c r="X344" s="185">
        <v>15.3</v>
      </c>
      <c r="AA344" s="39" t="str">
        <f t="shared" si="5"/>
        <v>HP</v>
      </c>
    </row>
    <row r="345" spans="1:27" x14ac:dyDescent="0.2">
      <c r="A345" s="185" t="s">
        <v>339</v>
      </c>
      <c r="B345" s="185" t="s">
        <v>346</v>
      </c>
      <c r="C345" s="14" t="s">
        <v>618</v>
      </c>
      <c r="D345" s="191">
        <v>141</v>
      </c>
      <c r="E345" s="186">
        <v>41.7</v>
      </c>
      <c r="F345" s="186">
        <v>16</v>
      </c>
      <c r="G345" s="186">
        <v>16</v>
      </c>
      <c r="H345" s="190">
        <v>0.875</v>
      </c>
      <c r="I345" s="190">
        <v>0.875</v>
      </c>
      <c r="J345" s="187">
        <v>2.06</v>
      </c>
      <c r="K345" s="187">
        <v>9.14</v>
      </c>
      <c r="L345" s="186">
        <v>13.6</v>
      </c>
      <c r="M345" s="191">
        <v>1870</v>
      </c>
      <c r="N345" s="185">
        <v>264</v>
      </c>
      <c r="O345" s="185">
        <v>234</v>
      </c>
      <c r="P345" s="187">
        <v>6.7</v>
      </c>
      <c r="Q345" s="185">
        <v>599</v>
      </c>
      <c r="R345" s="191">
        <v>116</v>
      </c>
      <c r="S345" s="186">
        <v>74.900000000000006</v>
      </c>
      <c r="T345" s="187">
        <v>3.79</v>
      </c>
      <c r="U345" s="186">
        <v>12.9</v>
      </c>
      <c r="V345" s="191">
        <v>34300</v>
      </c>
      <c r="W345" s="187">
        <v>4.4000000000000004</v>
      </c>
      <c r="X345" s="185">
        <v>15.1</v>
      </c>
      <c r="AA345" s="39" t="str">
        <f t="shared" si="5"/>
        <v>HP</v>
      </c>
    </row>
    <row r="346" spans="1:27" x14ac:dyDescent="0.2">
      <c r="A346" s="185" t="s">
        <v>339</v>
      </c>
      <c r="B346" s="185" t="s">
        <v>347</v>
      </c>
      <c r="C346" s="14" t="s">
        <v>618</v>
      </c>
      <c r="D346" s="191">
        <v>121</v>
      </c>
      <c r="E346" s="186">
        <v>35.799999999999997</v>
      </c>
      <c r="F346" s="186">
        <v>15.8</v>
      </c>
      <c r="G346" s="186">
        <v>15.9</v>
      </c>
      <c r="H346" s="190">
        <v>0.75</v>
      </c>
      <c r="I346" s="190">
        <v>0.75</v>
      </c>
      <c r="J346" s="187">
        <v>1.93</v>
      </c>
      <c r="K346" s="186">
        <v>10.6</v>
      </c>
      <c r="L346" s="186">
        <v>15.9</v>
      </c>
      <c r="M346" s="191">
        <v>1590</v>
      </c>
      <c r="N346" s="185">
        <v>226</v>
      </c>
      <c r="O346" s="185">
        <v>201</v>
      </c>
      <c r="P346" s="187">
        <v>6.66</v>
      </c>
      <c r="Q346" s="185">
        <v>504</v>
      </c>
      <c r="R346" s="186">
        <v>97.6</v>
      </c>
      <c r="S346" s="186">
        <v>63.4</v>
      </c>
      <c r="T346" s="187">
        <v>3.75</v>
      </c>
      <c r="U346" s="187">
        <v>8.35</v>
      </c>
      <c r="V346" s="191">
        <v>28500</v>
      </c>
      <c r="W346" s="185">
        <v>4.34</v>
      </c>
      <c r="X346" s="185">
        <v>15.1</v>
      </c>
      <c r="AA346" s="39" t="str">
        <f t="shared" si="5"/>
        <v>HP</v>
      </c>
    </row>
    <row r="347" spans="1:27" x14ac:dyDescent="0.2">
      <c r="A347" s="185" t="s">
        <v>339</v>
      </c>
      <c r="B347" s="185" t="s">
        <v>348</v>
      </c>
      <c r="C347" s="14" t="s">
        <v>618</v>
      </c>
      <c r="D347" s="191">
        <v>101</v>
      </c>
      <c r="E347" s="186">
        <v>29.9</v>
      </c>
      <c r="F347" s="186">
        <v>15.5</v>
      </c>
      <c r="G347" s="185">
        <v>15.8</v>
      </c>
      <c r="H347" s="190">
        <v>0.625</v>
      </c>
      <c r="I347" s="190">
        <v>0.625</v>
      </c>
      <c r="J347" s="187">
        <v>1.81</v>
      </c>
      <c r="K347" s="186">
        <v>12.6</v>
      </c>
      <c r="L347" s="186">
        <v>19</v>
      </c>
      <c r="M347" s="191">
        <v>1300</v>
      </c>
      <c r="N347" s="185">
        <v>187</v>
      </c>
      <c r="O347" s="185">
        <v>168</v>
      </c>
      <c r="P347" s="187">
        <v>6.59</v>
      </c>
      <c r="Q347" s="185">
        <v>412</v>
      </c>
      <c r="R347" s="186">
        <v>80.099999999999994</v>
      </c>
      <c r="S347" s="186">
        <v>52.2</v>
      </c>
      <c r="T347" s="187">
        <v>3.71</v>
      </c>
      <c r="U347" s="187">
        <v>5.07</v>
      </c>
      <c r="V347" s="191">
        <v>22800</v>
      </c>
      <c r="W347" s="185">
        <v>4.2699999999999996</v>
      </c>
      <c r="X347" s="185">
        <v>14.9</v>
      </c>
      <c r="AA347" s="39" t="str">
        <f t="shared" si="5"/>
        <v>HP</v>
      </c>
    </row>
    <row r="348" spans="1:27" x14ac:dyDescent="0.2">
      <c r="A348" s="185" t="s">
        <v>339</v>
      </c>
      <c r="B348" s="185" t="s">
        <v>349</v>
      </c>
      <c r="C348" s="14" t="s">
        <v>618</v>
      </c>
      <c r="D348" s="186">
        <v>88</v>
      </c>
      <c r="E348" s="186">
        <v>25.8</v>
      </c>
      <c r="F348" s="186">
        <v>15.3</v>
      </c>
      <c r="G348" s="186">
        <v>15.7</v>
      </c>
      <c r="H348" s="190">
        <v>0.54</v>
      </c>
      <c r="I348" s="190">
        <v>0.54</v>
      </c>
      <c r="J348" s="187">
        <v>1.72</v>
      </c>
      <c r="K348" s="186">
        <v>14.5</v>
      </c>
      <c r="L348" s="186">
        <v>22</v>
      </c>
      <c r="M348" s="191">
        <v>1110</v>
      </c>
      <c r="N348" s="185">
        <v>161</v>
      </c>
      <c r="O348" s="185">
        <v>145</v>
      </c>
      <c r="P348" s="187">
        <v>6.56</v>
      </c>
      <c r="Q348" s="185">
        <v>349</v>
      </c>
      <c r="R348" s="186">
        <v>68.2</v>
      </c>
      <c r="S348" s="186">
        <v>44.5</v>
      </c>
      <c r="T348" s="187">
        <v>3.68</v>
      </c>
      <c r="U348" s="187">
        <v>3.45</v>
      </c>
      <c r="V348" s="191">
        <v>19000</v>
      </c>
      <c r="W348" s="185">
        <v>4.21</v>
      </c>
      <c r="X348" s="185">
        <v>14.8</v>
      </c>
      <c r="AA348" s="39" t="str">
        <f t="shared" si="5"/>
        <v>HP</v>
      </c>
    </row>
    <row r="349" spans="1:27" x14ac:dyDescent="0.2">
      <c r="A349" s="185" t="s">
        <v>339</v>
      </c>
      <c r="B349" s="185" t="s">
        <v>350</v>
      </c>
      <c r="C349" s="14" t="s">
        <v>618</v>
      </c>
      <c r="D349" s="185">
        <v>117</v>
      </c>
      <c r="E349" s="186">
        <v>34.4</v>
      </c>
      <c r="F349" s="186">
        <v>14.2</v>
      </c>
      <c r="G349" s="186">
        <v>14.9</v>
      </c>
      <c r="H349" s="190">
        <v>0.80500000000000005</v>
      </c>
      <c r="I349" s="190">
        <v>0.80500000000000005</v>
      </c>
      <c r="J349" s="188">
        <v>1.5</v>
      </c>
      <c r="K349" s="187">
        <v>9.25</v>
      </c>
      <c r="L349" s="192">
        <v>14.2</v>
      </c>
      <c r="M349" s="189">
        <v>1220</v>
      </c>
      <c r="N349" s="189">
        <v>194</v>
      </c>
      <c r="O349" s="189">
        <v>172</v>
      </c>
      <c r="P349" s="188">
        <v>5.96</v>
      </c>
      <c r="Q349" s="189">
        <v>443</v>
      </c>
      <c r="R349" s="192">
        <v>91.4</v>
      </c>
      <c r="S349" s="192">
        <v>59.5</v>
      </c>
      <c r="T349" s="188">
        <v>3.59</v>
      </c>
      <c r="U349" s="188">
        <v>8.02</v>
      </c>
      <c r="V349" s="189">
        <v>19900</v>
      </c>
      <c r="W349" s="185">
        <v>4.1500000000000004</v>
      </c>
      <c r="X349" s="185">
        <v>13.4</v>
      </c>
      <c r="AA349" s="39" t="str">
        <f t="shared" si="5"/>
        <v>HP</v>
      </c>
    </row>
    <row r="350" spans="1:27" x14ac:dyDescent="0.2">
      <c r="A350" s="185" t="s">
        <v>339</v>
      </c>
      <c r="B350" s="185" t="s">
        <v>351</v>
      </c>
      <c r="C350" s="14" t="s">
        <v>618</v>
      </c>
      <c r="D350" s="185">
        <v>102</v>
      </c>
      <c r="E350" s="186">
        <v>30.1</v>
      </c>
      <c r="F350" s="186">
        <v>14</v>
      </c>
      <c r="G350" s="186">
        <v>14.8</v>
      </c>
      <c r="H350" s="190">
        <v>0.70499999999999996</v>
      </c>
      <c r="I350" s="190">
        <v>0.70499999999999996</v>
      </c>
      <c r="J350" s="188">
        <v>1.38</v>
      </c>
      <c r="K350" s="186">
        <v>10.5</v>
      </c>
      <c r="L350" s="192">
        <v>16.2</v>
      </c>
      <c r="M350" s="189">
        <v>1050</v>
      </c>
      <c r="N350" s="189">
        <v>169</v>
      </c>
      <c r="O350" s="189">
        <v>150</v>
      </c>
      <c r="P350" s="188">
        <v>5.92</v>
      </c>
      <c r="Q350" s="189">
        <v>380</v>
      </c>
      <c r="R350" s="192">
        <v>78.8</v>
      </c>
      <c r="S350" s="192">
        <v>51.4</v>
      </c>
      <c r="T350" s="188">
        <v>3.56</v>
      </c>
      <c r="U350" s="188">
        <v>5.39</v>
      </c>
      <c r="V350" s="189">
        <v>16800</v>
      </c>
      <c r="W350" s="187">
        <v>4.0999999999999996</v>
      </c>
      <c r="X350" s="185">
        <v>13.3</v>
      </c>
      <c r="AA350" s="39" t="str">
        <f t="shared" si="5"/>
        <v>HP</v>
      </c>
    </row>
    <row r="351" spans="1:27" x14ac:dyDescent="0.2">
      <c r="A351" s="185" t="s">
        <v>339</v>
      </c>
      <c r="B351" s="185" t="s">
        <v>352</v>
      </c>
      <c r="C351" s="14" t="s">
        <v>618</v>
      </c>
      <c r="D351" s="186">
        <v>89</v>
      </c>
      <c r="E351" s="186">
        <v>26.1</v>
      </c>
      <c r="F351" s="186">
        <v>13.8</v>
      </c>
      <c r="G351" s="186">
        <v>14.7</v>
      </c>
      <c r="H351" s="190">
        <v>0.61499999999999999</v>
      </c>
      <c r="I351" s="190">
        <v>0.61499999999999999</v>
      </c>
      <c r="J351" s="188">
        <v>1.31</v>
      </c>
      <c r="K351" s="186">
        <v>11.9</v>
      </c>
      <c r="L351" s="192">
        <v>18.5</v>
      </c>
      <c r="M351" s="189">
        <v>904</v>
      </c>
      <c r="N351" s="189">
        <v>146</v>
      </c>
      <c r="O351" s="189">
        <v>131</v>
      </c>
      <c r="P351" s="188">
        <v>5.88</v>
      </c>
      <c r="Q351" s="189">
        <v>326</v>
      </c>
      <c r="R351" s="192">
        <v>67.7</v>
      </c>
      <c r="S351" s="192">
        <v>44.3</v>
      </c>
      <c r="T351" s="188">
        <v>3.53</v>
      </c>
      <c r="U351" s="188">
        <v>3.59</v>
      </c>
      <c r="V351" s="189">
        <v>14200</v>
      </c>
      <c r="W351" s="185">
        <v>4.05</v>
      </c>
      <c r="X351" s="185">
        <v>13.2</v>
      </c>
      <c r="AA351" s="39" t="str">
        <f t="shared" si="5"/>
        <v>HP</v>
      </c>
    </row>
    <row r="352" spans="1:27" x14ac:dyDescent="0.2">
      <c r="A352" s="185" t="s">
        <v>339</v>
      </c>
      <c r="B352" s="185" t="s">
        <v>353</v>
      </c>
      <c r="C352" s="14" t="s">
        <v>618</v>
      </c>
      <c r="D352" s="186">
        <v>73</v>
      </c>
      <c r="E352" s="186">
        <v>21.4</v>
      </c>
      <c r="F352" s="186">
        <v>13.6</v>
      </c>
      <c r="G352" s="186">
        <v>14.6</v>
      </c>
      <c r="H352" s="190">
        <v>0.505</v>
      </c>
      <c r="I352" s="190">
        <v>0.505</v>
      </c>
      <c r="J352" s="188">
        <v>1.19</v>
      </c>
      <c r="K352" s="186">
        <v>14.4</v>
      </c>
      <c r="L352" s="192">
        <v>22.6</v>
      </c>
      <c r="M352" s="189">
        <v>729</v>
      </c>
      <c r="N352" s="189">
        <v>118</v>
      </c>
      <c r="O352" s="189">
        <v>107</v>
      </c>
      <c r="P352" s="188">
        <v>5.84</v>
      </c>
      <c r="Q352" s="189">
        <v>261</v>
      </c>
      <c r="R352" s="192">
        <v>54.6</v>
      </c>
      <c r="S352" s="192">
        <v>35.799999999999997</v>
      </c>
      <c r="T352" s="188">
        <v>3.49</v>
      </c>
      <c r="U352" s="188">
        <v>2.0099999999999998</v>
      </c>
      <c r="V352" s="189">
        <v>11200</v>
      </c>
      <c r="W352" s="187">
        <v>4</v>
      </c>
      <c r="X352" s="185">
        <v>13.1</v>
      </c>
      <c r="AA352" s="39" t="str">
        <f t="shared" si="5"/>
        <v>HP</v>
      </c>
    </row>
    <row r="353" spans="1:27" x14ac:dyDescent="0.2">
      <c r="A353" s="185" t="s">
        <v>339</v>
      </c>
      <c r="B353" s="185" t="s">
        <v>354</v>
      </c>
      <c r="C353" s="14" t="s">
        <v>618</v>
      </c>
      <c r="D353" s="186">
        <v>89</v>
      </c>
      <c r="E353" s="21">
        <v>25.9</v>
      </c>
      <c r="F353" s="186">
        <v>12.4</v>
      </c>
      <c r="G353" s="186">
        <v>12.3</v>
      </c>
      <c r="H353" s="190">
        <v>0.72</v>
      </c>
      <c r="I353" s="190">
        <v>0.72</v>
      </c>
      <c r="J353" s="185">
        <v>1.32</v>
      </c>
      <c r="K353" s="20">
        <v>8.5399999999999991</v>
      </c>
      <c r="L353" s="21">
        <v>13.6</v>
      </c>
      <c r="M353" s="18">
        <v>693</v>
      </c>
      <c r="N353" s="19">
        <v>127</v>
      </c>
      <c r="O353" s="19">
        <v>112</v>
      </c>
      <c r="P353" s="187">
        <v>5.17</v>
      </c>
      <c r="Q353" s="19">
        <v>224</v>
      </c>
      <c r="R353" s="21">
        <v>56</v>
      </c>
      <c r="S353" s="21">
        <v>36.4</v>
      </c>
      <c r="T353" s="20">
        <v>2.94</v>
      </c>
      <c r="U353" s="20">
        <v>4.92</v>
      </c>
      <c r="V353" s="19">
        <v>7640</v>
      </c>
      <c r="W353" s="187">
        <v>3.42</v>
      </c>
      <c r="X353" s="186">
        <v>11.7</v>
      </c>
      <c r="AA353" s="39" t="str">
        <f t="shared" si="5"/>
        <v>HP</v>
      </c>
    </row>
    <row r="354" spans="1:27" x14ac:dyDescent="0.2">
      <c r="A354" s="185" t="s">
        <v>339</v>
      </c>
      <c r="B354" s="185" t="s">
        <v>355</v>
      </c>
      <c r="C354" s="14" t="s">
        <v>618</v>
      </c>
      <c r="D354" s="186">
        <v>84</v>
      </c>
      <c r="E354" s="186">
        <v>24.6</v>
      </c>
      <c r="F354" s="186">
        <v>12.3</v>
      </c>
      <c r="G354" s="186">
        <v>12.3</v>
      </c>
      <c r="H354" s="190">
        <v>0.68500000000000005</v>
      </c>
      <c r="I354" s="190">
        <v>0.68500000000000005</v>
      </c>
      <c r="J354" s="188">
        <v>1.38</v>
      </c>
      <c r="K354" s="187">
        <v>8.9700000000000006</v>
      </c>
      <c r="L354" s="192">
        <v>14.2</v>
      </c>
      <c r="M354" s="189">
        <v>650</v>
      </c>
      <c r="N354" s="189">
        <v>120</v>
      </c>
      <c r="O354" s="189">
        <v>106</v>
      </c>
      <c r="P354" s="188">
        <v>5.14</v>
      </c>
      <c r="Q354" s="189">
        <v>213</v>
      </c>
      <c r="R354" s="192">
        <v>53.2</v>
      </c>
      <c r="S354" s="192">
        <v>34.6</v>
      </c>
      <c r="T354" s="188">
        <v>2.94</v>
      </c>
      <c r="U354" s="188">
        <v>4.24</v>
      </c>
      <c r="V354" s="189">
        <v>7140</v>
      </c>
      <c r="W354" s="185">
        <v>3.41</v>
      </c>
      <c r="X354" s="185">
        <v>11.6</v>
      </c>
      <c r="AA354" s="39" t="str">
        <f t="shared" si="5"/>
        <v>HP</v>
      </c>
    </row>
    <row r="355" spans="1:27" x14ac:dyDescent="0.2">
      <c r="A355" s="185" t="s">
        <v>339</v>
      </c>
      <c r="B355" s="185" t="s">
        <v>356</v>
      </c>
      <c r="C355" s="14" t="s">
        <v>618</v>
      </c>
      <c r="D355" s="186">
        <v>74</v>
      </c>
      <c r="E355" s="186">
        <v>21.8</v>
      </c>
      <c r="F355" s="186">
        <v>12.1</v>
      </c>
      <c r="G355" s="186">
        <v>12.2</v>
      </c>
      <c r="H355" s="190">
        <v>0.60499999999999998</v>
      </c>
      <c r="I355" s="190">
        <v>0.61</v>
      </c>
      <c r="J355" s="188">
        <v>1.31</v>
      </c>
      <c r="K355" s="186">
        <v>10</v>
      </c>
      <c r="L355" s="192">
        <v>16.100000000000001</v>
      </c>
      <c r="M355" s="189">
        <v>569</v>
      </c>
      <c r="N355" s="189">
        <v>105</v>
      </c>
      <c r="O355" s="192">
        <v>93.8</v>
      </c>
      <c r="P355" s="188">
        <v>5.1100000000000003</v>
      </c>
      <c r="Q355" s="189">
        <v>186</v>
      </c>
      <c r="R355" s="192">
        <v>46.6</v>
      </c>
      <c r="S355" s="192">
        <v>30.4</v>
      </c>
      <c r="T355" s="188">
        <v>2.92</v>
      </c>
      <c r="U355" s="188">
        <v>2.98</v>
      </c>
      <c r="V355" s="189">
        <v>6160</v>
      </c>
      <c r="W355" s="185">
        <v>3.38</v>
      </c>
      <c r="X355" s="185">
        <v>11.5</v>
      </c>
      <c r="AA355" s="39" t="str">
        <f t="shared" si="5"/>
        <v>HP</v>
      </c>
    </row>
    <row r="356" spans="1:27" x14ac:dyDescent="0.2">
      <c r="A356" s="185" t="s">
        <v>339</v>
      </c>
      <c r="B356" s="185" t="s">
        <v>357</v>
      </c>
      <c r="C356" s="14" t="s">
        <v>618</v>
      </c>
      <c r="D356" s="186">
        <v>63</v>
      </c>
      <c r="E356" s="186">
        <v>18.399999999999999</v>
      </c>
      <c r="F356" s="186">
        <v>11.9</v>
      </c>
      <c r="G356" s="186">
        <v>12.1</v>
      </c>
      <c r="H356" s="190">
        <v>0.51500000000000001</v>
      </c>
      <c r="I356" s="190">
        <v>0.51500000000000001</v>
      </c>
      <c r="J356" s="188">
        <v>1.25</v>
      </c>
      <c r="K356" s="186">
        <v>11.8</v>
      </c>
      <c r="L356" s="192">
        <v>18.899999999999999</v>
      </c>
      <c r="M356" s="189">
        <v>472</v>
      </c>
      <c r="N356" s="192">
        <v>88.3</v>
      </c>
      <c r="O356" s="192">
        <v>79.099999999999994</v>
      </c>
      <c r="P356" s="188">
        <v>5.0599999999999996</v>
      </c>
      <c r="Q356" s="189">
        <v>153</v>
      </c>
      <c r="R356" s="192">
        <v>38.700000000000003</v>
      </c>
      <c r="S356" s="192">
        <v>25.3</v>
      </c>
      <c r="T356" s="188">
        <v>2.88</v>
      </c>
      <c r="U356" s="188">
        <v>1.83</v>
      </c>
      <c r="V356" s="189">
        <v>5000</v>
      </c>
      <c r="W356" s="185">
        <v>3.33</v>
      </c>
      <c r="X356" s="185">
        <v>11.4</v>
      </c>
      <c r="AA356" s="39" t="str">
        <f t="shared" si="5"/>
        <v>HP</v>
      </c>
    </row>
    <row r="357" spans="1:27" x14ac:dyDescent="0.2">
      <c r="A357" s="185" t="s">
        <v>339</v>
      </c>
      <c r="B357" s="185" t="s">
        <v>358</v>
      </c>
      <c r="C357" s="14" t="s">
        <v>618</v>
      </c>
      <c r="D357" s="186">
        <v>53</v>
      </c>
      <c r="E357" s="186">
        <v>15.5</v>
      </c>
      <c r="F357" s="186">
        <v>11.8</v>
      </c>
      <c r="G357" s="186">
        <v>12</v>
      </c>
      <c r="H357" s="190">
        <v>0.435</v>
      </c>
      <c r="I357" s="190">
        <v>0.435</v>
      </c>
      <c r="J357" s="188">
        <v>1.1299999999999999</v>
      </c>
      <c r="K357" s="186">
        <v>13.8</v>
      </c>
      <c r="L357" s="192">
        <v>22.3</v>
      </c>
      <c r="M357" s="189">
        <v>393</v>
      </c>
      <c r="N357" s="192">
        <v>74</v>
      </c>
      <c r="O357" s="192">
        <v>66.7</v>
      </c>
      <c r="P357" s="188">
        <v>5.03</v>
      </c>
      <c r="Q357" s="189">
        <v>127</v>
      </c>
      <c r="R357" s="192">
        <v>32.200000000000003</v>
      </c>
      <c r="S357" s="192">
        <v>21.1</v>
      </c>
      <c r="T357" s="188">
        <v>2.86</v>
      </c>
      <c r="U357" s="188">
        <v>1.1200000000000001</v>
      </c>
      <c r="V357" s="189">
        <v>4080</v>
      </c>
      <c r="W357" s="185">
        <v>3.29</v>
      </c>
      <c r="X357" s="185">
        <v>11.4</v>
      </c>
      <c r="AA357" s="39" t="str">
        <f t="shared" si="5"/>
        <v>HP</v>
      </c>
    </row>
    <row r="358" spans="1:27" x14ac:dyDescent="0.2">
      <c r="A358" s="185" t="s">
        <v>339</v>
      </c>
      <c r="B358" s="185" t="s">
        <v>359</v>
      </c>
      <c r="C358" s="14" t="s">
        <v>618</v>
      </c>
      <c r="D358" s="186">
        <v>57</v>
      </c>
      <c r="E358" s="186">
        <v>16.7</v>
      </c>
      <c r="F358" s="187">
        <v>9.99</v>
      </c>
      <c r="G358" s="186">
        <v>10.199999999999999</v>
      </c>
      <c r="H358" s="190">
        <v>0.56499999999999995</v>
      </c>
      <c r="I358" s="190">
        <v>0.56499999999999995</v>
      </c>
      <c r="J358" s="187">
        <v>1.25</v>
      </c>
      <c r="K358" s="187">
        <v>9.0299999999999994</v>
      </c>
      <c r="L358" s="186">
        <v>13.9</v>
      </c>
      <c r="M358" s="185">
        <v>294</v>
      </c>
      <c r="N358" s="186">
        <v>66.5</v>
      </c>
      <c r="O358" s="186">
        <v>58.8</v>
      </c>
      <c r="P358" s="187">
        <v>4.18</v>
      </c>
      <c r="Q358" s="185">
        <v>101</v>
      </c>
      <c r="R358" s="186">
        <v>30.3</v>
      </c>
      <c r="S358" s="186">
        <v>19.7</v>
      </c>
      <c r="T358" s="187">
        <v>2.4500000000000002</v>
      </c>
      <c r="U358" s="187">
        <v>1.97</v>
      </c>
      <c r="V358" s="185">
        <v>2240</v>
      </c>
      <c r="W358" s="185">
        <v>2.84</v>
      </c>
      <c r="X358" s="185">
        <v>9.43</v>
      </c>
      <c r="AA358" s="39" t="str">
        <f t="shared" si="5"/>
        <v>HP</v>
      </c>
    </row>
    <row r="359" spans="1:27" x14ac:dyDescent="0.2">
      <c r="A359" s="185" t="s">
        <v>339</v>
      </c>
      <c r="B359" s="185" t="s">
        <v>360</v>
      </c>
      <c r="C359" s="14" t="s">
        <v>618</v>
      </c>
      <c r="D359" s="186">
        <v>42</v>
      </c>
      <c r="E359" s="186">
        <v>12.4</v>
      </c>
      <c r="F359" s="187">
        <v>9.6999999999999993</v>
      </c>
      <c r="G359" s="186">
        <v>10.1</v>
      </c>
      <c r="H359" s="190">
        <v>0.41499999999999998</v>
      </c>
      <c r="I359" s="190">
        <v>0.42</v>
      </c>
      <c r="J359" s="187">
        <v>1.1299999999999999</v>
      </c>
      <c r="K359" s="186">
        <v>12</v>
      </c>
      <c r="L359" s="186">
        <v>18.899999999999999</v>
      </c>
      <c r="M359" s="185">
        <v>210</v>
      </c>
      <c r="N359" s="186">
        <v>48.3</v>
      </c>
      <c r="O359" s="186">
        <v>43.4</v>
      </c>
      <c r="P359" s="187">
        <v>4.13</v>
      </c>
      <c r="Q359" s="186">
        <v>71.7</v>
      </c>
      <c r="R359" s="186">
        <v>21.8</v>
      </c>
      <c r="S359" s="186">
        <v>14.2</v>
      </c>
      <c r="T359" s="187">
        <v>2.41</v>
      </c>
      <c r="U359" s="190">
        <v>0.81299999999999994</v>
      </c>
      <c r="V359" s="185">
        <v>1540</v>
      </c>
      <c r="W359" s="185">
        <v>2.77</v>
      </c>
      <c r="X359" s="185">
        <v>9.2799999999999994</v>
      </c>
      <c r="AA359" s="39" t="str">
        <f t="shared" si="5"/>
        <v>HP</v>
      </c>
    </row>
    <row r="360" spans="1:27" x14ac:dyDescent="0.2">
      <c r="A360" s="185" t="s">
        <v>339</v>
      </c>
      <c r="B360" s="185" t="s">
        <v>361</v>
      </c>
      <c r="C360" s="14" t="s">
        <v>618</v>
      </c>
      <c r="D360" s="186">
        <v>36</v>
      </c>
      <c r="E360" s="186">
        <v>10.6</v>
      </c>
      <c r="F360" s="187">
        <v>8.02</v>
      </c>
      <c r="G360" s="187">
        <v>8.16</v>
      </c>
      <c r="H360" s="190">
        <v>0.44500000000000001</v>
      </c>
      <c r="I360" s="190">
        <v>0.44500000000000001</v>
      </c>
      <c r="J360" s="187">
        <v>1.1299999999999999</v>
      </c>
      <c r="K360" s="187">
        <v>9.16</v>
      </c>
      <c r="L360" s="186">
        <v>14.2</v>
      </c>
      <c r="M360" s="185">
        <v>119</v>
      </c>
      <c r="N360" s="186">
        <v>33.6</v>
      </c>
      <c r="O360" s="186">
        <v>29.8</v>
      </c>
      <c r="P360" s="187">
        <v>3.36</v>
      </c>
      <c r="Q360" s="186">
        <v>40.299999999999997</v>
      </c>
      <c r="R360" s="186">
        <v>15.2</v>
      </c>
      <c r="S360" s="187">
        <v>9.8800000000000008</v>
      </c>
      <c r="T360" s="187">
        <v>1.95</v>
      </c>
      <c r="U360" s="190">
        <v>0.77</v>
      </c>
      <c r="V360" s="185">
        <v>578</v>
      </c>
      <c r="W360" s="185">
        <v>2.2599999999999998</v>
      </c>
      <c r="X360" s="185">
        <v>7.58</v>
      </c>
      <c r="AA360" s="39" t="str">
        <f t="shared" si="5"/>
        <v>HP</v>
      </c>
    </row>
    <row r="361" spans="1:27" x14ac:dyDescent="0.2">
      <c r="A361" s="2" t="s">
        <v>2</v>
      </c>
      <c r="B361" s="2" t="s">
        <v>365</v>
      </c>
      <c r="C361" s="2" t="s">
        <v>364</v>
      </c>
      <c r="D361" s="2">
        <v>800</v>
      </c>
      <c r="E361" s="2">
        <v>236</v>
      </c>
      <c r="F361" s="9">
        <v>42.6</v>
      </c>
      <c r="G361" s="9">
        <v>18</v>
      </c>
      <c r="H361" s="10">
        <v>2.38</v>
      </c>
      <c r="I361" s="10">
        <v>4.29</v>
      </c>
      <c r="J361" s="11">
        <v>5.24</v>
      </c>
      <c r="K361" s="11">
        <v>2.1</v>
      </c>
      <c r="L361" s="9">
        <v>13.5</v>
      </c>
      <c r="M361" s="2">
        <v>64700</v>
      </c>
      <c r="N361" s="2">
        <v>3650</v>
      </c>
      <c r="O361" s="2">
        <v>3040</v>
      </c>
      <c r="P361" s="9">
        <v>16.600000000000001</v>
      </c>
      <c r="Q361" s="2">
        <v>4200</v>
      </c>
      <c r="R361" s="2">
        <v>743</v>
      </c>
      <c r="S361" s="2">
        <v>467</v>
      </c>
      <c r="T361" s="10">
        <v>4.22</v>
      </c>
      <c r="U361" s="2">
        <v>1060</v>
      </c>
      <c r="V361" s="2">
        <v>1540000</v>
      </c>
      <c r="W361" s="188">
        <f t="shared" ref="W361:W424" si="6">SQRT((Q361*X361)/(2*O361))</f>
        <v>5.1443313206715313</v>
      </c>
      <c r="X361" s="192">
        <f t="shared" ref="X361:X424" si="7">F361-I361</f>
        <v>38.31</v>
      </c>
      <c r="AA361" s="39" t="str">
        <f t="shared" si="5"/>
        <v>W</v>
      </c>
    </row>
    <row r="362" spans="1:27" x14ac:dyDescent="0.2">
      <c r="A362" s="2" t="s">
        <v>310</v>
      </c>
      <c r="B362" s="2" t="s">
        <v>366</v>
      </c>
      <c r="C362" s="2" t="s">
        <v>364</v>
      </c>
      <c r="D362" s="9">
        <v>17.2</v>
      </c>
      <c r="E362" s="10">
        <v>5.0599999999999996</v>
      </c>
      <c r="F362" s="10">
        <v>6</v>
      </c>
      <c r="G362" s="10">
        <v>3.57</v>
      </c>
      <c r="H362" s="12">
        <v>0.46500000000000002</v>
      </c>
      <c r="I362" s="12">
        <v>0.35899999999999999</v>
      </c>
      <c r="J362" s="12">
        <v>0.81299999999999994</v>
      </c>
      <c r="K362" s="11">
        <v>4.97</v>
      </c>
      <c r="L362" s="10">
        <v>9.67</v>
      </c>
      <c r="M362" s="9">
        <v>26.2</v>
      </c>
      <c r="N362" s="9">
        <v>10.5</v>
      </c>
      <c r="O362" s="10">
        <v>8.74</v>
      </c>
      <c r="P362" s="10">
        <v>2.2799999999999998</v>
      </c>
      <c r="Q362" s="10">
        <v>2.29</v>
      </c>
      <c r="R362" s="10">
        <v>2.35</v>
      </c>
      <c r="S362" s="10">
        <v>1.28</v>
      </c>
      <c r="T362" s="12">
        <v>0.67300000000000004</v>
      </c>
      <c r="U362" s="12">
        <v>0.371</v>
      </c>
      <c r="V362" s="9">
        <v>18.2</v>
      </c>
      <c r="W362" s="188">
        <f t="shared" si="6"/>
        <v>0.85965674859240049</v>
      </c>
      <c r="X362" s="192">
        <f t="shared" si="7"/>
        <v>5.641</v>
      </c>
      <c r="AA362" s="39" t="str">
        <f t="shared" si="5"/>
        <v>S</v>
      </c>
    </row>
    <row r="363" spans="1:27" x14ac:dyDescent="0.2">
      <c r="A363" s="2" t="s">
        <v>2</v>
      </c>
      <c r="B363" s="2" t="s">
        <v>368</v>
      </c>
      <c r="C363" s="2" t="s">
        <v>367</v>
      </c>
      <c r="D363" s="2">
        <v>798</v>
      </c>
      <c r="E363" s="2">
        <v>235</v>
      </c>
      <c r="F363" s="2">
        <v>42</v>
      </c>
      <c r="G363" s="2">
        <v>18</v>
      </c>
      <c r="H363" s="2">
        <v>2.38</v>
      </c>
      <c r="I363" s="2">
        <v>4.29</v>
      </c>
      <c r="J363" s="2">
        <v>5.4375</v>
      </c>
      <c r="K363" s="2">
        <v>2.1</v>
      </c>
      <c r="L363" s="2">
        <v>13.2</v>
      </c>
      <c r="M363" s="2">
        <v>62600</v>
      </c>
      <c r="N363" s="2">
        <v>3580</v>
      </c>
      <c r="O363" s="2">
        <v>2980</v>
      </c>
      <c r="P363" s="2">
        <v>16.3</v>
      </c>
      <c r="Q363" s="2">
        <v>4200</v>
      </c>
      <c r="R363" s="2">
        <v>743</v>
      </c>
      <c r="S363" s="2">
        <v>467</v>
      </c>
      <c r="T363" s="2">
        <v>4.2300000000000004</v>
      </c>
      <c r="U363" s="2">
        <v>1050</v>
      </c>
      <c r="V363" s="2">
        <v>1490000</v>
      </c>
      <c r="W363" s="188">
        <f t="shared" si="6"/>
        <v>5.1550131982203018</v>
      </c>
      <c r="X363" s="192">
        <f t="shared" si="7"/>
        <v>37.71</v>
      </c>
      <c r="AA363" s="39" t="str">
        <f t="shared" si="5"/>
        <v>W</v>
      </c>
    </row>
    <row r="364" spans="1:27" x14ac:dyDescent="0.2">
      <c r="A364" s="2" t="s">
        <v>2</v>
      </c>
      <c r="B364" s="2" t="s">
        <v>369</v>
      </c>
      <c r="C364" s="2" t="s">
        <v>367</v>
      </c>
      <c r="D364" s="2">
        <v>650</v>
      </c>
      <c r="E364" s="2">
        <v>191</v>
      </c>
      <c r="F364" s="2">
        <v>40.5</v>
      </c>
      <c r="G364" s="2">
        <v>17.600000000000001</v>
      </c>
      <c r="H364" s="2">
        <v>1.97</v>
      </c>
      <c r="I364" s="2">
        <v>3.54</v>
      </c>
      <c r="J364" s="2">
        <v>4.6875</v>
      </c>
      <c r="K364" s="2">
        <v>2.48</v>
      </c>
      <c r="L364" s="2">
        <v>16</v>
      </c>
      <c r="M364" s="2">
        <v>48900</v>
      </c>
      <c r="N364" s="2">
        <v>2860</v>
      </c>
      <c r="O364" s="2">
        <v>2420</v>
      </c>
      <c r="P364" s="2">
        <v>16</v>
      </c>
      <c r="Q364" s="2">
        <v>3230</v>
      </c>
      <c r="R364" s="2">
        <v>580</v>
      </c>
      <c r="S364" s="2">
        <v>367</v>
      </c>
      <c r="T364" s="2">
        <v>4.1100000000000003</v>
      </c>
      <c r="U364" s="2">
        <v>591</v>
      </c>
      <c r="V364" s="2">
        <v>1100000</v>
      </c>
      <c r="W364" s="188">
        <f t="shared" si="6"/>
        <v>4.9664327787109483</v>
      </c>
      <c r="X364" s="192">
        <f t="shared" si="7"/>
        <v>36.96</v>
      </c>
      <c r="AA364" s="39" t="str">
        <f t="shared" si="5"/>
        <v>W</v>
      </c>
    </row>
    <row r="365" spans="1:27" x14ac:dyDescent="0.2">
      <c r="A365" s="2" t="s">
        <v>2</v>
      </c>
      <c r="B365" s="2" t="s">
        <v>370</v>
      </c>
      <c r="C365" s="2" t="s">
        <v>367</v>
      </c>
      <c r="D365" s="2">
        <v>527</v>
      </c>
      <c r="E365" s="2">
        <v>155</v>
      </c>
      <c r="F365" s="2">
        <v>39.200000000000003</v>
      </c>
      <c r="G365" s="2">
        <v>17.2</v>
      </c>
      <c r="H365" s="2">
        <v>1.61</v>
      </c>
      <c r="I365" s="2">
        <v>2.91</v>
      </c>
      <c r="J365" s="2">
        <v>4.0625</v>
      </c>
      <c r="K365" s="2">
        <v>2.96</v>
      </c>
      <c r="L365" s="2">
        <v>19.600000000000001</v>
      </c>
      <c r="M365" s="2">
        <v>38300</v>
      </c>
      <c r="N365" s="2">
        <v>2280</v>
      </c>
      <c r="O365" s="2">
        <v>1950</v>
      </c>
      <c r="P365" s="2">
        <v>15.7</v>
      </c>
      <c r="Q365" s="2">
        <v>2490</v>
      </c>
      <c r="R365" s="2">
        <v>454</v>
      </c>
      <c r="S365" s="2">
        <v>289</v>
      </c>
      <c r="T365" s="2">
        <v>4.01</v>
      </c>
      <c r="U365" s="2">
        <v>327</v>
      </c>
      <c r="V365" s="2">
        <v>820000</v>
      </c>
      <c r="W365" s="188">
        <f t="shared" si="6"/>
        <v>4.8134986476334696</v>
      </c>
      <c r="X365" s="192">
        <f t="shared" si="7"/>
        <v>36.290000000000006</v>
      </c>
      <c r="AA365" s="39" t="str">
        <f t="shared" si="5"/>
        <v>W</v>
      </c>
    </row>
    <row r="366" spans="1:27" x14ac:dyDescent="0.2">
      <c r="A366" s="2" t="s">
        <v>2</v>
      </c>
      <c r="B366" s="2" t="s">
        <v>371</v>
      </c>
      <c r="C366" s="2" t="s">
        <v>367</v>
      </c>
      <c r="D366" s="2">
        <v>439</v>
      </c>
      <c r="E366" s="2">
        <v>129</v>
      </c>
      <c r="F366" s="2">
        <v>38.299999999999997</v>
      </c>
      <c r="G366" s="2">
        <v>17</v>
      </c>
      <c r="H366" s="2">
        <v>1.36</v>
      </c>
      <c r="I366" s="2">
        <v>2.44</v>
      </c>
      <c r="J366" s="2">
        <v>3.5625</v>
      </c>
      <c r="K366" s="2">
        <v>3.48</v>
      </c>
      <c r="L366" s="2">
        <v>23.1</v>
      </c>
      <c r="M366" s="2">
        <v>31000</v>
      </c>
      <c r="N366" s="2">
        <v>1870</v>
      </c>
      <c r="O366" s="2">
        <v>1620</v>
      </c>
      <c r="P366" s="2">
        <v>15.5</v>
      </c>
      <c r="Q366" s="2">
        <v>1990</v>
      </c>
      <c r="R366" s="2">
        <v>367</v>
      </c>
      <c r="S366" s="2">
        <v>235</v>
      </c>
      <c r="T366" s="2">
        <v>3.93</v>
      </c>
      <c r="U366" s="2">
        <v>193</v>
      </c>
      <c r="V366" s="2">
        <v>638000</v>
      </c>
      <c r="W366" s="188">
        <f t="shared" si="6"/>
        <v>4.6930931651513292</v>
      </c>
      <c r="X366" s="192">
        <f t="shared" si="7"/>
        <v>35.86</v>
      </c>
      <c r="AA366" s="39" t="str">
        <f t="shared" si="5"/>
        <v>W</v>
      </c>
    </row>
    <row r="367" spans="1:27" x14ac:dyDescent="0.2">
      <c r="A367" s="2" t="s">
        <v>2</v>
      </c>
      <c r="B367" s="2" t="s">
        <v>372</v>
      </c>
      <c r="C367" s="2" t="s">
        <v>367</v>
      </c>
      <c r="D367" s="2">
        <v>393</v>
      </c>
      <c r="E367" s="2">
        <v>116</v>
      </c>
      <c r="F367" s="2">
        <v>37.799999999999997</v>
      </c>
      <c r="G367" s="2">
        <v>16.8</v>
      </c>
      <c r="H367" s="2">
        <v>1.22</v>
      </c>
      <c r="I367" s="2">
        <v>2.2000000000000002</v>
      </c>
      <c r="J367" s="2">
        <v>3.3125</v>
      </c>
      <c r="K367" s="2">
        <v>3.82</v>
      </c>
      <c r="L367" s="2">
        <v>25.8</v>
      </c>
      <c r="M367" s="2">
        <v>27500</v>
      </c>
      <c r="N367" s="2">
        <v>1670</v>
      </c>
      <c r="O367" s="2">
        <v>1450</v>
      </c>
      <c r="P367" s="2">
        <v>15.4</v>
      </c>
      <c r="Q367" s="2">
        <v>1750</v>
      </c>
      <c r="R367" s="2">
        <v>325</v>
      </c>
      <c r="S367" s="2">
        <v>208</v>
      </c>
      <c r="T367" s="2">
        <v>3.9</v>
      </c>
      <c r="U367" s="2">
        <v>141</v>
      </c>
      <c r="V367" s="2">
        <v>554000</v>
      </c>
      <c r="W367" s="188">
        <f t="shared" si="6"/>
        <v>4.6349496891217328</v>
      </c>
      <c r="X367" s="192">
        <f t="shared" si="7"/>
        <v>35.599999999999994</v>
      </c>
      <c r="AA367" s="39" t="str">
        <f t="shared" si="5"/>
        <v>W</v>
      </c>
    </row>
    <row r="368" spans="1:27" x14ac:dyDescent="0.2">
      <c r="A368" s="2" t="s">
        <v>2</v>
      </c>
      <c r="B368" s="2" t="s">
        <v>373</v>
      </c>
      <c r="C368" s="2" t="s">
        <v>367</v>
      </c>
      <c r="D368" s="2">
        <v>359</v>
      </c>
      <c r="E368" s="2">
        <v>105</v>
      </c>
      <c r="F368" s="2">
        <v>37.4</v>
      </c>
      <c r="G368" s="2">
        <v>16.7</v>
      </c>
      <c r="H368" s="2">
        <v>1.1200000000000001</v>
      </c>
      <c r="I368" s="2">
        <v>2.0099999999999998</v>
      </c>
      <c r="J368" s="2">
        <v>3.125</v>
      </c>
      <c r="K368" s="2">
        <v>4.16</v>
      </c>
      <c r="L368" s="2">
        <v>28.1</v>
      </c>
      <c r="M368" s="2">
        <v>24800</v>
      </c>
      <c r="N368" s="2">
        <v>1510</v>
      </c>
      <c r="O368" s="2">
        <v>1320</v>
      </c>
      <c r="P368" s="2">
        <v>15.3</v>
      </c>
      <c r="Q368" s="2">
        <v>1570</v>
      </c>
      <c r="R368" s="2">
        <v>292</v>
      </c>
      <c r="S368" s="2">
        <v>188</v>
      </c>
      <c r="T368" s="2">
        <v>3.86</v>
      </c>
      <c r="U368" s="2">
        <v>108</v>
      </c>
      <c r="V368" s="2">
        <v>492000</v>
      </c>
      <c r="W368" s="188">
        <f t="shared" si="6"/>
        <v>4.5876274649949247</v>
      </c>
      <c r="X368" s="192">
        <f t="shared" si="7"/>
        <v>35.39</v>
      </c>
      <c r="AA368" s="39" t="str">
        <f t="shared" si="5"/>
        <v>W</v>
      </c>
    </row>
    <row r="369" spans="1:27" x14ac:dyDescent="0.2">
      <c r="A369" s="2" t="s">
        <v>2</v>
      </c>
      <c r="B369" s="2" t="s">
        <v>374</v>
      </c>
      <c r="C369" s="2" t="s">
        <v>367</v>
      </c>
      <c r="D369" s="2">
        <v>328</v>
      </c>
      <c r="E369" s="2">
        <v>96.4</v>
      </c>
      <c r="F369" s="2">
        <v>37.1</v>
      </c>
      <c r="G369" s="2">
        <v>16.600000000000001</v>
      </c>
      <c r="H369" s="2">
        <v>1.02</v>
      </c>
      <c r="I369" s="2">
        <v>1.85</v>
      </c>
      <c r="J369" s="2">
        <v>3</v>
      </c>
      <c r="K369" s="2">
        <v>4.49</v>
      </c>
      <c r="L369" s="2">
        <v>30.9</v>
      </c>
      <c r="M369" s="2">
        <v>22500</v>
      </c>
      <c r="N369" s="2">
        <v>1380</v>
      </c>
      <c r="O369" s="2">
        <v>1210</v>
      </c>
      <c r="P369" s="2">
        <v>15.3</v>
      </c>
      <c r="Q369" s="2">
        <v>1420</v>
      </c>
      <c r="R369" s="2">
        <v>265</v>
      </c>
      <c r="S369" s="2">
        <v>171</v>
      </c>
      <c r="T369" s="2">
        <v>3.84</v>
      </c>
      <c r="U369" s="2">
        <v>84.1</v>
      </c>
      <c r="V369" s="2">
        <v>441000</v>
      </c>
      <c r="W369" s="188">
        <f t="shared" si="6"/>
        <v>4.5479538583324102</v>
      </c>
      <c r="X369" s="192">
        <f t="shared" si="7"/>
        <v>35.25</v>
      </c>
      <c r="AA369" s="39" t="str">
        <f t="shared" si="5"/>
        <v>W</v>
      </c>
    </row>
    <row r="370" spans="1:27" x14ac:dyDescent="0.2">
      <c r="A370" s="2" t="s">
        <v>2</v>
      </c>
      <c r="B370" s="2" t="s">
        <v>375</v>
      </c>
      <c r="C370" s="2" t="s">
        <v>367</v>
      </c>
      <c r="D370" s="2">
        <v>300</v>
      </c>
      <c r="E370" s="2">
        <v>88.3</v>
      </c>
      <c r="F370" s="2">
        <v>36.700000000000003</v>
      </c>
      <c r="G370" s="2">
        <v>16.7</v>
      </c>
      <c r="H370" s="2">
        <v>0.94499999999999995</v>
      </c>
      <c r="I370" s="2">
        <v>1.68</v>
      </c>
      <c r="J370" s="2">
        <v>2.8125</v>
      </c>
      <c r="K370" s="2">
        <v>4.96</v>
      </c>
      <c r="L370" s="2">
        <v>33.299999999999997</v>
      </c>
      <c r="M370" s="2">
        <v>20300</v>
      </c>
      <c r="N370" s="2">
        <v>1260</v>
      </c>
      <c r="O370" s="2">
        <v>1110</v>
      </c>
      <c r="P370" s="2">
        <v>15.2</v>
      </c>
      <c r="Q370" s="2">
        <v>1300</v>
      </c>
      <c r="R370" s="2">
        <v>241</v>
      </c>
      <c r="S370" s="2">
        <v>156</v>
      </c>
      <c r="T370" s="2">
        <v>3.83</v>
      </c>
      <c r="U370" s="2">
        <v>64.2</v>
      </c>
      <c r="V370" s="2">
        <v>399000</v>
      </c>
      <c r="W370" s="188">
        <f t="shared" si="6"/>
        <v>4.5284884020175218</v>
      </c>
      <c r="X370" s="192">
        <f t="shared" si="7"/>
        <v>35.020000000000003</v>
      </c>
      <c r="AA370" s="39" t="str">
        <f t="shared" si="5"/>
        <v>W</v>
      </c>
    </row>
    <row r="371" spans="1:27" x14ac:dyDescent="0.2">
      <c r="A371" s="2" t="s">
        <v>2</v>
      </c>
      <c r="B371" s="2" t="s">
        <v>376</v>
      </c>
      <c r="C371" s="2" t="s">
        <v>367</v>
      </c>
      <c r="D371" s="2">
        <v>280</v>
      </c>
      <c r="E371" s="2">
        <v>82.4</v>
      </c>
      <c r="F371" s="2">
        <v>36.5</v>
      </c>
      <c r="G371" s="2">
        <v>16.600000000000001</v>
      </c>
      <c r="H371" s="2">
        <v>0.88500000000000001</v>
      </c>
      <c r="I371" s="2">
        <v>1.57</v>
      </c>
      <c r="J371" s="2">
        <v>2.6875</v>
      </c>
      <c r="K371" s="2">
        <v>5.29</v>
      </c>
      <c r="L371" s="2">
        <v>35.6</v>
      </c>
      <c r="M371" s="2">
        <v>18900</v>
      </c>
      <c r="N371" s="2">
        <v>1170</v>
      </c>
      <c r="O371" s="2">
        <v>1030</v>
      </c>
      <c r="P371" s="2">
        <v>15.1</v>
      </c>
      <c r="Q371" s="2">
        <v>1200</v>
      </c>
      <c r="R371" s="2">
        <v>223</v>
      </c>
      <c r="S371" s="2">
        <v>144</v>
      </c>
      <c r="T371" s="2">
        <v>3.81</v>
      </c>
      <c r="U371" s="2">
        <v>52.6</v>
      </c>
      <c r="V371" s="2">
        <v>366000</v>
      </c>
      <c r="W371" s="188">
        <f t="shared" si="6"/>
        <v>4.5108283957089279</v>
      </c>
      <c r="X371" s="192">
        <f t="shared" si="7"/>
        <v>34.93</v>
      </c>
      <c r="AA371" s="39" t="str">
        <f t="shared" si="5"/>
        <v>W</v>
      </c>
    </row>
    <row r="372" spans="1:27" x14ac:dyDescent="0.2">
      <c r="A372" s="2" t="s">
        <v>2</v>
      </c>
      <c r="B372" s="2" t="s">
        <v>377</v>
      </c>
      <c r="C372" s="2" t="s">
        <v>367</v>
      </c>
      <c r="D372" s="2">
        <v>260</v>
      </c>
      <c r="E372" s="2">
        <v>76.5</v>
      </c>
      <c r="F372" s="2">
        <v>36.299999999999997</v>
      </c>
      <c r="G372" s="2">
        <v>16.600000000000001</v>
      </c>
      <c r="H372" s="2">
        <v>0.84</v>
      </c>
      <c r="I372" s="2">
        <v>1.44</v>
      </c>
      <c r="J372" s="2">
        <v>2.5625</v>
      </c>
      <c r="K372" s="2">
        <v>5.75</v>
      </c>
      <c r="L372" s="2">
        <v>37.5</v>
      </c>
      <c r="M372" s="2">
        <v>17300</v>
      </c>
      <c r="N372" s="2">
        <v>1080</v>
      </c>
      <c r="O372" s="2">
        <v>953</v>
      </c>
      <c r="P372" s="2">
        <v>15</v>
      </c>
      <c r="Q372" s="2">
        <v>1090</v>
      </c>
      <c r="R372" s="2">
        <v>204</v>
      </c>
      <c r="S372" s="2">
        <v>132</v>
      </c>
      <c r="T372" s="2">
        <v>3.78</v>
      </c>
      <c r="U372" s="2">
        <v>41.5</v>
      </c>
      <c r="V372" s="2">
        <v>330000</v>
      </c>
      <c r="W372" s="188">
        <f t="shared" si="6"/>
        <v>4.4649386121282175</v>
      </c>
      <c r="X372" s="192">
        <f t="shared" si="7"/>
        <v>34.86</v>
      </c>
      <c r="AA372" s="39" t="str">
        <f t="shared" si="5"/>
        <v>W</v>
      </c>
    </row>
    <row r="373" spans="1:27" x14ac:dyDescent="0.2">
      <c r="A373" s="2" t="s">
        <v>2</v>
      </c>
      <c r="B373" s="2" t="s">
        <v>378</v>
      </c>
      <c r="C373" s="2" t="s">
        <v>367</v>
      </c>
      <c r="D373" s="2">
        <v>245</v>
      </c>
      <c r="E373" s="2">
        <v>72.099999999999994</v>
      </c>
      <c r="F373" s="2">
        <v>36.1</v>
      </c>
      <c r="G373" s="2">
        <v>16.5</v>
      </c>
      <c r="H373" s="2">
        <v>0.8</v>
      </c>
      <c r="I373" s="2">
        <v>1.35</v>
      </c>
      <c r="J373" s="2">
        <v>2.5</v>
      </c>
      <c r="K373" s="2">
        <v>6.11</v>
      </c>
      <c r="L373" s="2">
        <v>39.4</v>
      </c>
      <c r="M373" s="2">
        <v>16100</v>
      </c>
      <c r="N373" s="2">
        <v>1010</v>
      </c>
      <c r="O373" s="2">
        <v>895</v>
      </c>
      <c r="P373" s="2">
        <v>15</v>
      </c>
      <c r="Q373" s="2">
        <v>1010</v>
      </c>
      <c r="R373" s="2">
        <v>190</v>
      </c>
      <c r="S373" s="2">
        <v>123</v>
      </c>
      <c r="T373" s="2">
        <v>3.75</v>
      </c>
      <c r="U373" s="2">
        <v>34.6</v>
      </c>
      <c r="V373" s="2">
        <v>305000</v>
      </c>
      <c r="W373" s="188">
        <f t="shared" si="6"/>
        <v>4.4280404130316313</v>
      </c>
      <c r="X373" s="192">
        <f t="shared" si="7"/>
        <v>34.75</v>
      </c>
      <c r="AA373" s="39" t="str">
        <f t="shared" si="5"/>
        <v>W</v>
      </c>
    </row>
    <row r="374" spans="1:27" x14ac:dyDescent="0.2">
      <c r="A374" s="2" t="s">
        <v>2</v>
      </c>
      <c r="B374" s="2" t="s">
        <v>379</v>
      </c>
      <c r="C374" s="2" t="s">
        <v>367</v>
      </c>
      <c r="D374" s="2">
        <v>230</v>
      </c>
      <c r="E374" s="2">
        <v>67.599999999999994</v>
      </c>
      <c r="F374" s="2">
        <v>35.9</v>
      </c>
      <c r="G374" s="2">
        <v>16.5</v>
      </c>
      <c r="H374" s="2">
        <v>0.76</v>
      </c>
      <c r="I374" s="2">
        <v>1.26</v>
      </c>
      <c r="J374" s="2">
        <v>2.375</v>
      </c>
      <c r="K374" s="2">
        <v>6.54</v>
      </c>
      <c r="L374" s="2">
        <v>41.4</v>
      </c>
      <c r="M374" s="2">
        <v>15000</v>
      </c>
      <c r="N374" s="2">
        <v>943</v>
      </c>
      <c r="O374" s="2">
        <v>837</v>
      </c>
      <c r="P374" s="2">
        <v>14.9</v>
      </c>
      <c r="Q374" s="2">
        <v>940</v>
      </c>
      <c r="R374" s="2">
        <v>176</v>
      </c>
      <c r="S374" s="2">
        <v>114</v>
      </c>
      <c r="T374" s="2">
        <v>3.73</v>
      </c>
      <c r="U374" s="2">
        <v>28.6</v>
      </c>
      <c r="V374" s="2">
        <v>282000</v>
      </c>
      <c r="W374" s="188">
        <f t="shared" si="6"/>
        <v>4.4103711810458499</v>
      </c>
      <c r="X374" s="192">
        <f t="shared" si="7"/>
        <v>34.64</v>
      </c>
      <c r="AA374" s="39" t="str">
        <f t="shared" si="5"/>
        <v>W</v>
      </c>
    </row>
    <row r="375" spans="1:27" x14ac:dyDescent="0.2">
      <c r="A375" s="2" t="s">
        <v>2</v>
      </c>
      <c r="B375" s="2" t="s">
        <v>381</v>
      </c>
      <c r="C375" s="2" t="s">
        <v>380</v>
      </c>
      <c r="D375" s="22">
        <v>321</v>
      </c>
      <c r="E375" s="10">
        <v>94.1</v>
      </c>
      <c r="F375" s="10">
        <v>40.08</v>
      </c>
      <c r="G375" s="10">
        <v>15.91</v>
      </c>
      <c r="H375" s="10">
        <v>1</v>
      </c>
      <c r="I375" s="10">
        <v>1.77</v>
      </c>
      <c r="J375" s="23">
        <v>2.9375</v>
      </c>
      <c r="K375" s="10">
        <v>4.5</v>
      </c>
      <c r="L375" s="10">
        <v>34.200000000000003</v>
      </c>
      <c r="M375" s="9">
        <v>25100</v>
      </c>
      <c r="N375" s="9">
        <v>1420</v>
      </c>
      <c r="O375" s="9">
        <v>1250</v>
      </c>
      <c r="P375" s="10">
        <v>16.3</v>
      </c>
      <c r="Q375" s="9">
        <v>1190</v>
      </c>
      <c r="R375" s="9">
        <v>234</v>
      </c>
      <c r="S375" s="9">
        <v>150</v>
      </c>
      <c r="T375" s="10">
        <v>3.56</v>
      </c>
      <c r="U375" s="10">
        <v>75.400000000000006</v>
      </c>
      <c r="V375" s="22">
        <v>437000</v>
      </c>
      <c r="W375" s="188">
        <f t="shared" si="6"/>
        <v>4.2703114640503674</v>
      </c>
      <c r="X375" s="192">
        <f t="shared" si="7"/>
        <v>38.309999999999995</v>
      </c>
      <c r="AA375" s="39" t="str">
        <f t="shared" si="5"/>
        <v>W</v>
      </c>
    </row>
    <row r="376" spans="1:27" x14ac:dyDescent="0.2">
      <c r="A376" s="2" t="s">
        <v>2</v>
      </c>
      <c r="B376" s="2" t="s">
        <v>382</v>
      </c>
      <c r="C376" s="2" t="s">
        <v>380</v>
      </c>
      <c r="D376" s="22">
        <v>174</v>
      </c>
      <c r="E376" s="10">
        <v>51.1</v>
      </c>
      <c r="F376" s="10">
        <v>38.200000000000003</v>
      </c>
      <c r="G376" s="10">
        <v>15.75</v>
      </c>
      <c r="H376" s="10">
        <v>0.65</v>
      </c>
      <c r="I376" s="10">
        <v>0.83</v>
      </c>
      <c r="J376" s="10">
        <v>2</v>
      </c>
      <c r="K376" s="10">
        <v>9.5</v>
      </c>
      <c r="L376" s="10">
        <v>52.6</v>
      </c>
      <c r="M376" s="9">
        <v>12200</v>
      </c>
      <c r="N376" s="9">
        <v>715</v>
      </c>
      <c r="O376" s="9">
        <v>639</v>
      </c>
      <c r="P376" s="10">
        <v>15.5</v>
      </c>
      <c r="Q376" s="9">
        <v>541</v>
      </c>
      <c r="R376" s="9">
        <v>107</v>
      </c>
      <c r="S376" s="9">
        <v>68.8</v>
      </c>
      <c r="T376" s="10">
        <v>3.26</v>
      </c>
      <c r="U376" s="10">
        <v>11.2</v>
      </c>
      <c r="V376" s="22">
        <v>189000</v>
      </c>
      <c r="W376" s="188">
        <f t="shared" si="6"/>
        <v>3.9773586519995114</v>
      </c>
      <c r="X376" s="192">
        <f t="shared" si="7"/>
        <v>37.370000000000005</v>
      </c>
      <c r="AA376" s="39" t="str">
        <f t="shared" si="5"/>
        <v>W</v>
      </c>
    </row>
    <row r="377" spans="1:27" x14ac:dyDescent="0.2">
      <c r="A377" s="2" t="s">
        <v>2</v>
      </c>
      <c r="B377" s="2" t="s">
        <v>383</v>
      </c>
      <c r="C377" s="2" t="s">
        <v>380</v>
      </c>
      <c r="D377" s="22">
        <v>466</v>
      </c>
      <c r="E377" s="10">
        <v>137</v>
      </c>
      <c r="F377" s="10">
        <v>42.44</v>
      </c>
      <c r="G377" s="10">
        <v>12.64</v>
      </c>
      <c r="H377" s="10">
        <v>1.67</v>
      </c>
      <c r="I377" s="10">
        <v>2.95</v>
      </c>
      <c r="J377" s="12">
        <v>4.125</v>
      </c>
      <c r="K377" s="10">
        <v>2.1</v>
      </c>
      <c r="L377" s="10">
        <v>20.5</v>
      </c>
      <c r="M377" s="9">
        <v>36300</v>
      </c>
      <c r="N377" s="9">
        <v>2050</v>
      </c>
      <c r="O377" s="9">
        <v>1710</v>
      </c>
      <c r="P377" s="10">
        <v>16.3</v>
      </c>
      <c r="Q377" s="9">
        <v>1010</v>
      </c>
      <c r="R377" s="9">
        <v>262</v>
      </c>
      <c r="S377" s="9">
        <v>160</v>
      </c>
      <c r="T377" s="10">
        <v>2.72</v>
      </c>
      <c r="U377" s="10">
        <v>277</v>
      </c>
      <c r="V377" s="22">
        <v>393000</v>
      </c>
      <c r="W377" s="188">
        <f t="shared" si="6"/>
        <v>3.4150038743738347</v>
      </c>
      <c r="X377" s="192">
        <f t="shared" si="7"/>
        <v>39.489999999999995</v>
      </c>
      <c r="AA377" s="39" t="str">
        <f t="shared" si="5"/>
        <v>W</v>
      </c>
    </row>
    <row r="378" spans="1:27" x14ac:dyDescent="0.2">
      <c r="A378" s="2" t="s">
        <v>2</v>
      </c>
      <c r="B378" s="2" t="s">
        <v>384</v>
      </c>
      <c r="C378" s="2" t="s">
        <v>380</v>
      </c>
      <c r="D378" s="22">
        <v>848</v>
      </c>
      <c r="E378" s="10">
        <v>249</v>
      </c>
      <c r="F378" s="10">
        <v>42.45</v>
      </c>
      <c r="G378" s="10">
        <v>18.13</v>
      </c>
      <c r="H378" s="10">
        <v>2.52</v>
      </c>
      <c r="I378" s="10">
        <v>4.53</v>
      </c>
      <c r="J378" s="10">
        <v>5.6875</v>
      </c>
      <c r="K378" s="10">
        <v>2</v>
      </c>
      <c r="L378" s="10">
        <v>12.5</v>
      </c>
      <c r="M378" s="9">
        <v>67400</v>
      </c>
      <c r="N378" s="9">
        <v>3830</v>
      </c>
      <c r="O378" s="9">
        <v>3170</v>
      </c>
      <c r="P378" s="10">
        <v>16.399999999999999</v>
      </c>
      <c r="Q378" s="9">
        <v>4550</v>
      </c>
      <c r="R378" s="9">
        <v>799</v>
      </c>
      <c r="S378" s="9">
        <v>501</v>
      </c>
      <c r="T378" s="10">
        <v>4.2699999999999996</v>
      </c>
      <c r="U378" s="10">
        <v>1270</v>
      </c>
      <c r="V378" s="22">
        <v>1620000</v>
      </c>
      <c r="W378" s="188">
        <f t="shared" si="6"/>
        <v>5.2166924507951364</v>
      </c>
      <c r="X378" s="192">
        <f t="shared" si="7"/>
        <v>37.92</v>
      </c>
      <c r="AA378" s="39" t="str">
        <f t="shared" si="5"/>
        <v>W</v>
      </c>
    </row>
    <row r="379" spans="1:27" x14ac:dyDescent="0.2">
      <c r="A379" s="2" t="s">
        <v>2</v>
      </c>
      <c r="B379" s="2" t="s">
        <v>385</v>
      </c>
      <c r="C379" s="2" t="s">
        <v>380</v>
      </c>
      <c r="D379" s="22">
        <v>477</v>
      </c>
      <c r="E379" s="10">
        <v>140</v>
      </c>
      <c r="F379" s="10">
        <v>34.21</v>
      </c>
      <c r="G379" s="10">
        <v>15.865</v>
      </c>
      <c r="H379" s="10">
        <v>1.63</v>
      </c>
      <c r="I379" s="10">
        <v>2.95</v>
      </c>
      <c r="J379" s="10">
        <v>3.75</v>
      </c>
      <c r="K379" s="10">
        <v>2.7</v>
      </c>
      <c r="L379" s="10">
        <v>16.600000000000001</v>
      </c>
      <c r="M379" s="9">
        <v>26100</v>
      </c>
      <c r="N379" s="9">
        <v>1790</v>
      </c>
      <c r="O379" s="9">
        <v>1530</v>
      </c>
      <c r="P379" s="10">
        <v>13.7</v>
      </c>
      <c r="Q379" s="9">
        <v>1970</v>
      </c>
      <c r="R379" s="9">
        <v>390</v>
      </c>
      <c r="S379" s="9">
        <v>249</v>
      </c>
      <c r="T379" s="10">
        <v>3.75</v>
      </c>
      <c r="U379" s="10">
        <v>307</v>
      </c>
      <c r="V379" s="22">
        <v>480000</v>
      </c>
      <c r="W379" s="188">
        <f t="shared" si="6"/>
        <v>4.4860786841945064</v>
      </c>
      <c r="X379" s="192">
        <f t="shared" si="7"/>
        <v>31.26</v>
      </c>
      <c r="AA379" s="39" t="str">
        <f t="shared" si="5"/>
        <v>W</v>
      </c>
    </row>
    <row r="380" spans="1:27" x14ac:dyDescent="0.2">
      <c r="A380" s="2" t="s">
        <v>2</v>
      </c>
      <c r="B380" s="2" t="s">
        <v>386</v>
      </c>
      <c r="C380" s="2" t="s">
        <v>380</v>
      </c>
      <c r="D380" s="22">
        <v>448</v>
      </c>
      <c r="E380" s="10">
        <v>131</v>
      </c>
      <c r="F380" s="10">
        <v>31.42</v>
      </c>
      <c r="G380" s="10">
        <v>14.94</v>
      </c>
      <c r="H380" s="10">
        <v>1.65</v>
      </c>
      <c r="I380" s="10">
        <v>2.99</v>
      </c>
      <c r="J380" s="10">
        <v>3.6875</v>
      </c>
      <c r="K380" s="10">
        <v>2.5</v>
      </c>
      <c r="L380" s="10">
        <v>14.7</v>
      </c>
      <c r="M380" s="9">
        <v>20400</v>
      </c>
      <c r="N380" s="9">
        <v>1530</v>
      </c>
      <c r="O380" s="9">
        <v>1300</v>
      </c>
      <c r="P380" s="10">
        <v>12.5</v>
      </c>
      <c r="Q380" s="9">
        <v>1670</v>
      </c>
      <c r="R380" s="9">
        <v>351</v>
      </c>
      <c r="S380" s="9">
        <v>224</v>
      </c>
      <c r="T380" s="10">
        <v>3.57</v>
      </c>
      <c r="U380" s="10">
        <v>297</v>
      </c>
      <c r="V380" s="22">
        <v>336000</v>
      </c>
      <c r="W380" s="188">
        <f t="shared" si="6"/>
        <v>4.2732666301446356</v>
      </c>
      <c r="X380" s="192">
        <f t="shared" si="7"/>
        <v>28.43</v>
      </c>
      <c r="AA380" s="39" t="str">
        <f t="shared" si="5"/>
        <v>W</v>
      </c>
    </row>
    <row r="381" spans="1:27" x14ac:dyDescent="0.2">
      <c r="A381" s="2" t="s">
        <v>2</v>
      </c>
      <c r="B381" s="2" t="s">
        <v>387</v>
      </c>
      <c r="C381" s="2" t="s">
        <v>380</v>
      </c>
      <c r="D381" s="22">
        <v>492</v>
      </c>
      <c r="E381" s="10">
        <v>144</v>
      </c>
      <c r="F381" s="10">
        <v>29.65</v>
      </c>
      <c r="G381" s="10">
        <v>14.115</v>
      </c>
      <c r="H381" s="10">
        <v>1.97</v>
      </c>
      <c r="I381" s="10">
        <v>3.54</v>
      </c>
      <c r="J381" s="10">
        <v>4.3125</v>
      </c>
      <c r="K381" s="10">
        <v>2</v>
      </c>
      <c r="L381" s="10">
        <v>10.9</v>
      </c>
      <c r="M381" s="9">
        <v>19100</v>
      </c>
      <c r="N381" s="9">
        <v>1550</v>
      </c>
      <c r="O381" s="9">
        <v>1290</v>
      </c>
      <c r="P381" s="10">
        <v>11.5</v>
      </c>
      <c r="Q381" s="9">
        <v>1670</v>
      </c>
      <c r="R381" s="9">
        <v>375</v>
      </c>
      <c r="S381" s="9">
        <v>237</v>
      </c>
      <c r="T381" s="10">
        <v>3.41</v>
      </c>
      <c r="U381" s="10">
        <v>456</v>
      </c>
      <c r="V381" s="22">
        <v>283000</v>
      </c>
      <c r="W381" s="188">
        <f t="shared" si="6"/>
        <v>4.1110410986426151</v>
      </c>
      <c r="X381" s="192">
        <f t="shared" si="7"/>
        <v>26.11</v>
      </c>
      <c r="AA381" s="39" t="str">
        <f t="shared" si="5"/>
        <v>W</v>
      </c>
    </row>
    <row r="382" spans="1:27" x14ac:dyDescent="0.2">
      <c r="A382" s="2" t="s">
        <v>2</v>
      </c>
      <c r="B382" s="2" t="s">
        <v>388</v>
      </c>
      <c r="C382" s="2" t="s">
        <v>380</v>
      </c>
      <c r="D382" s="22">
        <v>408</v>
      </c>
      <c r="E382" s="10">
        <v>119</v>
      </c>
      <c r="F382" s="10">
        <v>28.54</v>
      </c>
      <c r="G382" s="10">
        <v>13.8</v>
      </c>
      <c r="H382" s="10">
        <v>1.65</v>
      </c>
      <c r="I382" s="10">
        <v>2.99</v>
      </c>
      <c r="J382" s="23">
        <v>3.75</v>
      </c>
      <c r="K382" s="10">
        <v>2.2999999999999998</v>
      </c>
      <c r="L382" s="10">
        <v>13.1</v>
      </c>
      <c r="M382" s="9">
        <v>15100</v>
      </c>
      <c r="N382" s="9">
        <v>1250</v>
      </c>
      <c r="O382" s="9">
        <v>1060</v>
      </c>
      <c r="P382" s="10">
        <v>11.3</v>
      </c>
      <c r="Q382" s="9">
        <v>1320</v>
      </c>
      <c r="R382" s="9">
        <v>300</v>
      </c>
      <c r="S382" s="9">
        <v>191</v>
      </c>
      <c r="T382" s="10">
        <v>3.33</v>
      </c>
      <c r="U382" s="10">
        <v>271</v>
      </c>
      <c r="V382" s="22">
        <v>214000</v>
      </c>
      <c r="W382" s="188">
        <f t="shared" si="6"/>
        <v>3.9885449183928885</v>
      </c>
      <c r="X382" s="192">
        <f t="shared" si="7"/>
        <v>25.549999999999997</v>
      </c>
      <c r="AA382" s="39" t="str">
        <f t="shared" si="5"/>
        <v>W</v>
      </c>
    </row>
    <row r="383" spans="1:27" x14ac:dyDescent="0.2">
      <c r="A383" s="2" t="s">
        <v>339</v>
      </c>
      <c r="B383" s="2" t="s">
        <v>620</v>
      </c>
      <c r="C383" s="2" t="s">
        <v>389</v>
      </c>
      <c r="D383" s="2">
        <v>100</v>
      </c>
      <c r="E383" s="9">
        <v>29.4</v>
      </c>
      <c r="F383" s="10">
        <v>13.15</v>
      </c>
      <c r="G383" s="12">
        <v>13.205</v>
      </c>
      <c r="H383" s="12">
        <v>0.76500000000000001</v>
      </c>
      <c r="I383" s="12">
        <v>0.76500000000000001</v>
      </c>
      <c r="J383" s="2">
        <v>1.4375</v>
      </c>
      <c r="K383" s="9">
        <v>8.6</v>
      </c>
      <c r="L383" s="52">
        <f t="shared" ref="L383:L424" si="8">(F383-2*J383)/H383</f>
        <v>13.431372549019608</v>
      </c>
      <c r="M383" s="2">
        <v>886</v>
      </c>
      <c r="N383" s="2">
        <v>153</v>
      </c>
      <c r="O383" s="2">
        <v>135</v>
      </c>
      <c r="P383" s="10">
        <v>5.49</v>
      </c>
      <c r="Q383" s="2">
        <v>294</v>
      </c>
      <c r="R383" s="9">
        <v>68.599999999999994</v>
      </c>
      <c r="S383" s="2">
        <v>44.5</v>
      </c>
      <c r="T383" s="10">
        <v>3.16</v>
      </c>
      <c r="U383" s="10">
        <v>6.25</v>
      </c>
      <c r="V383" s="52">
        <f t="shared" ref="V383:V391" si="9">(Q383*X383^2)/4</f>
        <v>11274.0345375</v>
      </c>
      <c r="W383" s="188">
        <f t="shared" si="6"/>
        <v>3.6723138331151506</v>
      </c>
      <c r="X383" s="192">
        <f t="shared" si="7"/>
        <v>12.385</v>
      </c>
      <c r="AA383" s="39" t="str">
        <f t="shared" si="5"/>
        <v>HP</v>
      </c>
    </row>
    <row r="384" spans="1:27" x14ac:dyDescent="0.2">
      <c r="A384" s="2" t="s">
        <v>339</v>
      </c>
      <c r="B384" s="2" t="s">
        <v>621</v>
      </c>
      <c r="C384" s="2" t="s">
        <v>389</v>
      </c>
      <c r="D384" s="2">
        <v>87</v>
      </c>
      <c r="E384" s="9">
        <v>25.5</v>
      </c>
      <c r="F384" s="10">
        <v>12.95</v>
      </c>
      <c r="G384" s="12">
        <v>13.105</v>
      </c>
      <c r="H384" s="12">
        <v>0.66500000000000004</v>
      </c>
      <c r="I384" s="12">
        <v>0.66500000000000004</v>
      </c>
      <c r="J384" s="2">
        <v>1.375</v>
      </c>
      <c r="K384" s="9">
        <v>9.9</v>
      </c>
      <c r="L384" s="52">
        <f t="shared" si="8"/>
        <v>15.338345864661653</v>
      </c>
      <c r="M384" s="2">
        <v>755</v>
      </c>
      <c r="N384" s="2">
        <v>131</v>
      </c>
      <c r="O384" s="2">
        <v>117</v>
      </c>
      <c r="P384" s="10">
        <v>5.45</v>
      </c>
      <c r="Q384" s="2">
        <v>250</v>
      </c>
      <c r="R384" s="9">
        <v>58.5</v>
      </c>
      <c r="S384" s="2">
        <v>38.1</v>
      </c>
      <c r="T384" s="10">
        <v>3.13</v>
      </c>
      <c r="U384" s="10">
        <v>4.12</v>
      </c>
      <c r="V384" s="52">
        <f t="shared" si="9"/>
        <v>9432.5765625000004</v>
      </c>
      <c r="W384" s="188">
        <f t="shared" si="6"/>
        <v>3.6228441865473595</v>
      </c>
      <c r="X384" s="192">
        <f t="shared" si="7"/>
        <v>12.285</v>
      </c>
      <c r="AA384" s="39" t="str">
        <f t="shared" si="5"/>
        <v>HP</v>
      </c>
    </row>
    <row r="385" spans="1:27" x14ac:dyDescent="0.2">
      <c r="A385" s="2" t="s">
        <v>339</v>
      </c>
      <c r="B385" s="2" t="s">
        <v>622</v>
      </c>
      <c r="C385" s="2" t="s">
        <v>389</v>
      </c>
      <c r="D385" s="2">
        <v>73</v>
      </c>
      <c r="E385" s="9">
        <v>21.6</v>
      </c>
      <c r="F385" s="10">
        <v>12.75</v>
      </c>
      <c r="G385" s="12">
        <v>13.005000000000001</v>
      </c>
      <c r="H385" s="12">
        <v>0.56499999999999995</v>
      </c>
      <c r="I385" s="12">
        <v>0.56499999999999995</v>
      </c>
      <c r="J385" s="2">
        <v>1.25</v>
      </c>
      <c r="K385" s="9">
        <v>11.5</v>
      </c>
      <c r="L385" s="52">
        <f t="shared" si="8"/>
        <v>18.141592920353983</v>
      </c>
      <c r="M385" s="2">
        <v>630</v>
      </c>
      <c r="N385" s="2">
        <v>110</v>
      </c>
      <c r="O385" s="2">
        <v>98.8</v>
      </c>
      <c r="P385" s="10">
        <v>5.4</v>
      </c>
      <c r="Q385" s="2">
        <v>207</v>
      </c>
      <c r="R385" s="9">
        <v>48.8</v>
      </c>
      <c r="S385" s="2">
        <v>31.9</v>
      </c>
      <c r="T385" s="10">
        <v>3.1</v>
      </c>
      <c r="U385" s="10">
        <v>2.54</v>
      </c>
      <c r="V385" s="52">
        <f t="shared" si="9"/>
        <v>7683.5411437500006</v>
      </c>
      <c r="W385" s="188">
        <f t="shared" si="6"/>
        <v>3.5727651489730752</v>
      </c>
      <c r="X385" s="192">
        <f t="shared" si="7"/>
        <v>12.185</v>
      </c>
      <c r="AA385" s="39" t="str">
        <f t="shared" si="5"/>
        <v>HP</v>
      </c>
    </row>
    <row r="386" spans="1:27" x14ac:dyDescent="0.2">
      <c r="A386" s="2" t="s">
        <v>339</v>
      </c>
      <c r="B386" s="2" t="s">
        <v>623</v>
      </c>
      <c r="C386" s="2" t="s">
        <v>389</v>
      </c>
      <c r="D386" s="2">
        <v>60</v>
      </c>
      <c r="E386" s="9">
        <v>17.5</v>
      </c>
      <c r="F386" s="10">
        <v>12.54</v>
      </c>
      <c r="G386" s="12">
        <v>12.9</v>
      </c>
      <c r="H386" s="12">
        <v>0.46</v>
      </c>
      <c r="I386" s="12">
        <v>0.46</v>
      </c>
      <c r="J386" s="2">
        <v>1.125</v>
      </c>
      <c r="K386" s="9">
        <v>14</v>
      </c>
      <c r="L386" s="52">
        <f t="shared" si="8"/>
        <v>22.369565217391301</v>
      </c>
      <c r="M386" s="2">
        <v>503</v>
      </c>
      <c r="N386" s="9">
        <v>89</v>
      </c>
      <c r="O386" s="2">
        <v>80.3</v>
      </c>
      <c r="P386" s="10">
        <v>5.36</v>
      </c>
      <c r="Q386" s="2">
        <v>165</v>
      </c>
      <c r="R386" s="9">
        <v>39</v>
      </c>
      <c r="S386" s="2">
        <v>25.5</v>
      </c>
      <c r="T386" s="10">
        <v>3.07</v>
      </c>
      <c r="U386" s="10">
        <v>1.39</v>
      </c>
      <c r="V386" s="52">
        <f t="shared" si="9"/>
        <v>6019.463999999999</v>
      </c>
      <c r="W386" s="188">
        <f t="shared" si="6"/>
        <v>3.522919088498853</v>
      </c>
      <c r="X386" s="192">
        <f t="shared" si="7"/>
        <v>12.079999999999998</v>
      </c>
      <c r="AA386" s="39" t="str">
        <f t="shared" si="5"/>
        <v>HP</v>
      </c>
    </row>
    <row r="387" spans="1:27" x14ac:dyDescent="0.2">
      <c r="A387" s="2" t="s">
        <v>310</v>
      </c>
      <c r="B387" s="2" t="s">
        <v>577</v>
      </c>
      <c r="C387" s="2" t="s">
        <v>389</v>
      </c>
      <c r="D387" s="2">
        <v>20</v>
      </c>
      <c r="E387" s="10">
        <v>5.88</v>
      </c>
      <c r="F387" s="10">
        <v>7</v>
      </c>
      <c r="G387" s="12">
        <v>3.86</v>
      </c>
      <c r="H387" s="12">
        <v>0.45</v>
      </c>
      <c r="I387" s="12">
        <v>0.39200000000000002</v>
      </c>
      <c r="J387" s="2">
        <v>0.9375</v>
      </c>
      <c r="K387" s="9">
        <v>4.9000000000000004</v>
      </c>
      <c r="L387" s="52">
        <f t="shared" si="8"/>
        <v>11.388888888888889</v>
      </c>
      <c r="M387" s="2">
        <v>42.4</v>
      </c>
      <c r="N387" s="2">
        <v>14.5</v>
      </c>
      <c r="O387" s="2">
        <v>12.1</v>
      </c>
      <c r="P387" s="2">
        <v>2.69</v>
      </c>
      <c r="Q387" s="2">
        <v>3.17</v>
      </c>
      <c r="R387" s="2">
        <v>2.96</v>
      </c>
      <c r="S387" s="10">
        <v>1.64</v>
      </c>
      <c r="T387" s="12">
        <v>0.73399999999999999</v>
      </c>
      <c r="U387" s="2">
        <v>0.45</v>
      </c>
      <c r="V387" s="52">
        <f t="shared" si="9"/>
        <v>34.605038719999996</v>
      </c>
      <c r="W387" s="188">
        <f t="shared" si="6"/>
        <v>0.93037271479216976</v>
      </c>
      <c r="X387" s="192">
        <f t="shared" si="7"/>
        <v>6.6079999999999997</v>
      </c>
      <c r="AA387" s="39" t="str">
        <f t="shared" si="5"/>
        <v>S</v>
      </c>
    </row>
    <row r="388" spans="1:27" x14ac:dyDescent="0.2">
      <c r="A388" s="2" t="s">
        <v>310</v>
      </c>
      <c r="B388" s="2" t="s">
        <v>624</v>
      </c>
      <c r="C388" s="2" t="s">
        <v>389</v>
      </c>
      <c r="D388" s="2">
        <v>15.3</v>
      </c>
      <c r="E388" s="10">
        <v>4.5</v>
      </c>
      <c r="F388" s="10">
        <v>7</v>
      </c>
      <c r="G388" s="12">
        <v>3.6619999999999999</v>
      </c>
      <c r="H388" s="12">
        <v>0.252</v>
      </c>
      <c r="I388" s="12">
        <v>0.39200000000000002</v>
      </c>
      <c r="J388" s="2">
        <v>0.9375</v>
      </c>
      <c r="K388" s="9">
        <v>4.7</v>
      </c>
      <c r="L388" s="52">
        <f t="shared" si="8"/>
        <v>20.337301587301589</v>
      </c>
      <c r="M388" s="2">
        <v>36.700000000000003</v>
      </c>
      <c r="N388" s="2">
        <v>12.1</v>
      </c>
      <c r="O388" s="2">
        <v>10.5</v>
      </c>
      <c r="P388" s="2">
        <v>2.86</v>
      </c>
      <c r="Q388" s="2">
        <v>2.64</v>
      </c>
      <c r="R388" s="2">
        <v>2.44</v>
      </c>
      <c r="S388" s="10">
        <v>1.44</v>
      </c>
      <c r="T388" s="12">
        <v>0.76600000000000001</v>
      </c>
      <c r="U388" s="2">
        <v>0.24</v>
      </c>
      <c r="V388" s="52">
        <f t="shared" si="9"/>
        <v>28.819338239999997</v>
      </c>
      <c r="W388" s="188">
        <f t="shared" si="6"/>
        <v>0.91143842359207128</v>
      </c>
      <c r="X388" s="192">
        <f t="shared" si="7"/>
        <v>6.6079999999999997</v>
      </c>
      <c r="AA388" s="39" t="str">
        <f t="shared" ref="AA388:AA451" si="10">A388</f>
        <v>S</v>
      </c>
    </row>
    <row r="389" spans="1:27" x14ac:dyDescent="0.2">
      <c r="A389" s="2" t="s">
        <v>310</v>
      </c>
      <c r="B389" s="2" t="s">
        <v>625</v>
      </c>
      <c r="C389" s="2" t="s">
        <v>389</v>
      </c>
      <c r="D389" s="2">
        <v>14.75</v>
      </c>
      <c r="E389" s="10">
        <v>4.34</v>
      </c>
      <c r="F389" s="10">
        <v>5</v>
      </c>
      <c r="G389" s="12">
        <v>3.2839999999999998</v>
      </c>
      <c r="H389" s="12">
        <v>0.49399999999999999</v>
      </c>
      <c r="I389" s="12">
        <v>0.32600000000000001</v>
      </c>
      <c r="J389" s="2">
        <v>0.8125</v>
      </c>
      <c r="K389" s="9">
        <v>5</v>
      </c>
      <c r="L389" s="52">
        <f t="shared" si="8"/>
        <v>6.831983805668016</v>
      </c>
      <c r="M389" s="2">
        <v>15.2</v>
      </c>
      <c r="N389" s="2">
        <v>7.42</v>
      </c>
      <c r="O389" s="2">
        <v>6.09</v>
      </c>
      <c r="P389" s="2">
        <v>1.87</v>
      </c>
      <c r="Q389" s="2">
        <v>1.67</v>
      </c>
      <c r="R389" s="2">
        <v>1.88</v>
      </c>
      <c r="S389" s="10">
        <v>1.01</v>
      </c>
      <c r="T389" s="12">
        <v>0.62</v>
      </c>
      <c r="U389" s="2">
        <v>0.32</v>
      </c>
      <c r="V389" s="52">
        <f t="shared" si="9"/>
        <v>9.1208202300000014</v>
      </c>
      <c r="W389" s="188">
        <f t="shared" si="6"/>
        <v>0.80053245827309738</v>
      </c>
      <c r="X389" s="192">
        <f t="shared" si="7"/>
        <v>4.6740000000000004</v>
      </c>
      <c r="AA389" s="39" t="str">
        <f t="shared" si="10"/>
        <v>S</v>
      </c>
    </row>
    <row r="390" spans="1:27" x14ac:dyDescent="0.2">
      <c r="A390" s="2" t="s">
        <v>291</v>
      </c>
      <c r="B390" s="2" t="s">
        <v>626</v>
      </c>
      <c r="C390" s="2" t="s">
        <v>389</v>
      </c>
      <c r="D390" s="2">
        <v>18</v>
      </c>
      <c r="E390" s="10">
        <v>5.0999999999999996</v>
      </c>
      <c r="F390" s="10">
        <v>14</v>
      </c>
      <c r="G390" s="12">
        <v>4</v>
      </c>
      <c r="H390" s="12">
        <v>0.215</v>
      </c>
      <c r="I390" s="12">
        <v>0.27</v>
      </c>
      <c r="J390" s="2">
        <v>0.625</v>
      </c>
      <c r="K390" s="9">
        <v>7.4</v>
      </c>
      <c r="L390" s="52">
        <f t="shared" si="8"/>
        <v>59.302325581395351</v>
      </c>
      <c r="M390" s="2">
        <v>148</v>
      </c>
      <c r="N390" s="2">
        <v>24.9</v>
      </c>
      <c r="O390" s="9">
        <v>21.1</v>
      </c>
      <c r="P390" s="10">
        <v>5.83</v>
      </c>
      <c r="Q390" s="2">
        <v>2.64</v>
      </c>
      <c r="R390" s="10">
        <v>2.2000000000000002</v>
      </c>
      <c r="S390" s="2">
        <v>1.32</v>
      </c>
      <c r="T390" s="2">
        <v>0.17899999999999999</v>
      </c>
      <c r="U390" s="2">
        <v>0.11</v>
      </c>
      <c r="V390" s="52">
        <f t="shared" si="9"/>
        <v>124.418514</v>
      </c>
      <c r="W390" s="188">
        <f t="shared" si="6"/>
        <v>0.92678929030583446</v>
      </c>
      <c r="X390" s="192">
        <f t="shared" si="7"/>
        <v>13.73</v>
      </c>
      <c r="AA390" s="39" t="str">
        <f t="shared" si="10"/>
        <v>M</v>
      </c>
    </row>
    <row r="391" spans="1:27" x14ac:dyDescent="0.2">
      <c r="A391" s="2" t="s">
        <v>291</v>
      </c>
      <c r="B391" s="2" t="s">
        <v>627</v>
      </c>
      <c r="C391" s="2" t="s">
        <v>389</v>
      </c>
      <c r="D391" s="2">
        <v>18.899999999999999</v>
      </c>
      <c r="E391" s="10">
        <v>5.55</v>
      </c>
      <c r="F391" s="10">
        <v>5</v>
      </c>
      <c r="G391" s="12">
        <v>5.0030000000000001</v>
      </c>
      <c r="H391" s="12">
        <v>0.316</v>
      </c>
      <c r="I391" s="12">
        <v>0.41599999999999998</v>
      </c>
      <c r="J391" s="2">
        <v>0.875</v>
      </c>
      <c r="K391" s="9">
        <v>6</v>
      </c>
      <c r="L391" s="52">
        <f t="shared" si="8"/>
        <v>10.284810126582279</v>
      </c>
      <c r="M391" s="2">
        <v>24.1</v>
      </c>
      <c r="N391" s="9">
        <v>11</v>
      </c>
      <c r="O391" s="10">
        <v>9.6300000000000008</v>
      </c>
      <c r="P391" s="10">
        <v>2.08</v>
      </c>
      <c r="Q391" s="2">
        <v>7.86</v>
      </c>
      <c r="R391" s="2">
        <v>5.0199999999999996</v>
      </c>
      <c r="S391" s="2">
        <v>3.14</v>
      </c>
      <c r="T391" s="2">
        <v>1.19</v>
      </c>
      <c r="U391" s="2">
        <v>0.34</v>
      </c>
      <c r="V391" s="52">
        <f t="shared" si="9"/>
        <v>41.29065503999999</v>
      </c>
      <c r="W391" s="188">
        <f t="shared" si="6"/>
        <v>1.3677459456940886</v>
      </c>
      <c r="X391" s="192">
        <f t="shared" si="7"/>
        <v>4.5839999999999996</v>
      </c>
      <c r="AA391" s="39" t="str">
        <f t="shared" si="10"/>
        <v>M</v>
      </c>
    </row>
    <row r="392" spans="1:27" x14ac:dyDescent="0.2">
      <c r="A392" s="2" t="s">
        <v>2</v>
      </c>
      <c r="B392" s="2" t="s">
        <v>628</v>
      </c>
      <c r="C392" s="2" t="s">
        <v>389</v>
      </c>
      <c r="D392" s="2">
        <v>285</v>
      </c>
      <c r="E392" s="9">
        <v>83.8</v>
      </c>
      <c r="F392" s="10">
        <v>44.02</v>
      </c>
      <c r="G392" s="12">
        <v>11.811</v>
      </c>
      <c r="H392" s="12">
        <v>1.024</v>
      </c>
      <c r="I392" s="12">
        <v>1.722</v>
      </c>
      <c r="J392" s="2">
        <v>2.6875</v>
      </c>
      <c r="K392" s="9">
        <v>3.3</v>
      </c>
      <c r="L392" s="52">
        <f t="shared" si="8"/>
        <v>37.7392578125</v>
      </c>
      <c r="M392" s="2">
        <v>24600</v>
      </c>
      <c r="N392" s="2">
        <v>1310</v>
      </c>
      <c r="O392" s="2">
        <v>1120</v>
      </c>
      <c r="P392" s="9">
        <v>17.100000000000001</v>
      </c>
      <c r="Q392" s="2">
        <v>490</v>
      </c>
      <c r="R392" s="2">
        <v>135</v>
      </c>
      <c r="S392" s="9">
        <v>83</v>
      </c>
      <c r="T392" s="10">
        <v>2.42</v>
      </c>
      <c r="U392" s="2">
        <v>53.07</v>
      </c>
      <c r="V392" s="2">
        <v>213100</v>
      </c>
      <c r="W392" s="188">
        <f t="shared" si="6"/>
        <v>3.0418230553403331</v>
      </c>
      <c r="X392" s="192">
        <f t="shared" si="7"/>
        <v>42.298000000000002</v>
      </c>
      <c r="AA392" s="39" t="str">
        <f t="shared" si="10"/>
        <v>W</v>
      </c>
    </row>
    <row r="393" spans="1:27" x14ac:dyDescent="0.2">
      <c r="A393" s="2" t="s">
        <v>2</v>
      </c>
      <c r="B393" s="2" t="s">
        <v>629</v>
      </c>
      <c r="C393" s="2" t="s">
        <v>389</v>
      </c>
      <c r="D393" s="2">
        <v>248</v>
      </c>
      <c r="E393" s="9">
        <v>72.8</v>
      </c>
      <c r="F393" s="10">
        <v>43.62</v>
      </c>
      <c r="G393" s="12">
        <v>11.811</v>
      </c>
      <c r="H393" s="12">
        <v>0.86499999999999999</v>
      </c>
      <c r="I393" s="12">
        <v>1.575</v>
      </c>
      <c r="J393" s="2">
        <v>2.5</v>
      </c>
      <c r="K393" s="9">
        <v>3.7</v>
      </c>
      <c r="L393" s="52">
        <f t="shared" si="8"/>
        <v>44.647398843930631</v>
      </c>
      <c r="M393" s="2">
        <v>21400</v>
      </c>
      <c r="N393" s="2">
        <v>1150</v>
      </c>
      <c r="O393" s="2">
        <v>983</v>
      </c>
      <c r="P393" s="9">
        <v>17.2</v>
      </c>
      <c r="Q393" s="2">
        <v>435</v>
      </c>
      <c r="R393" s="2">
        <v>118</v>
      </c>
      <c r="S393" s="9">
        <v>74</v>
      </c>
      <c r="T393" s="10">
        <v>2.44</v>
      </c>
      <c r="U393" s="2">
        <v>38.19</v>
      </c>
      <c r="V393" s="2">
        <v>192100</v>
      </c>
      <c r="W393" s="188">
        <f t="shared" si="6"/>
        <v>3.0500717100453758</v>
      </c>
      <c r="X393" s="192">
        <f t="shared" si="7"/>
        <v>42.044999999999995</v>
      </c>
      <c r="AA393" s="39" t="str">
        <f t="shared" si="10"/>
        <v>W</v>
      </c>
    </row>
    <row r="394" spans="1:27" x14ac:dyDescent="0.2">
      <c r="A394" s="2" t="s">
        <v>2</v>
      </c>
      <c r="B394" s="2" t="s">
        <v>630</v>
      </c>
      <c r="C394" s="2" t="s">
        <v>389</v>
      </c>
      <c r="D394" s="2">
        <v>224</v>
      </c>
      <c r="E394" s="9">
        <v>65.8</v>
      </c>
      <c r="F394" s="10">
        <v>43.31</v>
      </c>
      <c r="G394" s="12">
        <v>11.811</v>
      </c>
      <c r="H394" s="12">
        <v>0.78700000000000003</v>
      </c>
      <c r="I394" s="12">
        <v>1.4159999999999999</v>
      </c>
      <c r="J394" s="2">
        <v>2.3125</v>
      </c>
      <c r="K394" s="9">
        <v>4.2</v>
      </c>
      <c r="L394" s="52">
        <f t="shared" si="8"/>
        <v>49.155019059720459</v>
      </c>
      <c r="M394" s="2">
        <v>19200</v>
      </c>
      <c r="N394" s="2">
        <v>1030</v>
      </c>
      <c r="O394" s="2">
        <v>889</v>
      </c>
      <c r="P394" s="9">
        <v>17.100000000000001</v>
      </c>
      <c r="Q394" s="2">
        <v>391</v>
      </c>
      <c r="R394" s="2">
        <v>105</v>
      </c>
      <c r="S394" s="9">
        <v>66</v>
      </c>
      <c r="T394" s="10">
        <v>2.44</v>
      </c>
      <c r="U394" s="2">
        <v>28.13</v>
      </c>
      <c r="V394" s="2">
        <v>171300</v>
      </c>
      <c r="W394" s="188">
        <f t="shared" si="6"/>
        <v>3.0352775838872788</v>
      </c>
      <c r="X394" s="192">
        <f t="shared" si="7"/>
        <v>41.894000000000005</v>
      </c>
      <c r="AA394" s="39" t="str">
        <f t="shared" si="10"/>
        <v>W</v>
      </c>
    </row>
    <row r="395" spans="1:27" x14ac:dyDescent="0.2">
      <c r="A395" s="2" t="s">
        <v>2</v>
      </c>
      <c r="B395" s="2" t="s">
        <v>631</v>
      </c>
      <c r="C395" s="2" t="s">
        <v>389</v>
      </c>
      <c r="D395" s="2">
        <v>198</v>
      </c>
      <c r="E395" s="9">
        <v>58</v>
      </c>
      <c r="F395" s="10">
        <v>42.91</v>
      </c>
      <c r="G395" s="12">
        <v>11.811</v>
      </c>
      <c r="H395" s="12">
        <v>0.70899999999999996</v>
      </c>
      <c r="I395" s="12">
        <v>1.22</v>
      </c>
      <c r="J395" s="2">
        <v>2.125</v>
      </c>
      <c r="K395" s="9">
        <v>4.8</v>
      </c>
      <c r="L395" s="52">
        <f t="shared" si="8"/>
        <v>54.527503526093085</v>
      </c>
      <c r="M395" s="2">
        <v>16700</v>
      </c>
      <c r="N395" s="2">
        <v>902</v>
      </c>
      <c r="O395" s="2">
        <v>776</v>
      </c>
      <c r="P395" s="9">
        <v>16.899999999999999</v>
      </c>
      <c r="Q395" s="2">
        <v>336</v>
      </c>
      <c r="R395" s="9">
        <v>90</v>
      </c>
      <c r="S395" s="9">
        <v>57</v>
      </c>
      <c r="T395" s="10">
        <v>2.41</v>
      </c>
      <c r="U395" s="2">
        <v>18.690000000000001</v>
      </c>
      <c r="V395" s="2">
        <v>146100</v>
      </c>
      <c r="W395" s="188">
        <f t="shared" si="6"/>
        <v>3.0042753041445427</v>
      </c>
      <c r="X395" s="192">
        <f t="shared" si="7"/>
        <v>41.69</v>
      </c>
      <c r="AA395" s="39" t="str">
        <f t="shared" si="10"/>
        <v>W</v>
      </c>
    </row>
    <row r="396" spans="1:27" x14ac:dyDescent="0.2">
      <c r="A396" s="2" t="s">
        <v>2</v>
      </c>
      <c r="B396" s="2" t="s">
        <v>632</v>
      </c>
      <c r="C396" s="2" t="s">
        <v>389</v>
      </c>
      <c r="D396" s="2">
        <v>328</v>
      </c>
      <c r="E396" s="9">
        <v>96.4</v>
      </c>
      <c r="F396" s="10">
        <v>40</v>
      </c>
      <c r="G396" s="12">
        <v>17.91</v>
      </c>
      <c r="H396" s="12">
        <v>0.91</v>
      </c>
      <c r="I396" s="12">
        <v>1.73</v>
      </c>
      <c r="J396" s="2">
        <v>3.125</v>
      </c>
      <c r="K396" s="9">
        <v>5.2</v>
      </c>
      <c r="L396" s="52">
        <f t="shared" si="8"/>
        <v>37.087912087912088</v>
      </c>
      <c r="M396" s="2">
        <v>26800</v>
      </c>
      <c r="N396" s="2">
        <v>1510</v>
      </c>
      <c r="O396" s="2">
        <v>1340</v>
      </c>
      <c r="P396" s="9">
        <v>16.7</v>
      </c>
      <c r="Q396" s="2">
        <v>1660</v>
      </c>
      <c r="R396" s="2">
        <v>286</v>
      </c>
      <c r="S396" s="2">
        <v>185</v>
      </c>
      <c r="T396" s="10">
        <v>4.1500000000000004</v>
      </c>
      <c r="U396" s="2">
        <v>68.900000000000006</v>
      </c>
      <c r="V396" s="2">
        <v>607400</v>
      </c>
      <c r="W396" s="188">
        <f t="shared" si="6"/>
        <v>4.8687320976621802</v>
      </c>
      <c r="X396" s="192">
        <f t="shared" si="7"/>
        <v>38.270000000000003</v>
      </c>
      <c r="AA396" s="39" t="str">
        <f t="shared" si="10"/>
        <v>W</v>
      </c>
    </row>
    <row r="397" spans="1:27" x14ac:dyDescent="0.2">
      <c r="A397" s="2" t="s">
        <v>2</v>
      </c>
      <c r="B397" s="2" t="s">
        <v>633</v>
      </c>
      <c r="C397" s="2" t="s">
        <v>389</v>
      </c>
      <c r="D397" s="2">
        <v>298</v>
      </c>
      <c r="E397" s="9">
        <v>87.6</v>
      </c>
      <c r="F397" s="10">
        <v>39.69</v>
      </c>
      <c r="G397" s="12">
        <v>17.829999999999998</v>
      </c>
      <c r="H397" s="12">
        <v>0.83</v>
      </c>
      <c r="I397" s="12">
        <v>1.575</v>
      </c>
      <c r="J397" s="2">
        <v>3</v>
      </c>
      <c r="K397" s="9">
        <v>5.7</v>
      </c>
      <c r="L397" s="52">
        <f t="shared" si="8"/>
        <v>40.590361445783131</v>
      </c>
      <c r="M397" s="2">
        <v>24200</v>
      </c>
      <c r="N397" s="2">
        <v>1370</v>
      </c>
      <c r="O397" s="2">
        <v>1220</v>
      </c>
      <c r="P397" s="9">
        <v>16.600000000000001</v>
      </c>
      <c r="Q397" s="2">
        <v>1490</v>
      </c>
      <c r="R397" s="2">
        <v>584</v>
      </c>
      <c r="S397" s="2">
        <v>167</v>
      </c>
      <c r="T397" s="10">
        <v>1.1200000000000001</v>
      </c>
      <c r="U397" s="2">
        <v>51.99</v>
      </c>
      <c r="V397" s="2">
        <v>541000</v>
      </c>
      <c r="W397" s="188">
        <f t="shared" si="6"/>
        <v>4.8244319295252733</v>
      </c>
      <c r="X397" s="192">
        <f t="shared" si="7"/>
        <v>38.114999999999995</v>
      </c>
      <c r="AA397" s="39" t="str">
        <f t="shared" si="10"/>
        <v>W</v>
      </c>
    </row>
    <row r="398" spans="1:27" x14ac:dyDescent="0.2">
      <c r="A398" s="2" t="s">
        <v>2</v>
      </c>
      <c r="B398" s="2" t="s">
        <v>634</v>
      </c>
      <c r="C398" s="2" t="s">
        <v>389</v>
      </c>
      <c r="D398" s="2">
        <v>268</v>
      </c>
      <c r="E398" s="9">
        <v>78.8</v>
      </c>
      <c r="F398" s="10">
        <v>39.369999999999997</v>
      </c>
      <c r="G398" s="12">
        <v>17.75</v>
      </c>
      <c r="H398" s="12">
        <v>0.75</v>
      </c>
      <c r="I398" s="12">
        <v>1.415</v>
      </c>
      <c r="J398" s="2">
        <v>2.8125</v>
      </c>
      <c r="K398" s="9">
        <v>6.3</v>
      </c>
      <c r="L398" s="52">
        <f t="shared" si="8"/>
        <v>44.993333333333332</v>
      </c>
      <c r="M398" s="2">
        <v>21500</v>
      </c>
      <c r="N398" s="2">
        <v>1220</v>
      </c>
      <c r="O398" s="2">
        <v>1090</v>
      </c>
      <c r="P398" s="9">
        <v>16.5</v>
      </c>
      <c r="Q398" s="2">
        <v>1320</v>
      </c>
      <c r="R398" s="2">
        <v>229</v>
      </c>
      <c r="S398" s="2">
        <v>149</v>
      </c>
      <c r="T398" s="10">
        <v>4.09</v>
      </c>
      <c r="U398" s="2">
        <v>37.75</v>
      </c>
      <c r="V398" s="2">
        <v>475400</v>
      </c>
      <c r="W398" s="188">
        <f t="shared" si="6"/>
        <v>4.7939468713685791</v>
      </c>
      <c r="X398" s="192">
        <f t="shared" si="7"/>
        <v>37.954999999999998</v>
      </c>
      <c r="AA398" s="39" t="str">
        <f t="shared" si="10"/>
        <v>W</v>
      </c>
    </row>
    <row r="399" spans="1:27" x14ac:dyDescent="0.2">
      <c r="A399" s="2" t="s">
        <v>2</v>
      </c>
      <c r="B399" s="2" t="s">
        <v>635</v>
      </c>
      <c r="C399" s="2" t="s">
        <v>389</v>
      </c>
      <c r="D399" s="2">
        <v>244</v>
      </c>
      <c r="E399" s="9">
        <v>71.099999999999994</v>
      </c>
      <c r="F399" s="10">
        <v>39.06</v>
      </c>
      <c r="G399" s="12">
        <v>17.71</v>
      </c>
      <c r="H399" s="12">
        <v>0.71</v>
      </c>
      <c r="I399" s="12">
        <v>1.26</v>
      </c>
      <c r="J399" s="2">
        <v>2.625</v>
      </c>
      <c r="K399" s="9">
        <v>7</v>
      </c>
      <c r="L399" s="52">
        <f t="shared" si="8"/>
        <v>47.619718309859159</v>
      </c>
      <c r="M399" s="2">
        <v>19200</v>
      </c>
      <c r="N399" s="2">
        <v>1100</v>
      </c>
      <c r="O399" s="2">
        <v>983</v>
      </c>
      <c r="P399" s="9">
        <v>16.399999999999999</v>
      </c>
      <c r="Q399" s="2">
        <v>1170</v>
      </c>
      <c r="R399" s="2">
        <v>203</v>
      </c>
      <c r="S399" s="2">
        <v>132</v>
      </c>
      <c r="T399" s="10">
        <v>4.04</v>
      </c>
      <c r="U399" s="2">
        <v>27.521000000000001</v>
      </c>
      <c r="V399" s="2">
        <v>417100</v>
      </c>
      <c r="W399" s="188">
        <f t="shared" si="6"/>
        <v>4.7429339207930319</v>
      </c>
      <c r="X399" s="192">
        <f t="shared" si="7"/>
        <v>37.800000000000004</v>
      </c>
      <c r="AA399" s="39" t="str">
        <f t="shared" si="10"/>
        <v>W</v>
      </c>
    </row>
    <row r="400" spans="1:27" x14ac:dyDescent="0.2">
      <c r="A400" s="2" t="s">
        <v>2</v>
      </c>
      <c r="B400" s="2" t="s">
        <v>636</v>
      </c>
      <c r="C400" s="2" t="s">
        <v>389</v>
      </c>
      <c r="D400" s="2">
        <v>221</v>
      </c>
      <c r="E400" s="9">
        <v>64.8</v>
      </c>
      <c r="F400" s="10">
        <v>38.67</v>
      </c>
      <c r="G400" s="12">
        <v>17.71</v>
      </c>
      <c r="H400" s="12">
        <v>0.71</v>
      </c>
      <c r="I400" s="12">
        <v>1.0649999999999999</v>
      </c>
      <c r="J400" s="2">
        <v>2.4375</v>
      </c>
      <c r="K400" s="9">
        <v>8.3000000000000007</v>
      </c>
      <c r="L400" s="52">
        <f t="shared" si="8"/>
        <v>47.598591549295783</v>
      </c>
      <c r="M400" s="2">
        <v>16600</v>
      </c>
      <c r="N400" s="2">
        <v>967</v>
      </c>
      <c r="O400" s="2">
        <v>858</v>
      </c>
      <c r="P400" s="9">
        <v>16</v>
      </c>
      <c r="Q400" s="2">
        <v>988</v>
      </c>
      <c r="R400" s="2">
        <v>172</v>
      </c>
      <c r="S400" s="2">
        <v>112</v>
      </c>
      <c r="T400" s="10">
        <v>3.9</v>
      </c>
      <c r="U400" s="2">
        <v>18.529</v>
      </c>
      <c r="V400" s="2">
        <v>349000</v>
      </c>
      <c r="W400" s="188">
        <f t="shared" si="6"/>
        <v>4.6531025817580725</v>
      </c>
      <c r="X400" s="192">
        <f t="shared" si="7"/>
        <v>37.605000000000004</v>
      </c>
      <c r="AA400" s="39" t="str">
        <f t="shared" si="10"/>
        <v>W</v>
      </c>
    </row>
    <row r="401" spans="1:27" x14ac:dyDescent="0.2">
      <c r="A401" s="2" t="s">
        <v>2</v>
      </c>
      <c r="B401" s="2" t="s">
        <v>637</v>
      </c>
      <c r="C401" s="2" t="s">
        <v>389</v>
      </c>
      <c r="D401" s="2">
        <v>192</v>
      </c>
      <c r="E401" s="9">
        <v>56.5</v>
      </c>
      <c r="F401" s="10">
        <v>38.200000000000003</v>
      </c>
      <c r="G401" s="12">
        <v>17.71</v>
      </c>
      <c r="H401" s="12">
        <v>0.71</v>
      </c>
      <c r="I401" s="12">
        <v>0.83</v>
      </c>
      <c r="J401" s="44">
        <f>I401</f>
        <v>0.83</v>
      </c>
      <c r="K401" s="9">
        <v>10.7</v>
      </c>
      <c r="L401" s="52">
        <f t="shared" si="8"/>
        <v>51.464788732394375</v>
      </c>
      <c r="M401" s="2">
        <v>13500</v>
      </c>
      <c r="N401" s="2">
        <v>807</v>
      </c>
      <c r="O401" s="2">
        <v>708</v>
      </c>
      <c r="P401" s="9">
        <v>15.5</v>
      </c>
      <c r="Q401" s="2">
        <v>770</v>
      </c>
      <c r="R401" s="2">
        <v>135</v>
      </c>
      <c r="S401" s="9">
        <v>87</v>
      </c>
      <c r="T401" s="10">
        <v>3.69</v>
      </c>
      <c r="U401" s="2">
        <v>11.18</v>
      </c>
      <c r="V401" s="2">
        <v>268600</v>
      </c>
      <c r="W401" s="188">
        <f t="shared" si="6"/>
        <v>4.5079104984623299</v>
      </c>
      <c r="X401" s="192">
        <f t="shared" si="7"/>
        <v>37.370000000000005</v>
      </c>
      <c r="AA401" s="39" t="str">
        <f t="shared" si="10"/>
        <v>W</v>
      </c>
    </row>
    <row r="402" spans="1:27" x14ac:dyDescent="0.2">
      <c r="A402" s="2" t="s">
        <v>2</v>
      </c>
      <c r="B402" s="2" t="s">
        <v>638</v>
      </c>
      <c r="C402" s="2" t="s">
        <v>389</v>
      </c>
      <c r="D402" s="2">
        <v>531</v>
      </c>
      <c r="E402" s="9">
        <v>156</v>
      </c>
      <c r="F402" s="10">
        <v>42.34</v>
      </c>
      <c r="G402" s="12">
        <v>16.510000000000002</v>
      </c>
      <c r="H402" s="12">
        <v>1.61</v>
      </c>
      <c r="I402" s="12">
        <v>2.91</v>
      </c>
      <c r="J402" s="44">
        <f t="shared" ref="J402:J465" si="11">I402</f>
        <v>2.91</v>
      </c>
      <c r="K402" s="9">
        <v>2.8</v>
      </c>
      <c r="L402" s="52">
        <f t="shared" si="8"/>
        <v>22.683229813664596</v>
      </c>
      <c r="M402" s="2">
        <v>44300</v>
      </c>
      <c r="N402" s="2">
        <v>2450</v>
      </c>
      <c r="O402" s="2">
        <v>2090</v>
      </c>
      <c r="P402" s="9">
        <v>16.899999999999999</v>
      </c>
      <c r="Q402" s="2">
        <v>2200</v>
      </c>
      <c r="R402" s="2">
        <v>422</v>
      </c>
      <c r="S402" s="2">
        <v>266</v>
      </c>
      <c r="T402" s="10">
        <v>3.75</v>
      </c>
      <c r="U402" s="2">
        <v>305.32</v>
      </c>
      <c r="V402" s="2">
        <v>853300</v>
      </c>
      <c r="W402" s="188">
        <f t="shared" si="6"/>
        <v>4.555505633730176</v>
      </c>
      <c r="X402" s="192">
        <f t="shared" si="7"/>
        <v>39.430000000000007</v>
      </c>
      <c r="AA402" s="39" t="str">
        <f t="shared" si="10"/>
        <v>W</v>
      </c>
    </row>
    <row r="403" spans="1:27" x14ac:dyDescent="0.2">
      <c r="A403" s="2" t="s">
        <v>2</v>
      </c>
      <c r="B403" s="2" t="s">
        <v>639</v>
      </c>
      <c r="C403" s="2" t="s">
        <v>389</v>
      </c>
      <c r="D403" s="2">
        <v>480</v>
      </c>
      <c r="E403" s="9">
        <v>140</v>
      </c>
      <c r="F403" s="10">
        <v>41.81</v>
      </c>
      <c r="G403" s="12">
        <v>16.36</v>
      </c>
      <c r="H403" s="12">
        <v>1.46</v>
      </c>
      <c r="I403" s="12">
        <v>2.64</v>
      </c>
      <c r="J403" s="44">
        <f t="shared" si="11"/>
        <v>2.64</v>
      </c>
      <c r="K403" s="9">
        <v>3.1</v>
      </c>
      <c r="L403" s="52">
        <f t="shared" si="8"/>
        <v>25.020547945205482</v>
      </c>
      <c r="M403" s="2">
        <v>39500</v>
      </c>
      <c r="N403" s="2">
        <v>2180</v>
      </c>
      <c r="O403" s="2">
        <v>1890</v>
      </c>
      <c r="P403" s="9">
        <v>16.8</v>
      </c>
      <c r="Q403" s="2">
        <v>1940</v>
      </c>
      <c r="R403" s="2">
        <v>374</v>
      </c>
      <c r="S403" s="2">
        <v>237</v>
      </c>
      <c r="T403" s="10">
        <v>3.72</v>
      </c>
      <c r="U403" s="2">
        <v>227.81</v>
      </c>
      <c r="V403" s="2">
        <v>742600</v>
      </c>
      <c r="W403" s="188">
        <f t="shared" si="6"/>
        <v>4.4836504873954768</v>
      </c>
      <c r="X403" s="192">
        <f t="shared" si="7"/>
        <v>39.17</v>
      </c>
      <c r="AA403" s="39" t="str">
        <f t="shared" si="10"/>
        <v>W</v>
      </c>
    </row>
    <row r="404" spans="1:27" x14ac:dyDescent="0.2">
      <c r="A404" s="2" t="s">
        <v>2</v>
      </c>
      <c r="B404" s="2" t="s">
        <v>640</v>
      </c>
      <c r="C404" s="2" t="s">
        <v>389</v>
      </c>
      <c r="D404" s="2">
        <v>436</v>
      </c>
      <c r="E404" s="9">
        <v>128</v>
      </c>
      <c r="F404" s="10">
        <v>41.34</v>
      </c>
      <c r="G404" s="12">
        <v>16.239999999999998</v>
      </c>
      <c r="H404" s="12">
        <v>1.34</v>
      </c>
      <c r="I404" s="12">
        <v>2.4</v>
      </c>
      <c r="J404" s="44">
        <f t="shared" si="11"/>
        <v>2.4</v>
      </c>
      <c r="K404" s="9">
        <v>3.4</v>
      </c>
      <c r="L404" s="52">
        <f t="shared" si="8"/>
        <v>27.268656716417915</v>
      </c>
      <c r="M404" s="2">
        <v>35400</v>
      </c>
      <c r="N404" s="2">
        <v>1980</v>
      </c>
      <c r="O404" s="2">
        <v>1710</v>
      </c>
      <c r="P404" s="9">
        <v>16.600000000000001</v>
      </c>
      <c r="Q404" s="2">
        <v>1720</v>
      </c>
      <c r="R404" s="2">
        <v>334</v>
      </c>
      <c r="S404" s="2">
        <v>212</v>
      </c>
      <c r="T404" s="10">
        <v>3.67</v>
      </c>
      <c r="U404" s="2">
        <v>171.94</v>
      </c>
      <c r="V404" s="2">
        <v>652200</v>
      </c>
      <c r="W404" s="188">
        <f t="shared" si="6"/>
        <v>4.4253654819825679</v>
      </c>
      <c r="X404" s="192">
        <f t="shared" si="7"/>
        <v>38.940000000000005</v>
      </c>
      <c r="AA404" s="39" t="str">
        <f t="shared" si="10"/>
        <v>W</v>
      </c>
    </row>
    <row r="405" spans="1:27" x14ac:dyDescent="0.2">
      <c r="A405" s="2" t="s">
        <v>2</v>
      </c>
      <c r="B405" s="2" t="s">
        <v>641</v>
      </c>
      <c r="C405" s="2" t="s">
        <v>389</v>
      </c>
      <c r="D405" s="2">
        <v>720</v>
      </c>
      <c r="E405" s="9">
        <v>211</v>
      </c>
      <c r="F405" s="10">
        <v>41.19</v>
      </c>
      <c r="G405" s="12">
        <v>17.774999999999999</v>
      </c>
      <c r="H405" s="12">
        <v>2.165</v>
      </c>
      <c r="I405" s="12">
        <v>3.9</v>
      </c>
      <c r="J405" s="44">
        <f t="shared" si="11"/>
        <v>3.9</v>
      </c>
      <c r="K405" s="9">
        <v>2.2999999999999998</v>
      </c>
      <c r="L405" s="52">
        <f t="shared" si="8"/>
        <v>15.422632794457275</v>
      </c>
      <c r="M405" s="2">
        <v>55300</v>
      </c>
      <c r="N405" s="2">
        <v>3190</v>
      </c>
      <c r="O405" s="2">
        <v>2690</v>
      </c>
      <c r="P405" s="9">
        <v>16.2</v>
      </c>
      <c r="Q405" s="2">
        <v>3680</v>
      </c>
      <c r="R405" s="2">
        <v>656</v>
      </c>
      <c r="S405" s="2">
        <v>414</v>
      </c>
      <c r="T405" s="10">
        <v>4.18</v>
      </c>
      <c r="U405" s="2">
        <v>760.54</v>
      </c>
      <c r="V405" s="2">
        <v>1279000</v>
      </c>
      <c r="W405" s="188">
        <f t="shared" si="6"/>
        <v>5.0504370601108635</v>
      </c>
      <c r="X405" s="192">
        <f t="shared" si="7"/>
        <v>37.29</v>
      </c>
      <c r="AA405" s="39" t="str">
        <f t="shared" si="10"/>
        <v>W</v>
      </c>
    </row>
    <row r="406" spans="1:27" x14ac:dyDescent="0.2">
      <c r="A406" s="2" t="s">
        <v>2</v>
      </c>
      <c r="B406" s="2" t="s">
        <v>642</v>
      </c>
      <c r="C406" s="2" t="s">
        <v>389</v>
      </c>
      <c r="D406" s="2">
        <v>588</v>
      </c>
      <c r="E406" s="9">
        <v>172</v>
      </c>
      <c r="F406" s="10">
        <v>39.840000000000003</v>
      </c>
      <c r="G406" s="12">
        <v>17.399999999999999</v>
      </c>
      <c r="H406" s="12">
        <v>1.79</v>
      </c>
      <c r="I406" s="12">
        <v>3.23</v>
      </c>
      <c r="J406" s="44">
        <f t="shared" si="11"/>
        <v>3.23</v>
      </c>
      <c r="K406" s="9">
        <v>2.7</v>
      </c>
      <c r="L406" s="52">
        <f t="shared" si="8"/>
        <v>18.648044692737432</v>
      </c>
      <c r="M406" s="2">
        <v>43500</v>
      </c>
      <c r="N406" s="2">
        <v>2550</v>
      </c>
      <c r="O406" s="2">
        <v>2180</v>
      </c>
      <c r="P406" s="9">
        <v>15.9</v>
      </c>
      <c r="Q406" s="2">
        <v>2850</v>
      </c>
      <c r="R406" s="2">
        <v>517</v>
      </c>
      <c r="S406" s="2">
        <v>328</v>
      </c>
      <c r="T406" s="10">
        <v>4.07</v>
      </c>
      <c r="U406" s="2">
        <v>428.8</v>
      </c>
      <c r="V406" s="2">
        <v>955600</v>
      </c>
      <c r="W406" s="188">
        <f t="shared" si="6"/>
        <v>4.8919166615809404</v>
      </c>
      <c r="X406" s="192">
        <f t="shared" si="7"/>
        <v>36.610000000000007</v>
      </c>
      <c r="AA406" s="39" t="str">
        <f t="shared" si="10"/>
        <v>W</v>
      </c>
    </row>
    <row r="407" spans="1:27" x14ac:dyDescent="0.2">
      <c r="A407" s="2" t="s">
        <v>2</v>
      </c>
      <c r="B407" s="2" t="s">
        <v>643</v>
      </c>
      <c r="C407" s="2" t="s">
        <v>389</v>
      </c>
      <c r="D407" s="2">
        <v>485</v>
      </c>
      <c r="E407" s="9">
        <v>142</v>
      </c>
      <c r="F407" s="10">
        <v>38.74</v>
      </c>
      <c r="G407" s="12">
        <v>17.105</v>
      </c>
      <c r="H407" s="12">
        <v>1.5</v>
      </c>
      <c r="I407" s="12">
        <v>2.68</v>
      </c>
      <c r="J407" s="44">
        <f t="shared" si="11"/>
        <v>2.68</v>
      </c>
      <c r="K407" s="9">
        <v>3.2</v>
      </c>
      <c r="L407" s="52">
        <f t="shared" si="8"/>
        <v>22.253333333333334</v>
      </c>
      <c r="M407" s="2">
        <v>34700</v>
      </c>
      <c r="N407" s="2">
        <v>2070</v>
      </c>
      <c r="O407" s="2">
        <v>1790</v>
      </c>
      <c r="P407" s="9">
        <v>15.6</v>
      </c>
      <c r="Q407" s="2">
        <v>2250</v>
      </c>
      <c r="R407" s="2">
        <v>412</v>
      </c>
      <c r="S407" s="2">
        <v>263</v>
      </c>
      <c r="T407" s="10">
        <v>3.98</v>
      </c>
      <c r="U407" s="2">
        <v>245.39</v>
      </c>
      <c r="V407" s="2">
        <v>729700</v>
      </c>
      <c r="W407" s="188">
        <f t="shared" si="6"/>
        <v>4.760610026165665</v>
      </c>
      <c r="X407" s="192">
        <f t="shared" si="7"/>
        <v>36.06</v>
      </c>
      <c r="AA407" s="39" t="str">
        <f t="shared" si="10"/>
        <v>W</v>
      </c>
    </row>
    <row r="408" spans="1:27" x14ac:dyDescent="0.2">
      <c r="A408" s="2" t="s">
        <v>2</v>
      </c>
      <c r="B408" s="2" t="s">
        <v>644</v>
      </c>
      <c r="C408" s="2" t="s">
        <v>389</v>
      </c>
      <c r="D408" s="2">
        <v>619</v>
      </c>
      <c r="E408" s="9">
        <v>181</v>
      </c>
      <c r="F408" s="10">
        <v>38.47</v>
      </c>
      <c r="G408" s="12">
        <v>16.91</v>
      </c>
      <c r="H408" s="12">
        <v>1.97</v>
      </c>
      <c r="I408" s="12">
        <v>3.54</v>
      </c>
      <c r="J408" s="44">
        <f t="shared" si="11"/>
        <v>3.54</v>
      </c>
      <c r="K408" s="9">
        <v>2.4</v>
      </c>
      <c r="L408" s="52">
        <f t="shared" si="8"/>
        <v>15.934010152284264</v>
      </c>
      <c r="M408" s="2">
        <v>41800</v>
      </c>
      <c r="N408" s="2">
        <v>2560</v>
      </c>
      <c r="O408" s="2">
        <v>2170</v>
      </c>
      <c r="P408" s="9">
        <v>15.2</v>
      </c>
      <c r="Q408" s="2">
        <v>2870</v>
      </c>
      <c r="R408" s="2">
        <v>537</v>
      </c>
      <c r="S408" s="2">
        <v>340</v>
      </c>
      <c r="T408" s="10">
        <v>3.98</v>
      </c>
      <c r="U408" s="2">
        <v>542.9</v>
      </c>
      <c r="V408" s="2">
        <v>876300</v>
      </c>
      <c r="W408" s="188">
        <f t="shared" si="6"/>
        <v>4.8061284801534319</v>
      </c>
      <c r="X408" s="192">
        <f t="shared" si="7"/>
        <v>34.93</v>
      </c>
      <c r="AA408" s="39" t="str">
        <f t="shared" si="10"/>
        <v>W</v>
      </c>
    </row>
    <row r="409" spans="1:27" x14ac:dyDescent="0.2">
      <c r="A409" s="2" t="s">
        <v>2</v>
      </c>
      <c r="B409" s="2" t="s">
        <v>645</v>
      </c>
      <c r="C409" s="2" t="s">
        <v>389</v>
      </c>
      <c r="D409" s="2">
        <v>567</v>
      </c>
      <c r="E409" s="9">
        <v>166</v>
      </c>
      <c r="F409" s="10">
        <v>37.909999999999997</v>
      </c>
      <c r="G409" s="12">
        <v>16.75</v>
      </c>
      <c r="H409" s="12">
        <v>1.81</v>
      </c>
      <c r="I409" s="12">
        <v>3.27</v>
      </c>
      <c r="J409" s="44">
        <f t="shared" si="11"/>
        <v>3.27</v>
      </c>
      <c r="K409" s="9">
        <v>2.6</v>
      </c>
      <c r="L409" s="52">
        <f t="shared" si="8"/>
        <v>17.33149171270718</v>
      </c>
      <c r="M409" s="2">
        <v>37700</v>
      </c>
      <c r="N409" s="2">
        <v>2330</v>
      </c>
      <c r="O409" s="2">
        <v>1990</v>
      </c>
      <c r="P409" s="9">
        <v>15.1</v>
      </c>
      <c r="Q409" s="2">
        <v>2580</v>
      </c>
      <c r="R409" s="2">
        <v>485</v>
      </c>
      <c r="S409" s="2">
        <v>208</v>
      </c>
      <c r="T409" s="10">
        <v>3.94</v>
      </c>
      <c r="U409" s="2">
        <v>425.45</v>
      </c>
      <c r="V409" s="2">
        <v>773000</v>
      </c>
      <c r="W409" s="188">
        <f t="shared" si="6"/>
        <v>4.738678653051335</v>
      </c>
      <c r="X409" s="192">
        <f t="shared" si="7"/>
        <v>34.639999999999993</v>
      </c>
      <c r="AA409" s="39" t="str">
        <f t="shared" si="10"/>
        <v>W</v>
      </c>
    </row>
    <row r="410" spans="1:27" x14ac:dyDescent="0.2">
      <c r="A410" s="2" t="s">
        <v>2</v>
      </c>
      <c r="B410" s="2" t="s">
        <v>646</v>
      </c>
      <c r="C410" s="2" t="s">
        <v>389</v>
      </c>
      <c r="D410" s="2">
        <v>515</v>
      </c>
      <c r="E410" s="9">
        <v>151</v>
      </c>
      <c r="F410" s="10">
        <v>37.36</v>
      </c>
      <c r="G410" s="12">
        <v>16.59</v>
      </c>
      <c r="H410" s="12">
        <v>1.65</v>
      </c>
      <c r="I410" s="12">
        <v>2.99</v>
      </c>
      <c r="J410" s="44">
        <f t="shared" si="11"/>
        <v>2.99</v>
      </c>
      <c r="K410" s="9">
        <v>2.8</v>
      </c>
      <c r="L410" s="52">
        <f t="shared" si="8"/>
        <v>19.018181818181819</v>
      </c>
      <c r="M410" s="2">
        <v>33700</v>
      </c>
      <c r="N410" s="2">
        <v>2110</v>
      </c>
      <c r="O410" s="2">
        <v>1810</v>
      </c>
      <c r="P410" s="9">
        <v>14.9</v>
      </c>
      <c r="Q410" s="2">
        <v>2290</v>
      </c>
      <c r="R410" s="2">
        <v>433</v>
      </c>
      <c r="S410" s="2">
        <v>276</v>
      </c>
      <c r="T410" s="10">
        <v>3.89</v>
      </c>
      <c r="U410" s="2">
        <v>323.5</v>
      </c>
      <c r="V410" s="2">
        <v>675500</v>
      </c>
      <c r="W410" s="188">
        <f t="shared" si="6"/>
        <v>4.6628690809734668</v>
      </c>
      <c r="X410" s="192">
        <f t="shared" si="7"/>
        <v>34.369999999999997</v>
      </c>
      <c r="AA410" s="39" t="str">
        <f t="shared" si="10"/>
        <v>W</v>
      </c>
    </row>
    <row r="411" spans="1:27" x14ac:dyDescent="0.2">
      <c r="A411" s="2" t="s">
        <v>2</v>
      </c>
      <c r="B411" s="2" t="s">
        <v>647</v>
      </c>
      <c r="C411" s="2" t="s">
        <v>389</v>
      </c>
      <c r="D411" s="2">
        <v>468</v>
      </c>
      <c r="E411" s="9">
        <v>137</v>
      </c>
      <c r="F411" s="10">
        <v>36.81</v>
      </c>
      <c r="G411" s="12">
        <v>16.454999999999998</v>
      </c>
      <c r="H411" s="12">
        <v>1.52</v>
      </c>
      <c r="I411" s="12">
        <v>2.72</v>
      </c>
      <c r="J411" s="44">
        <f t="shared" si="11"/>
        <v>2.72</v>
      </c>
      <c r="K411" s="9">
        <v>3</v>
      </c>
      <c r="L411" s="52">
        <f t="shared" si="8"/>
        <v>20.638157894736842</v>
      </c>
      <c r="M411" s="2">
        <v>30100</v>
      </c>
      <c r="N411" s="2">
        <v>1890</v>
      </c>
      <c r="O411" s="2">
        <v>1630</v>
      </c>
      <c r="P411" s="9">
        <v>14.8</v>
      </c>
      <c r="Q411" s="2">
        <v>2030</v>
      </c>
      <c r="R411" s="2">
        <v>387</v>
      </c>
      <c r="S411" s="2">
        <v>247</v>
      </c>
      <c r="T411" s="10">
        <v>3.85</v>
      </c>
      <c r="U411" s="2">
        <v>244.96</v>
      </c>
      <c r="V411" s="2">
        <v>589500</v>
      </c>
      <c r="W411" s="188">
        <f t="shared" si="6"/>
        <v>4.607366068144529</v>
      </c>
      <c r="X411" s="192">
        <f t="shared" si="7"/>
        <v>34.090000000000003</v>
      </c>
      <c r="AA411" s="39" t="str">
        <f t="shared" si="10"/>
        <v>W</v>
      </c>
    </row>
    <row r="412" spans="1:27" x14ac:dyDescent="0.2">
      <c r="A412" s="2" t="s">
        <v>2</v>
      </c>
      <c r="B412" s="2" t="s">
        <v>648</v>
      </c>
      <c r="C412" s="2" t="s">
        <v>389</v>
      </c>
      <c r="D412" s="2">
        <v>424</v>
      </c>
      <c r="E412" s="9">
        <v>124</v>
      </c>
      <c r="F412" s="10">
        <v>36.340000000000003</v>
      </c>
      <c r="G412" s="12">
        <v>16.315000000000001</v>
      </c>
      <c r="H412" s="12">
        <v>1.38</v>
      </c>
      <c r="I412" s="12">
        <v>2.48</v>
      </c>
      <c r="J412" s="44">
        <f t="shared" si="11"/>
        <v>2.48</v>
      </c>
      <c r="K412" s="9">
        <v>3.3</v>
      </c>
      <c r="L412" s="52">
        <f t="shared" si="8"/>
        <v>22.739130434782613</v>
      </c>
      <c r="M412" s="2">
        <v>26900</v>
      </c>
      <c r="N412" s="2">
        <v>1700</v>
      </c>
      <c r="O412" s="2">
        <v>1480</v>
      </c>
      <c r="P412" s="9">
        <v>14.7</v>
      </c>
      <c r="Q412" s="2">
        <v>1800</v>
      </c>
      <c r="R412" s="2">
        <v>345</v>
      </c>
      <c r="S412" s="2">
        <v>221</v>
      </c>
      <c r="T412" s="10">
        <v>3.81</v>
      </c>
      <c r="U412" s="2">
        <v>185.16</v>
      </c>
      <c r="V412" s="2">
        <v>516500</v>
      </c>
      <c r="W412" s="188">
        <f t="shared" si="6"/>
        <v>4.5376800835383433</v>
      </c>
      <c r="X412" s="192">
        <f t="shared" si="7"/>
        <v>33.860000000000007</v>
      </c>
      <c r="AA412" s="39" t="str">
        <f t="shared" si="10"/>
        <v>W</v>
      </c>
    </row>
    <row r="413" spans="1:27" x14ac:dyDescent="0.2">
      <c r="A413" s="2" t="s">
        <v>2</v>
      </c>
      <c r="B413" s="2" t="s">
        <v>649</v>
      </c>
      <c r="C413" s="2" t="s">
        <v>389</v>
      </c>
      <c r="D413" s="2">
        <v>581</v>
      </c>
      <c r="E413" s="9">
        <v>170</v>
      </c>
      <c r="F413" s="10">
        <v>35.39</v>
      </c>
      <c r="G413" s="12">
        <v>16.2</v>
      </c>
      <c r="H413" s="12">
        <v>1.97</v>
      </c>
      <c r="I413" s="12">
        <v>3.54</v>
      </c>
      <c r="J413" s="44">
        <f t="shared" si="11"/>
        <v>3.54</v>
      </c>
      <c r="K413" s="9">
        <v>2.2999999999999998</v>
      </c>
      <c r="L413" s="52">
        <f t="shared" si="8"/>
        <v>14.37055837563452</v>
      </c>
      <c r="M413" s="2">
        <v>33000</v>
      </c>
      <c r="N413" s="2">
        <v>2210</v>
      </c>
      <c r="O413" s="2">
        <v>1870</v>
      </c>
      <c r="P413" s="9">
        <v>13.9</v>
      </c>
      <c r="Q413" s="2">
        <v>2530</v>
      </c>
      <c r="R413" s="2">
        <v>492</v>
      </c>
      <c r="S413" s="2">
        <v>312</v>
      </c>
      <c r="T413" s="10">
        <v>3.86</v>
      </c>
      <c r="U413" s="2">
        <v>513.87</v>
      </c>
      <c r="V413" s="2">
        <v>640700</v>
      </c>
      <c r="W413" s="188">
        <f t="shared" si="6"/>
        <v>4.6417225504433288</v>
      </c>
      <c r="X413" s="192">
        <f t="shared" si="7"/>
        <v>31.85</v>
      </c>
      <c r="AA413" s="39" t="str">
        <f t="shared" si="10"/>
        <v>W</v>
      </c>
    </row>
    <row r="414" spans="1:27" x14ac:dyDescent="0.2">
      <c r="A414" s="2" t="s">
        <v>2</v>
      </c>
      <c r="B414" s="2" t="s">
        <v>650</v>
      </c>
      <c r="C414" s="2" t="s">
        <v>389</v>
      </c>
      <c r="D414" s="2">
        <v>526</v>
      </c>
      <c r="E414" s="9">
        <v>154</v>
      </c>
      <c r="F414" s="10">
        <v>34.76</v>
      </c>
      <c r="G414" s="12">
        <v>16.02</v>
      </c>
      <c r="H414" s="12">
        <v>1.79</v>
      </c>
      <c r="I414" s="12">
        <v>3.23</v>
      </c>
      <c r="J414" s="44">
        <f t="shared" si="11"/>
        <v>3.23</v>
      </c>
      <c r="K414" s="9">
        <v>2.5</v>
      </c>
      <c r="L414" s="52">
        <f t="shared" si="8"/>
        <v>15.810055865921786</v>
      </c>
      <c r="M414" s="2">
        <v>29300</v>
      </c>
      <c r="N414" s="2">
        <v>1990</v>
      </c>
      <c r="O414" s="2">
        <v>1680</v>
      </c>
      <c r="P414" s="9">
        <v>13.8</v>
      </c>
      <c r="Q414" s="2">
        <v>2230</v>
      </c>
      <c r="R414" s="2">
        <v>438</v>
      </c>
      <c r="S414" s="2">
        <v>278</v>
      </c>
      <c r="T414" s="10">
        <v>3.8</v>
      </c>
      <c r="U414" s="2">
        <v>388.18</v>
      </c>
      <c r="V414" s="2">
        <v>553400</v>
      </c>
      <c r="W414" s="188">
        <f t="shared" si="6"/>
        <v>4.5745120739031515</v>
      </c>
      <c r="X414" s="192">
        <f t="shared" si="7"/>
        <v>31.529999999999998</v>
      </c>
      <c r="AA414" s="39" t="str">
        <f t="shared" si="10"/>
        <v>W</v>
      </c>
    </row>
    <row r="415" spans="1:27" x14ac:dyDescent="0.2">
      <c r="A415" s="2" t="s">
        <v>2</v>
      </c>
      <c r="B415" s="2" t="s">
        <v>651</v>
      </c>
      <c r="C415" s="2" t="s">
        <v>389</v>
      </c>
      <c r="D415" s="2">
        <v>433</v>
      </c>
      <c r="E415" s="9">
        <v>127</v>
      </c>
      <c r="F415" s="10">
        <v>33.659999999999997</v>
      </c>
      <c r="G415" s="12">
        <v>15.725</v>
      </c>
      <c r="H415" s="12">
        <v>1.5</v>
      </c>
      <c r="I415" s="12">
        <v>2.68</v>
      </c>
      <c r="J415" s="44">
        <f t="shared" si="11"/>
        <v>2.68</v>
      </c>
      <c r="K415" s="9">
        <v>2.9</v>
      </c>
      <c r="L415" s="52">
        <f t="shared" si="8"/>
        <v>18.866666666666664</v>
      </c>
      <c r="M415" s="2">
        <v>23200</v>
      </c>
      <c r="N415" s="2">
        <v>1610</v>
      </c>
      <c r="O415" s="2">
        <v>1380</v>
      </c>
      <c r="P415" s="9">
        <v>13.5</v>
      </c>
      <c r="Q415" s="2">
        <v>1750</v>
      </c>
      <c r="R415" s="2">
        <v>348</v>
      </c>
      <c r="S415" s="2">
        <v>222</v>
      </c>
      <c r="T415" s="10">
        <v>3.71</v>
      </c>
      <c r="U415" s="2">
        <v>221.81</v>
      </c>
      <c r="V415" s="2">
        <v>418600</v>
      </c>
      <c r="W415" s="188">
        <f t="shared" si="6"/>
        <v>4.4320554985276281</v>
      </c>
      <c r="X415" s="192">
        <f t="shared" si="7"/>
        <v>30.979999999999997</v>
      </c>
      <c r="AA415" s="39" t="str">
        <f t="shared" si="10"/>
        <v>W</v>
      </c>
    </row>
    <row r="416" spans="1:27" x14ac:dyDescent="0.2">
      <c r="A416" s="2" t="s">
        <v>2</v>
      </c>
      <c r="B416" s="2" t="s">
        <v>652</v>
      </c>
      <c r="C416" s="2" t="s">
        <v>389</v>
      </c>
      <c r="D416" s="2">
        <v>351</v>
      </c>
      <c r="E416" s="9">
        <v>104</v>
      </c>
      <c r="F416" s="10">
        <v>32.799999999999997</v>
      </c>
      <c r="G416" s="12">
        <v>15.47</v>
      </c>
      <c r="H416" s="12">
        <v>1.24</v>
      </c>
      <c r="I416" s="12">
        <v>2.2400000000000002</v>
      </c>
      <c r="J416" s="44">
        <f t="shared" si="11"/>
        <v>2.2400000000000002</v>
      </c>
      <c r="K416" s="9">
        <v>3.5</v>
      </c>
      <c r="L416" s="52">
        <f t="shared" si="8"/>
        <v>22.838709677419352</v>
      </c>
      <c r="M416" s="2">
        <v>18600</v>
      </c>
      <c r="N416" s="2">
        <v>1300</v>
      </c>
      <c r="O416" s="2">
        <v>1140</v>
      </c>
      <c r="P416" s="9">
        <v>13.4</v>
      </c>
      <c r="Q416" s="2">
        <v>1390</v>
      </c>
      <c r="R416" s="2">
        <v>279</v>
      </c>
      <c r="S416" s="2">
        <v>179</v>
      </c>
      <c r="T416" s="10">
        <v>3.65</v>
      </c>
      <c r="U416" s="2">
        <v>128.30000000000001</v>
      </c>
      <c r="V416" s="2">
        <v>323800</v>
      </c>
      <c r="W416" s="188">
        <f t="shared" si="6"/>
        <v>4.316349984996867</v>
      </c>
      <c r="X416" s="192">
        <f t="shared" si="7"/>
        <v>30.559999999999995</v>
      </c>
      <c r="AA416" s="39" t="str">
        <f t="shared" si="10"/>
        <v>W</v>
      </c>
    </row>
    <row r="417" spans="1:27" x14ac:dyDescent="0.2">
      <c r="A417" s="2" t="s">
        <v>2</v>
      </c>
      <c r="B417" s="2" t="s">
        <v>653</v>
      </c>
      <c r="C417" s="2" t="s">
        <v>389</v>
      </c>
      <c r="D417" s="2">
        <v>494</v>
      </c>
      <c r="E417" s="9">
        <v>145</v>
      </c>
      <c r="F417" s="10">
        <v>31.974</v>
      </c>
      <c r="G417" s="12">
        <v>15.095000000000001</v>
      </c>
      <c r="H417" s="12">
        <v>1.81</v>
      </c>
      <c r="I417" s="12">
        <v>3.27</v>
      </c>
      <c r="J417" s="44">
        <f t="shared" si="11"/>
        <v>3.27</v>
      </c>
      <c r="K417" s="9">
        <v>2.2999999999999998</v>
      </c>
      <c r="L417" s="52">
        <f t="shared" si="8"/>
        <v>14.051933701657459</v>
      </c>
      <c r="M417" s="2">
        <v>22900</v>
      </c>
      <c r="N417" s="2">
        <v>1710</v>
      </c>
      <c r="O417" s="2">
        <v>1440</v>
      </c>
      <c r="P417" s="9">
        <v>12.6</v>
      </c>
      <c r="Q417" s="2">
        <v>1890</v>
      </c>
      <c r="R417" s="2">
        <v>394</v>
      </c>
      <c r="S417" s="2">
        <v>250</v>
      </c>
      <c r="T417" s="10">
        <v>3.61</v>
      </c>
      <c r="U417" s="2">
        <v>374.69</v>
      </c>
      <c r="V417" s="2">
        <v>388600</v>
      </c>
      <c r="W417" s="188">
        <f t="shared" si="6"/>
        <v>4.3401612873256221</v>
      </c>
      <c r="X417" s="192">
        <f t="shared" si="7"/>
        <v>28.704000000000001</v>
      </c>
      <c r="AA417" s="39" t="str">
        <f t="shared" si="10"/>
        <v>W</v>
      </c>
    </row>
    <row r="418" spans="1:27" x14ac:dyDescent="0.2">
      <c r="A418" s="2" t="s">
        <v>2</v>
      </c>
      <c r="B418" s="2" t="s">
        <v>654</v>
      </c>
      <c r="C418" s="2" t="s">
        <v>389</v>
      </c>
      <c r="D418" s="2">
        <v>407</v>
      </c>
      <c r="E418" s="9">
        <v>119</v>
      </c>
      <c r="F418" s="10">
        <v>30.87</v>
      </c>
      <c r="G418" s="12">
        <v>14.8</v>
      </c>
      <c r="H418" s="12">
        <v>1.52</v>
      </c>
      <c r="I418" s="12">
        <v>2.72</v>
      </c>
      <c r="J418" s="44">
        <f t="shared" si="11"/>
        <v>2.72</v>
      </c>
      <c r="K418" s="9">
        <v>2.74</v>
      </c>
      <c r="L418" s="52">
        <f t="shared" si="8"/>
        <v>16.730263157894736</v>
      </c>
      <c r="M418" s="2">
        <v>18100</v>
      </c>
      <c r="N418" s="2">
        <v>1380</v>
      </c>
      <c r="O418" s="2">
        <v>1170</v>
      </c>
      <c r="P418" s="9">
        <v>12.3</v>
      </c>
      <c r="Q418" s="2">
        <v>1480</v>
      </c>
      <c r="R418" s="2">
        <v>313</v>
      </c>
      <c r="S418" s="2">
        <v>200</v>
      </c>
      <c r="T418" s="10">
        <v>3.52</v>
      </c>
      <c r="U418" s="2">
        <v>215.45</v>
      </c>
      <c r="V418" s="2">
        <v>292600</v>
      </c>
      <c r="W418" s="188">
        <f t="shared" si="6"/>
        <v>4.2195110503793565</v>
      </c>
      <c r="X418" s="192">
        <f t="shared" si="7"/>
        <v>28.150000000000002</v>
      </c>
      <c r="AA418" s="39" t="str">
        <f t="shared" si="10"/>
        <v>W</v>
      </c>
    </row>
    <row r="419" spans="1:27" x14ac:dyDescent="0.2">
      <c r="A419" s="2" t="s">
        <v>2</v>
      </c>
      <c r="B419" s="2" t="s">
        <v>655</v>
      </c>
      <c r="C419" s="2" t="s">
        <v>389</v>
      </c>
      <c r="D419" s="2">
        <v>450</v>
      </c>
      <c r="E419" s="9">
        <v>132</v>
      </c>
      <c r="F419" s="10">
        <v>29.09</v>
      </c>
      <c r="G419" s="12">
        <v>13.955</v>
      </c>
      <c r="H419" s="12">
        <v>1.81</v>
      </c>
      <c r="I419" s="12">
        <v>3.27</v>
      </c>
      <c r="J419" s="44">
        <f t="shared" si="11"/>
        <v>3.27</v>
      </c>
      <c r="K419" s="9">
        <v>2.1</v>
      </c>
      <c r="L419" s="52">
        <f t="shared" si="8"/>
        <v>12.458563535911603</v>
      </c>
      <c r="M419" s="2">
        <v>17100</v>
      </c>
      <c r="N419" s="2">
        <v>1410</v>
      </c>
      <c r="O419" s="2">
        <v>1170</v>
      </c>
      <c r="P419" s="9">
        <v>11.4</v>
      </c>
      <c r="Q419" s="2">
        <v>1490</v>
      </c>
      <c r="R419" s="2">
        <v>337</v>
      </c>
      <c r="S419" s="2">
        <v>214</v>
      </c>
      <c r="T419" s="10">
        <v>3.36</v>
      </c>
      <c r="U419" s="2">
        <v>342.2</v>
      </c>
      <c r="V419" s="2">
        <v>248700</v>
      </c>
      <c r="W419" s="188">
        <f t="shared" si="6"/>
        <v>4.0547429229163434</v>
      </c>
      <c r="X419" s="192">
        <f t="shared" si="7"/>
        <v>25.82</v>
      </c>
      <c r="AA419" s="39" t="str">
        <f t="shared" si="10"/>
        <v>W</v>
      </c>
    </row>
    <row r="420" spans="1:27" x14ac:dyDescent="0.2">
      <c r="A420" s="2" t="s">
        <v>2</v>
      </c>
      <c r="B420" s="2" t="s">
        <v>656</v>
      </c>
      <c r="C420" s="2" t="s">
        <v>389</v>
      </c>
      <c r="D420" s="2">
        <v>402</v>
      </c>
      <c r="E420" s="9">
        <v>118</v>
      </c>
      <c r="F420" s="10">
        <v>26.02</v>
      </c>
      <c r="G420" s="12">
        <v>13.404999999999999</v>
      </c>
      <c r="H420" s="12">
        <v>1.73</v>
      </c>
      <c r="I420" s="12">
        <v>3.13</v>
      </c>
      <c r="J420" s="44">
        <f t="shared" si="11"/>
        <v>3.13</v>
      </c>
      <c r="K420" s="9">
        <v>2.1</v>
      </c>
      <c r="L420" s="52">
        <f t="shared" si="8"/>
        <v>11.421965317919074</v>
      </c>
      <c r="M420" s="2">
        <v>12200</v>
      </c>
      <c r="N420" s="2">
        <v>1130</v>
      </c>
      <c r="O420" s="2">
        <v>937</v>
      </c>
      <c r="P420" s="9">
        <v>10.199999999999999</v>
      </c>
      <c r="Q420" s="2">
        <v>1270</v>
      </c>
      <c r="R420" s="2">
        <v>296</v>
      </c>
      <c r="S420" s="2">
        <v>189</v>
      </c>
      <c r="T420" s="10">
        <v>3.27</v>
      </c>
      <c r="U420" s="2">
        <v>284.87</v>
      </c>
      <c r="V420" s="2">
        <v>165700</v>
      </c>
      <c r="W420" s="188">
        <f t="shared" si="6"/>
        <v>3.938582650873129</v>
      </c>
      <c r="X420" s="192">
        <f t="shared" si="7"/>
        <v>22.89</v>
      </c>
      <c r="AA420" s="39" t="str">
        <f t="shared" si="10"/>
        <v>W</v>
      </c>
    </row>
    <row r="421" spans="1:27" x14ac:dyDescent="0.2">
      <c r="A421" s="2" t="s">
        <v>2</v>
      </c>
      <c r="B421" s="2" t="s">
        <v>657</v>
      </c>
      <c r="C421" s="2" t="s">
        <v>389</v>
      </c>
      <c r="D421" s="2">
        <v>364</v>
      </c>
      <c r="E421" s="9">
        <v>107</v>
      </c>
      <c r="F421" s="10">
        <v>25.47</v>
      </c>
      <c r="G421" s="12">
        <v>13.265000000000001</v>
      </c>
      <c r="H421" s="12">
        <v>1.59</v>
      </c>
      <c r="I421" s="12">
        <v>2.85</v>
      </c>
      <c r="J421" s="44">
        <f t="shared" si="11"/>
        <v>2.85</v>
      </c>
      <c r="K421" s="9">
        <v>2.2999999999999998</v>
      </c>
      <c r="L421" s="52">
        <f t="shared" si="8"/>
        <v>12.433962264150942</v>
      </c>
      <c r="M421" s="2">
        <v>10800</v>
      </c>
      <c r="N421" s="2">
        <v>1010</v>
      </c>
      <c r="O421" s="2">
        <v>746</v>
      </c>
      <c r="P421" s="9">
        <v>10</v>
      </c>
      <c r="Q421" s="2">
        <v>1120</v>
      </c>
      <c r="R421" s="2">
        <v>263</v>
      </c>
      <c r="S421" s="2">
        <v>168</v>
      </c>
      <c r="T421" s="10">
        <v>3.23</v>
      </c>
      <c r="U421" s="2">
        <v>215.58</v>
      </c>
      <c r="V421" s="2">
        <v>142700</v>
      </c>
      <c r="W421" s="188">
        <f t="shared" si="6"/>
        <v>4.1206990739325828</v>
      </c>
      <c r="X421" s="192">
        <f t="shared" si="7"/>
        <v>22.619999999999997</v>
      </c>
      <c r="AA421" s="39" t="str">
        <f t="shared" si="10"/>
        <v>W</v>
      </c>
    </row>
    <row r="422" spans="1:27" x14ac:dyDescent="0.2">
      <c r="A422" s="2" t="s">
        <v>2</v>
      </c>
      <c r="B422" s="2" t="s">
        <v>658</v>
      </c>
      <c r="C422" s="2" t="s">
        <v>389</v>
      </c>
      <c r="D422" s="2">
        <v>333</v>
      </c>
      <c r="E422" s="9">
        <v>97.9</v>
      </c>
      <c r="F422" s="10">
        <v>25</v>
      </c>
      <c r="G422" s="12">
        <v>13.13</v>
      </c>
      <c r="H422" s="12">
        <v>1.46</v>
      </c>
      <c r="I422" s="12">
        <v>2.62</v>
      </c>
      <c r="J422" s="44">
        <f t="shared" si="11"/>
        <v>2.62</v>
      </c>
      <c r="K422" s="9">
        <v>2.5</v>
      </c>
      <c r="L422" s="52">
        <f t="shared" si="8"/>
        <v>13.534246575342465</v>
      </c>
      <c r="M422" s="2">
        <v>9610</v>
      </c>
      <c r="N422" s="2">
        <v>915</v>
      </c>
      <c r="O422" s="2">
        <v>769</v>
      </c>
      <c r="P422" s="10">
        <v>9.91</v>
      </c>
      <c r="Q422" s="2">
        <v>994</v>
      </c>
      <c r="R422" s="2">
        <v>237</v>
      </c>
      <c r="S422" s="2">
        <v>151</v>
      </c>
      <c r="T422" s="10">
        <v>3.19</v>
      </c>
      <c r="U422" s="2">
        <v>166.71</v>
      </c>
      <c r="V422" s="2">
        <v>124400</v>
      </c>
      <c r="W422" s="188">
        <f t="shared" si="6"/>
        <v>3.8031641059997856</v>
      </c>
      <c r="X422" s="192">
        <f t="shared" si="7"/>
        <v>22.38</v>
      </c>
      <c r="AA422" s="39" t="str">
        <f t="shared" si="10"/>
        <v>W</v>
      </c>
    </row>
    <row r="423" spans="1:27" x14ac:dyDescent="0.2">
      <c r="A423" s="2" t="s">
        <v>2</v>
      </c>
      <c r="B423" s="2" t="s">
        <v>659</v>
      </c>
      <c r="C423" s="2" t="s">
        <v>389</v>
      </c>
      <c r="D423" s="2">
        <v>300</v>
      </c>
      <c r="E423" s="9">
        <v>88.2</v>
      </c>
      <c r="F423" s="10">
        <v>24.53</v>
      </c>
      <c r="G423" s="12">
        <v>12.99</v>
      </c>
      <c r="H423" s="12">
        <v>1.32</v>
      </c>
      <c r="I423" s="12">
        <v>2.38</v>
      </c>
      <c r="J423" s="44">
        <f t="shared" si="11"/>
        <v>2.38</v>
      </c>
      <c r="K423" s="9">
        <v>2.7</v>
      </c>
      <c r="L423" s="52">
        <f t="shared" si="8"/>
        <v>14.977272727272728</v>
      </c>
      <c r="M423" s="2">
        <v>8480</v>
      </c>
      <c r="N423" s="2">
        <v>816</v>
      </c>
      <c r="O423" s="2">
        <v>692</v>
      </c>
      <c r="P423" s="10">
        <v>9.81</v>
      </c>
      <c r="Q423" s="2">
        <v>873</v>
      </c>
      <c r="R423" s="2">
        <v>210</v>
      </c>
      <c r="S423" s="2">
        <v>134</v>
      </c>
      <c r="T423" s="10">
        <v>3.15</v>
      </c>
      <c r="U423" s="2">
        <v>124.26</v>
      </c>
      <c r="V423" s="2">
        <v>107100</v>
      </c>
      <c r="W423" s="188">
        <f t="shared" si="6"/>
        <v>3.7378850546908104</v>
      </c>
      <c r="X423" s="192">
        <f t="shared" si="7"/>
        <v>22.150000000000002</v>
      </c>
      <c r="AA423" s="39" t="str">
        <f t="shared" si="10"/>
        <v>W</v>
      </c>
    </row>
    <row r="424" spans="1:27" x14ac:dyDescent="0.2">
      <c r="A424" s="2" t="s">
        <v>2</v>
      </c>
      <c r="B424" s="2" t="s">
        <v>660</v>
      </c>
      <c r="C424" s="2" t="s">
        <v>389</v>
      </c>
      <c r="D424" s="2">
        <v>249</v>
      </c>
      <c r="E424" s="9">
        <v>72.8</v>
      </c>
      <c r="F424" s="10">
        <v>23.74</v>
      </c>
      <c r="G424" s="12">
        <v>12.775</v>
      </c>
      <c r="H424" s="12">
        <v>1.1000000000000001</v>
      </c>
      <c r="I424" s="12">
        <v>1.99</v>
      </c>
      <c r="J424" s="44">
        <f t="shared" si="11"/>
        <v>1.99</v>
      </c>
      <c r="K424" s="9">
        <v>3.2</v>
      </c>
      <c r="L424" s="52">
        <f t="shared" si="8"/>
        <v>17.963636363636361</v>
      </c>
      <c r="M424" s="2">
        <v>6760</v>
      </c>
      <c r="N424" s="2">
        <v>663</v>
      </c>
      <c r="O424" s="2">
        <v>569</v>
      </c>
      <c r="P424" s="10">
        <v>9.6300000000000008</v>
      </c>
      <c r="Q424" s="2">
        <v>694</v>
      </c>
      <c r="R424" s="2">
        <v>169</v>
      </c>
      <c r="S424" s="2">
        <v>109</v>
      </c>
      <c r="T424" s="10">
        <v>3.09</v>
      </c>
      <c r="U424" s="2">
        <v>72.23</v>
      </c>
      <c r="V424" s="2">
        <v>82040</v>
      </c>
      <c r="W424" s="188">
        <f t="shared" si="6"/>
        <v>3.6419856883236523</v>
      </c>
      <c r="X424" s="192">
        <f t="shared" si="7"/>
        <v>21.75</v>
      </c>
      <c r="AA424" s="39" t="str">
        <f t="shared" si="10"/>
        <v>W</v>
      </c>
    </row>
    <row r="425" spans="1:27" x14ac:dyDescent="0.2">
      <c r="A425" s="14" t="s">
        <v>291</v>
      </c>
      <c r="B425" s="2" t="s">
        <v>661</v>
      </c>
      <c r="C425" s="2" t="s">
        <v>390</v>
      </c>
      <c r="D425" s="14">
        <v>20</v>
      </c>
      <c r="E425" s="11">
        <v>5.89</v>
      </c>
      <c r="F425" s="11">
        <v>6</v>
      </c>
      <c r="G425" s="15">
        <v>5.9379999999999997</v>
      </c>
      <c r="H425" s="15">
        <v>0.25</v>
      </c>
      <c r="I425" s="15">
        <v>0.379</v>
      </c>
      <c r="J425" s="44">
        <f t="shared" si="11"/>
        <v>0.379</v>
      </c>
      <c r="K425" s="196">
        <v>7.8</v>
      </c>
      <c r="L425" s="196">
        <v>18.5</v>
      </c>
      <c r="M425" s="196">
        <v>39</v>
      </c>
      <c r="N425" s="14">
        <v>14.5</v>
      </c>
      <c r="O425" s="196">
        <v>13</v>
      </c>
      <c r="P425" s="14">
        <v>2.57</v>
      </c>
      <c r="Q425" s="14">
        <v>11.6</v>
      </c>
      <c r="R425" s="14">
        <v>6.25</v>
      </c>
      <c r="S425" s="11">
        <v>3.9</v>
      </c>
      <c r="T425" s="11">
        <v>1.4</v>
      </c>
      <c r="U425" s="14">
        <v>0.24099999999999999</v>
      </c>
      <c r="V425" s="2">
        <v>104.52</v>
      </c>
      <c r="W425" s="188">
        <f t="shared" ref="W425:W488" si="12">SQRT((Q425*X425)/(2*O425))</f>
        <v>1.5836132006366863</v>
      </c>
      <c r="X425" s="192">
        <f t="shared" ref="X425:X488" si="13">F425-I425</f>
        <v>5.6210000000000004</v>
      </c>
      <c r="AA425" s="39" t="str">
        <f t="shared" si="10"/>
        <v>M</v>
      </c>
    </row>
    <row r="426" spans="1:27" x14ac:dyDescent="0.2">
      <c r="A426" s="14" t="s">
        <v>291</v>
      </c>
      <c r="B426" s="2" t="s">
        <v>662</v>
      </c>
      <c r="C426" s="2" t="s">
        <v>390</v>
      </c>
      <c r="D426" s="14">
        <v>13</v>
      </c>
      <c r="E426" s="11">
        <v>3.81</v>
      </c>
      <c r="F426" s="11">
        <v>4</v>
      </c>
      <c r="G426" s="15">
        <v>3.94</v>
      </c>
      <c r="H426" s="15">
        <v>0.254</v>
      </c>
      <c r="I426" s="15">
        <v>0.371</v>
      </c>
      <c r="J426" s="44">
        <f t="shared" si="11"/>
        <v>0.371</v>
      </c>
      <c r="K426" s="196">
        <v>5.3</v>
      </c>
      <c r="L426" s="196">
        <v>10.4</v>
      </c>
      <c r="M426" s="14">
        <v>10.5</v>
      </c>
      <c r="N426" s="14">
        <v>6.05</v>
      </c>
      <c r="O426" s="14">
        <v>5.24</v>
      </c>
      <c r="P426" s="14">
        <v>1.66</v>
      </c>
      <c r="Q426" s="14">
        <v>3.36</v>
      </c>
      <c r="R426" s="14">
        <v>2.74</v>
      </c>
      <c r="S426" s="14">
        <v>1.71</v>
      </c>
      <c r="T426" s="14">
        <v>0.93899999999999995</v>
      </c>
      <c r="U426" s="14">
        <v>0.15</v>
      </c>
      <c r="V426" s="2">
        <v>12.465999999999999</v>
      </c>
      <c r="W426" s="188">
        <f t="shared" si="12"/>
        <v>1.0786548026157889</v>
      </c>
      <c r="X426" s="192">
        <f t="shared" si="13"/>
        <v>3.629</v>
      </c>
      <c r="AA426" s="39" t="str">
        <f t="shared" si="10"/>
        <v>M</v>
      </c>
    </row>
    <row r="427" spans="1:27" x14ac:dyDescent="0.2">
      <c r="A427" s="14" t="s">
        <v>2</v>
      </c>
      <c r="B427" s="2" t="s">
        <v>663</v>
      </c>
      <c r="C427" s="2" t="s">
        <v>390</v>
      </c>
      <c r="D427" s="14">
        <v>28</v>
      </c>
      <c r="E427" s="196">
        <v>75.7</v>
      </c>
      <c r="F427" s="11">
        <v>28.98</v>
      </c>
      <c r="G427" s="15">
        <v>14.27</v>
      </c>
      <c r="H427" s="15">
        <v>0.98</v>
      </c>
      <c r="I427" s="15">
        <v>1.77</v>
      </c>
      <c r="J427" s="44">
        <f t="shared" si="11"/>
        <v>1.77</v>
      </c>
      <c r="K427" s="196">
        <v>4</v>
      </c>
      <c r="L427" s="196">
        <v>24.7</v>
      </c>
      <c r="M427" s="14">
        <v>10800</v>
      </c>
      <c r="N427" s="14">
        <v>850</v>
      </c>
      <c r="O427" s="14">
        <v>742</v>
      </c>
      <c r="P427" s="196">
        <v>11.9</v>
      </c>
      <c r="Q427" s="14">
        <v>859</v>
      </c>
      <c r="R427" s="14">
        <v>187</v>
      </c>
      <c r="S427" s="14">
        <v>120</v>
      </c>
      <c r="T427" s="11">
        <v>3.37</v>
      </c>
      <c r="U427" s="14">
        <v>58.7</v>
      </c>
      <c r="V427" s="2">
        <v>159000</v>
      </c>
      <c r="W427" s="188">
        <f t="shared" si="12"/>
        <v>3.9686600765541131</v>
      </c>
      <c r="X427" s="192">
        <f t="shared" si="13"/>
        <v>27.21</v>
      </c>
      <c r="AA427" s="39" t="str">
        <f t="shared" si="10"/>
        <v>W</v>
      </c>
    </row>
    <row r="428" spans="1:27" x14ac:dyDescent="0.2">
      <c r="A428" s="14" t="s">
        <v>2</v>
      </c>
      <c r="B428" s="2" t="s">
        <v>664</v>
      </c>
      <c r="C428" s="2" t="s">
        <v>390</v>
      </c>
      <c r="D428" s="14">
        <v>426</v>
      </c>
      <c r="E428" s="196">
        <v>125</v>
      </c>
      <c r="F428" s="11">
        <v>18.670000000000002</v>
      </c>
      <c r="G428" s="15">
        <v>16.695</v>
      </c>
      <c r="H428" s="15">
        <v>1.875</v>
      </c>
      <c r="I428" s="15">
        <v>3.0350000000000001</v>
      </c>
      <c r="J428" s="44">
        <f t="shared" si="11"/>
        <v>3.0350000000000001</v>
      </c>
      <c r="K428" s="196">
        <v>2.8</v>
      </c>
      <c r="L428" s="196">
        <v>6.1</v>
      </c>
      <c r="M428" s="14">
        <v>6600</v>
      </c>
      <c r="N428" s="14">
        <v>869</v>
      </c>
      <c r="O428" s="14">
        <v>707</v>
      </c>
      <c r="P428" s="11">
        <v>7.26</v>
      </c>
      <c r="Q428" s="14">
        <v>2360</v>
      </c>
      <c r="R428" s="14">
        <v>434</v>
      </c>
      <c r="S428" s="14">
        <v>283</v>
      </c>
      <c r="T428" s="11">
        <v>4.34</v>
      </c>
      <c r="U428" s="14">
        <v>322.52999999999997</v>
      </c>
      <c r="V428" s="2">
        <v>144300</v>
      </c>
      <c r="W428" s="188">
        <f t="shared" si="12"/>
        <v>5.1083452259676223</v>
      </c>
      <c r="X428" s="192">
        <f t="shared" si="13"/>
        <v>15.635000000000002</v>
      </c>
      <c r="AA428" s="39" t="str">
        <f t="shared" si="10"/>
        <v>W</v>
      </c>
    </row>
    <row r="429" spans="1:27" x14ac:dyDescent="0.2">
      <c r="A429" s="14" t="s">
        <v>2</v>
      </c>
      <c r="B429" s="2" t="s">
        <v>665</v>
      </c>
      <c r="C429" s="2" t="s">
        <v>390</v>
      </c>
      <c r="D429" s="14">
        <v>398</v>
      </c>
      <c r="E429" s="196">
        <v>117</v>
      </c>
      <c r="F429" s="11">
        <v>18.29</v>
      </c>
      <c r="G429" s="15">
        <v>16.59</v>
      </c>
      <c r="H429" s="15">
        <v>1.77</v>
      </c>
      <c r="I429" s="15">
        <v>2.8450000000000002</v>
      </c>
      <c r="J429" s="44">
        <f t="shared" si="11"/>
        <v>2.8450000000000002</v>
      </c>
      <c r="K429" s="196">
        <v>2.9</v>
      </c>
      <c r="L429" s="196">
        <v>6.4</v>
      </c>
      <c r="M429" s="14">
        <v>6000</v>
      </c>
      <c r="N429" s="14">
        <v>801</v>
      </c>
      <c r="O429" s="14">
        <v>656</v>
      </c>
      <c r="P429" s="11">
        <v>7.16</v>
      </c>
      <c r="Q429" s="14">
        <v>2170</v>
      </c>
      <c r="R429" s="14">
        <v>402</v>
      </c>
      <c r="S429" s="14">
        <v>262</v>
      </c>
      <c r="T429" s="11">
        <v>4.3099999999999996</v>
      </c>
      <c r="U429" s="14">
        <v>265.47000000000003</v>
      </c>
      <c r="V429" s="2">
        <v>129500</v>
      </c>
      <c r="W429" s="188">
        <f t="shared" si="12"/>
        <v>5.0542521641707179</v>
      </c>
      <c r="X429" s="192">
        <f t="shared" si="13"/>
        <v>15.444999999999999</v>
      </c>
      <c r="AA429" s="39" t="str">
        <f t="shared" si="10"/>
        <v>W</v>
      </c>
    </row>
    <row r="430" spans="1:27" x14ac:dyDescent="0.2">
      <c r="A430" s="14" t="s">
        <v>2</v>
      </c>
      <c r="B430" s="2" t="s">
        <v>666</v>
      </c>
      <c r="C430" s="2" t="s">
        <v>390</v>
      </c>
      <c r="D430" s="14">
        <v>370</v>
      </c>
      <c r="E430" s="196">
        <v>109</v>
      </c>
      <c r="F430" s="11">
        <v>17.920000000000002</v>
      </c>
      <c r="G430" s="15">
        <v>16.475000000000001</v>
      </c>
      <c r="H430" s="15">
        <v>1.655</v>
      </c>
      <c r="I430" s="15">
        <v>2.66</v>
      </c>
      <c r="J430" s="44">
        <f t="shared" si="11"/>
        <v>2.66</v>
      </c>
      <c r="K430" s="196">
        <v>3.1</v>
      </c>
      <c r="L430" s="196">
        <v>6.9</v>
      </c>
      <c r="M430" s="14">
        <v>5440</v>
      </c>
      <c r="N430" s="14">
        <v>736</v>
      </c>
      <c r="O430" s="14">
        <v>607</v>
      </c>
      <c r="P430" s="11">
        <v>7.07</v>
      </c>
      <c r="Q430" s="14">
        <v>1990</v>
      </c>
      <c r="R430" s="14">
        <v>370</v>
      </c>
      <c r="S430" s="14">
        <v>241</v>
      </c>
      <c r="T430" s="11">
        <v>4.2699999999999996</v>
      </c>
      <c r="U430" s="14">
        <v>216.27</v>
      </c>
      <c r="V430" s="2">
        <v>115700</v>
      </c>
      <c r="W430" s="188">
        <f t="shared" si="12"/>
        <v>5.0014330730486147</v>
      </c>
      <c r="X430" s="192">
        <f t="shared" si="13"/>
        <v>15.260000000000002</v>
      </c>
      <c r="AA430" s="39" t="str">
        <f t="shared" si="10"/>
        <v>W</v>
      </c>
    </row>
    <row r="431" spans="1:27" x14ac:dyDescent="0.2">
      <c r="A431" s="14" t="s">
        <v>2</v>
      </c>
      <c r="B431" s="2" t="s">
        <v>667</v>
      </c>
      <c r="C431" s="2" t="s">
        <v>390</v>
      </c>
      <c r="D431" s="14">
        <v>342</v>
      </c>
      <c r="E431" s="196">
        <v>101</v>
      </c>
      <c r="F431" s="11">
        <v>17.54</v>
      </c>
      <c r="G431" s="15">
        <v>16.36</v>
      </c>
      <c r="H431" s="15">
        <v>1.54</v>
      </c>
      <c r="I431" s="15">
        <v>2.4700000000000002</v>
      </c>
      <c r="J431" s="44">
        <f t="shared" si="11"/>
        <v>2.4700000000000002</v>
      </c>
      <c r="K431" s="196">
        <v>3.3</v>
      </c>
      <c r="L431" s="196">
        <v>7.4</v>
      </c>
      <c r="M431" s="14">
        <v>4900</v>
      </c>
      <c r="N431" s="14">
        <v>672</v>
      </c>
      <c r="O431" s="14">
        <v>559</v>
      </c>
      <c r="P431" s="11">
        <v>6.98</v>
      </c>
      <c r="Q431" s="14">
        <v>1810</v>
      </c>
      <c r="R431" s="14">
        <v>338</v>
      </c>
      <c r="S431" s="14">
        <v>221</v>
      </c>
      <c r="T431" s="11">
        <v>4.24</v>
      </c>
      <c r="U431" s="14">
        <v>172.76</v>
      </c>
      <c r="V431" s="2">
        <v>102600</v>
      </c>
      <c r="W431" s="188">
        <f t="shared" si="12"/>
        <v>4.9394092626591428</v>
      </c>
      <c r="X431" s="192">
        <f t="shared" si="13"/>
        <v>15.069999999999999</v>
      </c>
      <c r="AA431" s="39" t="str">
        <f t="shared" si="10"/>
        <v>W</v>
      </c>
    </row>
    <row r="432" spans="1:27" x14ac:dyDescent="0.2">
      <c r="A432" s="14" t="s">
        <v>2</v>
      </c>
      <c r="B432" s="2" t="s">
        <v>668</v>
      </c>
      <c r="C432" s="2" t="s">
        <v>390</v>
      </c>
      <c r="D432" s="14">
        <v>311</v>
      </c>
      <c r="E432" s="196">
        <v>91.4</v>
      </c>
      <c r="F432" s="11">
        <v>17.12</v>
      </c>
      <c r="G432" s="15">
        <v>16.23</v>
      </c>
      <c r="H432" s="15">
        <v>1.41</v>
      </c>
      <c r="I432" s="15">
        <v>2.2599999999999998</v>
      </c>
      <c r="J432" s="44">
        <f t="shared" si="11"/>
        <v>2.2599999999999998</v>
      </c>
      <c r="K432" s="196">
        <v>3.6</v>
      </c>
      <c r="L432" s="196">
        <v>8.1</v>
      </c>
      <c r="M432" s="14">
        <v>4330</v>
      </c>
      <c r="N432" s="14">
        <v>603</v>
      </c>
      <c r="O432" s="14">
        <v>506</v>
      </c>
      <c r="P432" s="11">
        <v>6.88</v>
      </c>
      <c r="Q432" s="14">
        <v>1610</v>
      </c>
      <c r="R432" s="14">
        <v>304</v>
      </c>
      <c r="S432" s="14">
        <v>199</v>
      </c>
      <c r="T432" s="11">
        <v>4.2</v>
      </c>
      <c r="U432" s="14">
        <v>131.91</v>
      </c>
      <c r="V432" s="2">
        <v>89060</v>
      </c>
      <c r="W432" s="188">
        <f t="shared" si="12"/>
        <v>4.8621917990664558</v>
      </c>
      <c r="X432" s="192">
        <f t="shared" si="13"/>
        <v>14.860000000000001</v>
      </c>
      <c r="AA432" s="39" t="str">
        <f t="shared" si="10"/>
        <v>W</v>
      </c>
    </row>
    <row r="433" spans="1:27" x14ac:dyDescent="0.2">
      <c r="A433" s="14" t="s">
        <v>2</v>
      </c>
      <c r="B433" s="2" t="s">
        <v>669</v>
      </c>
      <c r="C433" s="2" t="s">
        <v>390</v>
      </c>
      <c r="D433" s="14">
        <v>283</v>
      </c>
      <c r="E433" s="196">
        <v>83.3</v>
      </c>
      <c r="F433" s="11">
        <v>16.739999999999998</v>
      </c>
      <c r="G433" s="15">
        <v>16.11</v>
      </c>
      <c r="H433" s="15">
        <v>1.29</v>
      </c>
      <c r="I433" s="15">
        <v>2.0699999999999998</v>
      </c>
      <c r="J433" s="44">
        <f t="shared" si="11"/>
        <v>2.0699999999999998</v>
      </c>
      <c r="K433" s="196">
        <v>3.9</v>
      </c>
      <c r="L433" s="196">
        <v>8.8000000000000007</v>
      </c>
      <c r="M433" s="14">
        <v>3840</v>
      </c>
      <c r="N433" s="14">
        <v>542</v>
      </c>
      <c r="O433" s="14">
        <v>459</v>
      </c>
      <c r="P433" s="11">
        <v>6.79</v>
      </c>
      <c r="Q433" s="14">
        <v>1440</v>
      </c>
      <c r="R433" s="14">
        <v>274</v>
      </c>
      <c r="S433" s="14">
        <v>179</v>
      </c>
      <c r="T433" s="11">
        <v>4.17</v>
      </c>
      <c r="U433" s="14">
        <v>100.91</v>
      </c>
      <c r="V433" s="2">
        <v>77730</v>
      </c>
      <c r="W433" s="188">
        <f t="shared" si="12"/>
        <v>4.7970579218811134</v>
      </c>
      <c r="X433" s="192">
        <f t="shared" si="13"/>
        <v>14.669999999999998</v>
      </c>
      <c r="AA433" s="39" t="str">
        <f t="shared" si="10"/>
        <v>W</v>
      </c>
    </row>
    <row r="434" spans="1:27" x14ac:dyDescent="0.2">
      <c r="A434" s="14" t="s">
        <v>2</v>
      </c>
      <c r="B434" s="2" t="s">
        <v>670</v>
      </c>
      <c r="C434" s="2" t="s">
        <v>390</v>
      </c>
      <c r="D434" s="14">
        <v>257</v>
      </c>
      <c r="E434" s="196">
        <v>75.599999999999994</v>
      </c>
      <c r="F434" s="11">
        <v>16.38</v>
      </c>
      <c r="G434" s="15">
        <v>15.994999999999999</v>
      </c>
      <c r="H434" s="15">
        <v>1.175</v>
      </c>
      <c r="I434" s="15">
        <v>1.89</v>
      </c>
      <c r="J434" s="44">
        <f t="shared" si="11"/>
        <v>1.89</v>
      </c>
      <c r="K434" s="196">
        <v>4.2</v>
      </c>
      <c r="L434" s="196">
        <v>9.6999999999999993</v>
      </c>
      <c r="M434" s="14">
        <v>3400</v>
      </c>
      <c r="N434" s="14">
        <v>487</v>
      </c>
      <c r="O434" s="14">
        <v>415</v>
      </c>
      <c r="P434" s="11">
        <v>6.71</v>
      </c>
      <c r="Q434" s="14">
        <v>1290</v>
      </c>
      <c r="R434" s="14">
        <v>246</v>
      </c>
      <c r="S434" s="14">
        <v>161</v>
      </c>
      <c r="T434" s="11">
        <v>4.13</v>
      </c>
      <c r="U434" s="14">
        <v>76.540000000000006</v>
      </c>
      <c r="V434" s="2">
        <v>67750</v>
      </c>
      <c r="W434" s="188">
        <f t="shared" si="12"/>
        <v>4.745587678005597</v>
      </c>
      <c r="X434" s="192">
        <f t="shared" si="13"/>
        <v>14.489999999999998</v>
      </c>
      <c r="AA434" s="39" t="str">
        <f t="shared" si="10"/>
        <v>W</v>
      </c>
    </row>
    <row r="435" spans="1:27" x14ac:dyDescent="0.2">
      <c r="A435" s="14" t="s">
        <v>2</v>
      </c>
      <c r="B435" s="2" t="s">
        <v>671</v>
      </c>
      <c r="C435" s="2" t="s">
        <v>390</v>
      </c>
      <c r="D435" s="14">
        <v>233</v>
      </c>
      <c r="E435" s="196">
        <v>68.5</v>
      </c>
      <c r="F435" s="11">
        <v>16.04</v>
      </c>
      <c r="G435" s="15">
        <v>15.89</v>
      </c>
      <c r="H435" s="15">
        <v>1.07</v>
      </c>
      <c r="I435" s="15">
        <v>1.72</v>
      </c>
      <c r="J435" s="44">
        <f t="shared" si="11"/>
        <v>1.72</v>
      </c>
      <c r="K435" s="196">
        <v>4.5999999999999996</v>
      </c>
      <c r="L435" s="196">
        <v>10.7</v>
      </c>
      <c r="M435" s="14">
        <v>3010</v>
      </c>
      <c r="N435" s="14">
        <v>436</v>
      </c>
      <c r="O435" s="14">
        <v>375</v>
      </c>
      <c r="P435" s="11">
        <v>6.63</v>
      </c>
      <c r="Q435" s="14">
        <v>1150</v>
      </c>
      <c r="R435" s="14">
        <v>221</v>
      </c>
      <c r="S435" s="14">
        <v>145</v>
      </c>
      <c r="T435" s="11">
        <v>4.0999999999999996</v>
      </c>
      <c r="U435" s="14">
        <v>57.6</v>
      </c>
      <c r="V435" s="2">
        <v>59030</v>
      </c>
      <c r="W435" s="188">
        <f t="shared" si="12"/>
        <v>4.6858652705059001</v>
      </c>
      <c r="X435" s="192">
        <f t="shared" si="13"/>
        <v>14.319999999999999</v>
      </c>
      <c r="AA435" s="39" t="str">
        <f t="shared" si="10"/>
        <v>W</v>
      </c>
    </row>
    <row r="436" spans="1:27" x14ac:dyDescent="0.2">
      <c r="A436" s="14" t="s">
        <v>2</v>
      </c>
      <c r="B436" s="2" t="s">
        <v>672</v>
      </c>
      <c r="C436" s="2" t="s">
        <v>390</v>
      </c>
      <c r="D436" s="14">
        <v>211</v>
      </c>
      <c r="E436" s="196">
        <v>62</v>
      </c>
      <c r="F436" s="11">
        <v>15.72</v>
      </c>
      <c r="G436" s="15">
        <v>15.8</v>
      </c>
      <c r="H436" s="15">
        <v>0.98</v>
      </c>
      <c r="I436" s="15">
        <v>1.56</v>
      </c>
      <c r="J436" s="44">
        <f t="shared" si="11"/>
        <v>1.56</v>
      </c>
      <c r="K436" s="196">
        <v>5.0999999999999996</v>
      </c>
      <c r="L436" s="196">
        <v>11.6</v>
      </c>
      <c r="M436" s="14">
        <v>2660</v>
      </c>
      <c r="N436" s="14">
        <v>390</v>
      </c>
      <c r="O436" s="14">
        <v>338</v>
      </c>
      <c r="P436" s="11">
        <v>6.55</v>
      </c>
      <c r="Q436" s="14">
        <v>1030</v>
      </c>
      <c r="R436" s="14">
        <v>198</v>
      </c>
      <c r="S436" s="14">
        <v>130</v>
      </c>
      <c r="T436" s="11">
        <v>4.07</v>
      </c>
      <c r="U436" s="14">
        <v>43.07</v>
      </c>
      <c r="V436" s="2">
        <v>51460</v>
      </c>
      <c r="W436" s="188">
        <f t="shared" si="12"/>
        <v>4.6449055888138435</v>
      </c>
      <c r="X436" s="192">
        <f t="shared" si="13"/>
        <v>14.16</v>
      </c>
      <c r="AA436" s="39" t="str">
        <f t="shared" si="10"/>
        <v>W</v>
      </c>
    </row>
    <row r="437" spans="1:27" x14ac:dyDescent="0.2">
      <c r="A437" s="14" t="s">
        <v>2</v>
      </c>
      <c r="B437" s="2" t="s">
        <v>673</v>
      </c>
      <c r="C437" s="2" t="s">
        <v>390</v>
      </c>
      <c r="D437" s="14">
        <v>193</v>
      </c>
      <c r="E437" s="196">
        <v>56.8</v>
      </c>
      <c r="F437" s="11">
        <v>15.48</v>
      </c>
      <c r="G437" s="15">
        <v>15.71</v>
      </c>
      <c r="H437" s="15">
        <v>0.89</v>
      </c>
      <c r="I437" s="15">
        <v>1.44</v>
      </c>
      <c r="J437" s="44">
        <f t="shared" si="11"/>
        <v>1.44</v>
      </c>
      <c r="K437" s="196">
        <v>5.5</v>
      </c>
      <c r="L437" s="196">
        <v>12.8</v>
      </c>
      <c r="M437" s="14">
        <v>2400</v>
      </c>
      <c r="N437" s="14">
        <v>355</v>
      </c>
      <c r="O437" s="14">
        <v>310</v>
      </c>
      <c r="P437" s="11">
        <v>6.5</v>
      </c>
      <c r="Q437" s="14">
        <v>931</v>
      </c>
      <c r="R437" s="14">
        <v>180</v>
      </c>
      <c r="S437" s="14">
        <v>119</v>
      </c>
      <c r="T437" s="11">
        <v>4.05</v>
      </c>
      <c r="U437" s="14">
        <v>33.51</v>
      </c>
      <c r="V437" s="2">
        <v>45890</v>
      </c>
      <c r="W437" s="188">
        <f t="shared" si="12"/>
        <v>4.5915841668524742</v>
      </c>
      <c r="X437" s="192">
        <f t="shared" si="13"/>
        <v>14.040000000000001</v>
      </c>
      <c r="AA437" s="39" t="str">
        <f t="shared" si="10"/>
        <v>W</v>
      </c>
    </row>
    <row r="438" spans="1:27" x14ac:dyDescent="0.2">
      <c r="A438" s="14" t="s">
        <v>2</v>
      </c>
      <c r="B438" s="2" t="s">
        <v>674</v>
      </c>
      <c r="C438" s="2" t="s">
        <v>390</v>
      </c>
      <c r="D438" s="14">
        <v>176</v>
      </c>
      <c r="E438" s="196">
        <v>51.8</v>
      </c>
      <c r="F438" s="11">
        <v>15.22</v>
      </c>
      <c r="G438" s="15">
        <v>15.65</v>
      </c>
      <c r="H438" s="15">
        <v>0.83</v>
      </c>
      <c r="I438" s="15">
        <v>1.31</v>
      </c>
      <c r="J438" s="44">
        <f t="shared" si="11"/>
        <v>1.31</v>
      </c>
      <c r="K438" s="196">
        <v>6</v>
      </c>
      <c r="L438" s="196">
        <v>13.7</v>
      </c>
      <c r="M438" s="14">
        <v>2140</v>
      </c>
      <c r="N438" s="14">
        <v>320</v>
      </c>
      <c r="O438" s="14">
        <v>281</v>
      </c>
      <c r="P438" s="11">
        <v>6.43</v>
      </c>
      <c r="Q438" s="14">
        <v>838</v>
      </c>
      <c r="R438" s="14">
        <v>163</v>
      </c>
      <c r="S438" s="14">
        <v>107</v>
      </c>
      <c r="T438" s="11">
        <v>4.0199999999999996</v>
      </c>
      <c r="U438" s="14">
        <v>25.46</v>
      </c>
      <c r="V438" s="2">
        <v>40510</v>
      </c>
      <c r="W438" s="188">
        <f t="shared" si="12"/>
        <v>4.5542557626467826</v>
      </c>
      <c r="X438" s="192">
        <f t="shared" si="13"/>
        <v>13.91</v>
      </c>
      <c r="AA438" s="39" t="str">
        <f t="shared" si="10"/>
        <v>W</v>
      </c>
    </row>
    <row r="439" spans="1:27" x14ac:dyDescent="0.2">
      <c r="A439" s="14" t="s">
        <v>2</v>
      </c>
      <c r="B439" s="2" t="s">
        <v>675</v>
      </c>
      <c r="C439" s="2" t="s">
        <v>390</v>
      </c>
      <c r="D439" s="14">
        <v>159</v>
      </c>
      <c r="E439" s="196">
        <v>46.7</v>
      </c>
      <c r="F439" s="11">
        <v>14.98</v>
      </c>
      <c r="G439" s="15">
        <v>15.565</v>
      </c>
      <c r="H439" s="15">
        <v>0.745</v>
      </c>
      <c r="I439" s="15">
        <v>1.19</v>
      </c>
      <c r="J439" s="44">
        <f t="shared" si="11"/>
        <v>1.19</v>
      </c>
      <c r="K439" s="196">
        <v>6.5</v>
      </c>
      <c r="L439" s="196">
        <v>15.3</v>
      </c>
      <c r="M439" s="14">
        <v>1900</v>
      </c>
      <c r="N439" s="14">
        <v>287</v>
      </c>
      <c r="O439" s="14">
        <v>254</v>
      </c>
      <c r="P439" s="11">
        <v>6.38</v>
      </c>
      <c r="Q439" s="14">
        <v>748</v>
      </c>
      <c r="R439" s="14">
        <v>146</v>
      </c>
      <c r="S439" s="14">
        <v>96.2</v>
      </c>
      <c r="T439" s="11">
        <v>4</v>
      </c>
      <c r="U439" s="14">
        <v>18.925000000000001</v>
      </c>
      <c r="V439" s="2">
        <v>35580</v>
      </c>
      <c r="W439" s="188">
        <f t="shared" si="12"/>
        <v>4.5061025986900543</v>
      </c>
      <c r="X439" s="192">
        <f t="shared" si="13"/>
        <v>13.790000000000001</v>
      </c>
      <c r="AA439" s="39" t="str">
        <f t="shared" si="10"/>
        <v>W</v>
      </c>
    </row>
    <row r="440" spans="1:27" x14ac:dyDescent="0.2">
      <c r="A440" s="14" t="s">
        <v>2</v>
      </c>
      <c r="B440" s="2" t="s">
        <v>676</v>
      </c>
      <c r="C440" s="2" t="s">
        <v>390</v>
      </c>
      <c r="D440" s="14">
        <v>145</v>
      </c>
      <c r="E440" s="196">
        <v>42.7</v>
      </c>
      <c r="F440" s="11">
        <v>14.78</v>
      </c>
      <c r="G440" s="15">
        <v>15.5</v>
      </c>
      <c r="H440" s="15">
        <v>0.68</v>
      </c>
      <c r="I440" s="15">
        <v>1.0900000000000001</v>
      </c>
      <c r="J440" s="44">
        <f t="shared" si="11"/>
        <v>1.0900000000000001</v>
      </c>
      <c r="K440" s="196">
        <v>7.1</v>
      </c>
      <c r="L440" s="196">
        <v>16.8</v>
      </c>
      <c r="M440" s="14">
        <v>1710</v>
      </c>
      <c r="N440" s="14">
        <v>260</v>
      </c>
      <c r="O440" s="14">
        <v>232</v>
      </c>
      <c r="P440" s="11">
        <v>6.33</v>
      </c>
      <c r="Q440" s="14">
        <v>677</v>
      </c>
      <c r="R440" s="14">
        <v>133</v>
      </c>
      <c r="S440" s="14">
        <v>87.3</v>
      </c>
      <c r="T440" s="11">
        <v>3.98</v>
      </c>
      <c r="U440" s="14">
        <v>14.48</v>
      </c>
      <c r="V440" s="2">
        <v>31710</v>
      </c>
      <c r="W440" s="188">
        <f t="shared" si="12"/>
        <v>4.4692748968315064</v>
      </c>
      <c r="X440" s="192">
        <f t="shared" si="13"/>
        <v>13.69</v>
      </c>
      <c r="AA440" s="39" t="str">
        <f t="shared" si="10"/>
        <v>W</v>
      </c>
    </row>
    <row r="441" spans="1:27" x14ac:dyDescent="0.2">
      <c r="A441" s="2" t="s">
        <v>291</v>
      </c>
      <c r="B441" s="2" t="s">
        <v>677</v>
      </c>
      <c r="C441" s="2" t="s">
        <v>391</v>
      </c>
      <c r="D441" s="9">
        <v>7.4</v>
      </c>
      <c r="E441" s="10">
        <v>5.0999999999999996</v>
      </c>
      <c r="F441" s="2">
        <v>14</v>
      </c>
      <c r="G441" s="12">
        <v>4</v>
      </c>
      <c r="H441" s="12">
        <v>0.215</v>
      </c>
      <c r="I441" s="2">
        <v>0.27</v>
      </c>
      <c r="J441" s="44">
        <f t="shared" si="11"/>
        <v>0.27</v>
      </c>
      <c r="K441" s="10">
        <f t="shared" ref="K441:K448" si="14">G441/(2*I441)</f>
        <v>7.4074074074074066</v>
      </c>
      <c r="L441" s="52">
        <f t="shared" ref="L441:L472" si="15">(F441-2*J441)/H441</f>
        <v>62.604651162790702</v>
      </c>
      <c r="M441" s="2">
        <v>148</v>
      </c>
      <c r="N441" s="2">
        <v>24.9</v>
      </c>
      <c r="O441" s="2">
        <v>21.1</v>
      </c>
      <c r="P441" s="2">
        <v>5.38</v>
      </c>
      <c r="Q441" s="2">
        <v>2.64</v>
      </c>
      <c r="R441" s="2">
        <v>2.2000000000000002</v>
      </c>
      <c r="S441" s="2">
        <v>1.32</v>
      </c>
      <c r="T441" s="2">
        <v>0.71899999999999997</v>
      </c>
      <c r="U441" s="2">
        <v>0.11</v>
      </c>
      <c r="V441" s="52">
        <f t="shared" ref="V441:V448" si="16">(Q441*X441^2)/4</f>
        <v>124.418514</v>
      </c>
      <c r="W441" s="188">
        <f t="shared" si="12"/>
        <v>0.92678929030583446</v>
      </c>
      <c r="X441" s="192">
        <f t="shared" si="13"/>
        <v>13.73</v>
      </c>
      <c r="AA441" s="39" t="str">
        <f t="shared" si="10"/>
        <v>M</v>
      </c>
    </row>
    <row r="442" spans="1:27" x14ac:dyDescent="0.2">
      <c r="A442" s="2" t="s">
        <v>291</v>
      </c>
      <c r="B442" s="2" t="s">
        <v>678</v>
      </c>
      <c r="C442" s="2" t="s">
        <v>391</v>
      </c>
      <c r="D442" s="9">
        <v>6.8</v>
      </c>
      <c r="E442" s="10">
        <v>3.47</v>
      </c>
      <c r="F442" s="2">
        <v>12</v>
      </c>
      <c r="G442" s="12">
        <v>3.0649999999999999</v>
      </c>
      <c r="H442" s="12">
        <v>0.17699999999999999</v>
      </c>
      <c r="I442" s="2">
        <v>0.22500000000000001</v>
      </c>
      <c r="J442" s="44">
        <f t="shared" si="11"/>
        <v>0.22500000000000001</v>
      </c>
      <c r="K442" s="10">
        <f t="shared" si="14"/>
        <v>6.8111111111111109</v>
      </c>
      <c r="L442" s="52">
        <f t="shared" si="15"/>
        <v>65.254237288135599</v>
      </c>
      <c r="M442" s="2">
        <v>71.900000000000006</v>
      </c>
      <c r="N442" s="2">
        <v>14.3</v>
      </c>
      <c r="O442" s="9">
        <v>12</v>
      </c>
      <c r="P442" s="2">
        <v>4.55</v>
      </c>
      <c r="Q442" s="12">
        <v>0.98</v>
      </c>
      <c r="R442" s="2">
        <v>1.0900000000000001</v>
      </c>
      <c r="S442" s="2">
        <v>0.63900000000000001</v>
      </c>
      <c r="T442" s="2">
        <v>0.53200000000000003</v>
      </c>
      <c r="U442" s="2">
        <v>0.05</v>
      </c>
      <c r="V442" s="52">
        <f t="shared" si="16"/>
        <v>33.969403125000007</v>
      </c>
      <c r="W442" s="188">
        <f t="shared" si="12"/>
        <v>0.69340644646556326</v>
      </c>
      <c r="X442" s="192">
        <f t="shared" si="13"/>
        <v>11.775</v>
      </c>
      <c r="AA442" s="39" t="str">
        <f t="shared" si="10"/>
        <v>M</v>
      </c>
    </row>
    <row r="443" spans="1:27" x14ac:dyDescent="0.2">
      <c r="A443" s="2" t="s">
        <v>291</v>
      </c>
      <c r="B443" s="2" t="s">
        <v>679</v>
      </c>
      <c r="C443" s="2" t="s">
        <v>391</v>
      </c>
      <c r="D443" s="9">
        <v>6.5</v>
      </c>
      <c r="E443" s="10">
        <v>2.65</v>
      </c>
      <c r="F443" s="2">
        <v>10</v>
      </c>
      <c r="G443" s="12">
        <v>2.69</v>
      </c>
      <c r="H443" s="12">
        <v>0.157</v>
      </c>
      <c r="I443" s="2">
        <v>0.20599999999999999</v>
      </c>
      <c r="J443" s="44">
        <f t="shared" si="11"/>
        <v>0.20599999999999999</v>
      </c>
      <c r="K443" s="10">
        <f t="shared" si="14"/>
        <v>6.5291262135922334</v>
      </c>
      <c r="L443" s="52">
        <f t="shared" si="15"/>
        <v>61.07006369426751</v>
      </c>
      <c r="M443" s="2">
        <v>38.799999999999997</v>
      </c>
      <c r="N443" s="2">
        <v>9.19</v>
      </c>
      <c r="O443" s="2">
        <v>7.76</v>
      </c>
      <c r="P443" s="2">
        <v>3.83</v>
      </c>
      <c r="Q443" s="2">
        <v>0.60899999999999999</v>
      </c>
      <c r="R443" s="2">
        <v>0.76500000000000001</v>
      </c>
      <c r="S443" s="2">
        <v>0.45300000000000001</v>
      </c>
      <c r="T443" s="12">
        <v>0.48</v>
      </c>
      <c r="U443" s="2">
        <v>0.03</v>
      </c>
      <c r="V443" s="52">
        <f t="shared" si="16"/>
        <v>14.604190881000001</v>
      </c>
      <c r="W443" s="188">
        <f t="shared" si="12"/>
        <v>0.61993026295530618</v>
      </c>
      <c r="X443" s="192">
        <f t="shared" si="13"/>
        <v>9.7940000000000005</v>
      </c>
      <c r="AA443" s="39" t="str">
        <f t="shared" si="10"/>
        <v>M</v>
      </c>
    </row>
    <row r="444" spans="1:27" x14ac:dyDescent="0.2">
      <c r="A444" s="2" t="s">
        <v>291</v>
      </c>
      <c r="B444" s="2" t="s">
        <v>680</v>
      </c>
      <c r="C444" s="2" t="s">
        <v>391</v>
      </c>
      <c r="D444" s="9">
        <v>6</v>
      </c>
      <c r="E444" s="10">
        <v>1.92</v>
      </c>
      <c r="F444" s="2">
        <v>8</v>
      </c>
      <c r="G444" s="12">
        <v>2.2810000000000001</v>
      </c>
      <c r="H444" s="12">
        <v>0.13500000000000001</v>
      </c>
      <c r="I444" s="2">
        <v>0.189</v>
      </c>
      <c r="J444" s="44">
        <f t="shared" si="11"/>
        <v>0.189</v>
      </c>
      <c r="K444" s="10">
        <f t="shared" si="14"/>
        <v>6.0343915343915349</v>
      </c>
      <c r="L444" s="52">
        <f t="shared" si="15"/>
        <v>56.459259259259255</v>
      </c>
      <c r="M444" s="2">
        <v>18.5</v>
      </c>
      <c r="N444" s="2">
        <v>5.42</v>
      </c>
      <c r="O444" s="2">
        <v>4.62</v>
      </c>
      <c r="P444" s="10">
        <v>3.1</v>
      </c>
      <c r="Q444" s="2">
        <v>0.34300000000000003</v>
      </c>
      <c r="R444" s="2">
        <v>0.502</v>
      </c>
      <c r="S444" s="2">
        <v>0.30099999999999999</v>
      </c>
      <c r="T444" s="2">
        <v>0.42299999999999999</v>
      </c>
      <c r="U444" s="2">
        <v>0.02</v>
      </c>
      <c r="V444" s="52">
        <f t="shared" si="16"/>
        <v>5.2317550757500006</v>
      </c>
      <c r="W444" s="188">
        <f t="shared" si="12"/>
        <v>0.53847357212660674</v>
      </c>
      <c r="X444" s="192">
        <f t="shared" si="13"/>
        <v>7.8109999999999999</v>
      </c>
      <c r="AA444" s="39" t="str">
        <f t="shared" si="10"/>
        <v>M</v>
      </c>
    </row>
    <row r="445" spans="1:27" x14ac:dyDescent="0.2">
      <c r="A445" s="2" t="s">
        <v>291</v>
      </c>
      <c r="B445" s="2" t="s">
        <v>681</v>
      </c>
      <c r="C445" s="2" t="s">
        <v>391</v>
      </c>
      <c r="D445" s="9">
        <v>7.8</v>
      </c>
      <c r="E445" s="10">
        <v>5.89</v>
      </c>
      <c r="F445" s="2">
        <v>6</v>
      </c>
      <c r="G445" s="12">
        <v>5.9379999999999997</v>
      </c>
      <c r="H445" s="12">
        <v>0.25</v>
      </c>
      <c r="I445" s="2">
        <v>0.379</v>
      </c>
      <c r="J445" s="44">
        <f t="shared" si="11"/>
        <v>0.379</v>
      </c>
      <c r="K445" s="10">
        <f t="shared" si="14"/>
        <v>7.8337730870712399</v>
      </c>
      <c r="L445" s="52">
        <f t="shared" si="15"/>
        <v>20.968</v>
      </c>
      <c r="M445" s="9">
        <v>39</v>
      </c>
      <c r="N445" s="9">
        <v>14.5</v>
      </c>
      <c r="O445" s="9">
        <v>13</v>
      </c>
      <c r="P445" s="2">
        <v>2.57</v>
      </c>
      <c r="Q445" s="2">
        <v>11.6</v>
      </c>
      <c r="R445" s="2">
        <v>6.25</v>
      </c>
      <c r="S445" s="10">
        <v>3.9</v>
      </c>
      <c r="T445" s="10">
        <v>1.4</v>
      </c>
      <c r="U445" s="10">
        <v>0.3</v>
      </c>
      <c r="V445" s="52">
        <f t="shared" si="16"/>
        <v>91.627358900000004</v>
      </c>
      <c r="W445" s="188">
        <f t="shared" si="12"/>
        <v>1.5836132006366863</v>
      </c>
      <c r="X445" s="192">
        <f t="shared" si="13"/>
        <v>5.6210000000000004</v>
      </c>
      <c r="AA445" s="39" t="str">
        <f t="shared" si="10"/>
        <v>M</v>
      </c>
    </row>
    <row r="446" spans="1:27" x14ac:dyDescent="0.2">
      <c r="A446" s="2" t="s">
        <v>291</v>
      </c>
      <c r="B446" s="2" t="s">
        <v>682</v>
      </c>
      <c r="C446" s="2" t="s">
        <v>391</v>
      </c>
      <c r="D446" s="9">
        <v>5.4</v>
      </c>
      <c r="E446" s="10">
        <v>1.29</v>
      </c>
      <c r="F446" s="2">
        <v>6</v>
      </c>
      <c r="G446" s="12">
        <v>1.8440000000000001</v>
      </c>
      <c r="H446" s="12">
        <v>0.114</v>
      </c>
      <c r="I446" s="2">
        <v>0.17100000000000001</v>
      </c>
      <c r="J446" s="44">
        <f t="shared" si="11"/>
        <v>0.17100000000000001</v>
      </c>
      <c r="K446" s="10">
        <f t="shared" si="14"/>
        <v>5.3918128654970756</v>
      </c>
      <c r="L446" s="52">
        <f t="shared" si="15"/>
        <v>49.631578947368425</v>
      </c>
      <c r="M446" s="10">
        <v>7.2</v>
      </c>
      <c r="N446" s="10">
        <v>2.8</v>
      </c>
      <c r="O446" s="10">
        <v>2.4</v>
      </c>
      <c r="P446" s="2">
        <v>2.36</v>
      </c>
      <c r="Q446" s="2">
        <v>0.16500000000000001</v>
      </c>
      <c r="R446" s="2">
        <v>0.29599999999999999</v>
      </c>
      <c r="S446" s="2">
        <v>0.17899999999999999</v>
      </c>
      <c r="T446" s="2">
        <v>0.35799999999999998</v>
      </c>
      <c r="U446" s="2">
        <v>0.01</v>
      </c>
      <c r="V446" s="52">
        <f t="shared" si="16"/>
        <v>1.4015611912500001</v>
      </c>
      <c r="W446" s="188">
        <f t="shared" si="12"/>
        <v>0.44762917130142449</v>
      </c>
      <c r="X446" s="192">
        <f t="shared" si="13"/>
        <v>5.8289999999999997</v>
      </c>
      <c r="AA446" s="39" t="str">
        <f t="shared" si="10"/>
        <v>M</v>
      </c>
    </row>
    <row r="447" spans="1:27" x14ac:dyDescent="0.2">
      <c r="A447" s="2" t="s">
        <v>291</v>
      </c>
      <c r="B447" s="2" t="s">
        <v>683</v>
      </c>
      <c r="C447" s="2" t="s">
        <v>391</v>
      </c>
      <c r="D447" s="9">
        <v>6</v>
      </c>
      <c r="E447" s="10">
        <v>5.55</v>
      </c>
      <c r="F447" s="2">
        <v>5</v>
      </c>
      <c r="G447" s="12">
        <v>5.0030000000000001</v>
      </c>
      <c r="H447" s="12">
        <v>0.316</v>
      </c>
      <c r="I447" s="2">
        <v>0.41599999999999998</v>
      </c>
      <c r="J447" s="44">
        <f t="shared" si="11"/>
        <v>0.41599999999999998</v>
      </c>
      <c r="K447" s="10">
        <f t="shared" si="14"/>
        <v>6.0132211538461542</v>
      </c>
      <c r="L447" s="52">
        <f t="shared" si="15"/>
        <v>13.18987341772152</v>
      </c>
      <c r="M447" s="2">
        <v>24.1</v>
      </c>
      <c r="N447" s="9">
        <v>11</v>
      </c>
      <c r="O447" s="2">
        <v>9.6300000000000008</v>
      </c>
      <c r="P447" s="2">
        <v>2.08</v>
      </c>
      <c r="Q447" s="2">
        <v>7.86</v>
      </c>
      <c r="R447" s="2">
        <v>5.0199999999999996</v>
      </c>
      <c r="S447" s="2">
        <v>3.14</v>
      </c>
      <c r="T447" s="2">
        <v>1.19</v>
      </c>
      <c r="U447" s="2">
        <v>0.34</v>
      </c>
      <c r="V447" s="52">
        <f t="shared" si="16"/>
        <v>41.29065503999999</v>
      </c>
      <c r="W447" s="188">
        <f t="shared" si="12"/>
        <v>1.3677459456940886</v>
      </c>
      <c r="X447" s="192">
        <f t="shared" si="13"/>
        <v>4.5839999999999996</v>
      </c>
      <c r="AA447" s="39" t="str">
        <f t="shared" si="10"/>
        <v>M</v>
      </c>
    </row>
    <row r="448" spans="1:27" x14ac:dyDescent="0.2">
      <c r="A448" s="2" t="s">
        <v>291</v>
      </c>
      <c r="B448" s="2" t="s">
        <v>684</v>
      </c>
      <c r="C448" s="2" t="s">
        <v>391</v>
      </c>
      <c r="D448" s="9">
        <v>5.3</v>
      </c>
      <c r="E448" s="10">
        <v>3.81</v>
      </c>
      <c r="F448" s="2">
        <v>4</v>
      </c>
      <c r="G448" s="12">
        <v>3.94</v>
      </c>
      <c r="H448" s="12">
        <v>0.254</v>
      </c>
      <c r="I448" s="2">
        <v>0.371</v>
      </c>
      <c r="J448" s="44">
        <f t="shared" si="11"/>
        <v>0.371</v>
      </c>
      <c r="K448" s="10">
        <f t="shared" si="14"/>
        <v>5.3099730458221028</v>
      </c>
      <c r="L448" s="52">
        <f t="shared" si="15"/>
        <v>12.826771653543307</v>
      </c>
      <c r="M448" s="2">
        <v>10.5</v>
      </c>
      <c r="N448" s="2">
        <v>6.05</v>
      </c>
      <c r="O448" s="2">
        <v>5.24</v>
      </c>
      <c r="P448" s="2">
        <v>1.66</v>
      </c>
      <c r="Q448" s="2">
        <v>3.36</v>
      </c>
      <c r="R448" s="2">
        <v>2.74</v>
      </c>
      <c r="S448" s="2">
        <v>1.71</v>
      </c>
      <c r="T448" s="2">
        <v>0.93899999999999995</v>
      </c>
      <c r="U448" s="2">
        <v>0.19</v>
      </c>
      <c r="V448" s="52">
        <f t="shared" si="16"/>
        <v>11.062498440000001</v>
      </c>
      <c r="W448" s="188">
        <f t="shared" si="12"/>
        <v>1.0786548026157889</v>
      </c>
      <c r="X448" s="192">
        <f t="shared" si="13"/>
        <v>3.629</v>
      </c>
      <c r="AA448" s="39" t="str">
        <f t="shared" si="10"/>
        <v>M</v>
      </c>
    </row>
    <row r="449" spans="1:27" x14ac:dyDescent="0.2">
      <c r="A449" s="14" t="s">
        <v>310</v>
      </c>
      <c r="B449" s="2" t="s">
        <v>436</v>
      </c>
      <c r="C449" s="14" t="s">
        <v>392</v>
      </c>
      <c r="D449" s="14">
        <v>120</v>
      </c>
      <c r="E449" s="14">
        <v>35.299999999999997</v>
      </c>
      <c r="F449" s="11">
        <v>24</v>
      </c>
      <c r="G449" s="15">
        <v>8.048</v>
      </c>
      <c r="H449" s="15">
        <v>0.79800000000000004</v>
      </c>
      <c r="I449" s="15">
        <v>1.1020000000000001</v>
      </c>
      <c r="J449" s="44">
        <f t="shared" si="11"/>
        <v>1.1020000000000001</v>
      </c>
      <c r="K449" s="11">
        <v>3.65</v>
      </c>
      <c r="L449" s="52">
        <f t="shared" si="15"/>
        <v>27.313283208020049</v>
      </c>
      <c r="M449" s="14">
        <v>3030</v>
      </c>
      <c r="N449" s="14">
        <v>299</v>
      </c>
      <c r="O449" s="14">
        <v>252</v>
      </c>
      <c r="P449" s="11">
        <v>9.26</v>
      </c>
      <c r="Q449" s="14">
        <v>84.2</v>
      </c>
      <c r="R449" s="14">
        <v>36.4</v>
      </c>
      <c r="S449" s="14">
        <v>20.9</v>
      </c>
      <c r="T449" s="14">
        <v>1.54</v>
      </c>
      <c r="U449" s="196">
        <v>13</v>
      </c>
      <c r="V449" s="14">
        <v>11000</v>
      </c>
      <c r="W449" s="188">
        <f t="shared" si="12"/>
        <v>1.9558680531339125</v>
      </c>
      <c r="X449" s="192">
        <f t="shared" si="13"/>
        <v>22.898</v>
      </c>
      <c r="AA449" s="39" t="str">
        <f t="shared" si="10"/>
        <v>S</v>
      </c>
    </row>
    <row r="450" spans="1:27" x14ac:dyDescent="0.2">
      <c r="A450" s="14" t="s">
        <v>310</v>
      </c>
      <c r="B450" s="2" t="s">
        <v>439</v>
      </c>
      <c r="C450" s="14" t="s">
        <v>392</v>
      </c>
      <c r="D450" s="14">
        <v>105.9</v>
      </c>
      <c r="E450" s="14">
        <v>31.1</v>
      </c>
      <c r="F450" s="11">
        <v>24</v>
      </c>
      <c r="G450" s="15">
        <v>7.875</v>
      </c>
      <c r="H450" s="15">
        <v>0.625</v>
      </c>
      <c r="I450" s="15">
        <v>1.1020000000000001</v>
      </c>
      <c r="J450" s="44">
        <f t="shared" si="11"/>
        <v>1.1020000000000001</v>
      </c>
      <c r="K450" s="11">
        <v>3.57</v>
      </c>
      <c r="L450" s="52">
        <f t="shared" si="15"/>
        <v>34.873599999999996</v>
      </c>
      <c r="M450" s="14">
        <v>2830</v>
      </c>
      <c r="N450" s="14">
        <v>274</v>
      </c>
      <c r="O450" s="14">
        <v>236</v>
      </c>
      <c r="P450" s="11">
        <v>9.5299999999999994</v>
      </c>
      <c r="Q450" s="14">
        <v>78.2</v>
      </c>
      <c r="R450" s="14">
        <v>33.5</v>
      </c>
      <c r="S450" s="14">
        <v>19.8</v>
      </c>
      <c r="T450" s="14">
        <v>1.58</v>
      </c>
      <c r="U450" s="14">
        <v>10.4</v>
      </c>
      <c r="V450" s="14">
        <v>10200</v>
      </c>
      <c r="W450" s="188">
        <f t="shared" si="12"/>
        <v>1.9477407599053347</v>
      </c>
      <c r="X450" s="192">
        <f t="shared" si="13"/>
        <v>22.898</v>
      </c>
      <c r="AA450" s="39" t="str">
        <f t="shared" si="10"/>
        <v>S</v>
      </c>
    </row>
    <row r="451" spans="1:27" x14ac:dyDescent="0.2">
      <c r="A451" s="14" t="s">
        <v>310</v>
      </c>
      <c r="B451" s="2" t="s">
        <v>443</v>
      </c>
      <c r="C451" s="14" t="s">
        <v>392</v>
      </c>
      <c r="D451" s="14">
        <v>79.900000000000006</v>
      </c>
      <c r="E451" s="14">
        <v>23.5</v>
      </c>
      <c r="F451" s="11">
        <v>24</v>
      </c>
      <c r="G451" s="15">
        <v>7.0010000000000003</v>
      </c>
      <c r="H451" s="15">
        <v>0.501</v>
      </c>
      <c r="I451" s="15">
        <v>0.871</v>
      </c>
      <c r="J451" s="44">
        <f t="shared" si="11"/>
        <v>0.871</v>
      </c>
      <c r="K451" s="11">
        <v>4.0199999999999996</v>
      </c>
      <c r="L451" s="52">
        <f t="shared" si="15"/>
        <v>44.427145708582835</v>
      </c>
      <c r="M451" s="14">
        <v>2110</v>
      </c>
      <c r="N451" s="14">
        <v>205</v>
      </c>
      <c r="O451" s="14">
        <v>175</v>
      </c>
      <c r="P451" s="11">
        <v>9.4700000000000006</v>
      </c>
      <c r="Q451" s="14">
        <v>42.3</v>
      </c>
      <c r="R451" s="14">
        <v>20.7</v>
      </c>
      <c r="S451" s="14">
        <v>12.1</v>
      </c>
      <c r="T451" s="14">
        <v>1.34</v>
      </c>
      <c r="U451" s="11">
        <v>4.9000000000000004</v>
      </c>
      <c r="V451" s="14">
        <v>5660</v>
      </c>
      <c r="W451" s="188">
        <f t="shared" si="12"/>
        <v>1.671916522181313</v>
      </c>
      <c r="X451" s="192">
        <f t="shared" si="13"/>
        <v>23.129000000000001</v>
      </c>
      <c r="AA451" s="39" t="str">
        <f t="shared" si="10"/>
        <v>S</v>
      </c>
    </row>
    <row r="452" spans="1:27" x14ac:dyDescent="0.2">
      <c r="A452" s="14" t="s">
        <v>310</v>
      </c>
      <c r="B452" s="2" t="s">
        <v>446</v>
      </c>
      <c r="C452" s="14" t="s">
        <v>392</v>
      </c>
      <c r="D452" s="14">
        <v>95</v>
      </c>
      <c r="E452" s="14">
        <v>27.9</v>
      </c>
      <c r="F452" s="11">
        <v>20</v>
      </c>
      <c r="G452" s="15">
        <v>7.2</v>
      </c>
      <c r="H452" s="15">
        <v>0.8</v>
      </c>
      <c r="I452" s="15">
        <v>0.91600000000000004</v>
      </c>
      <c r="J452" s="44">
        <f t="shared" si="11"/>
        <v>0.91600000000000004</v>
      </c>
      <c r="K452" s="11">
        <v>3.93</v>
      </c>
      <c r="L452" s="52">
        <f t="shared" si="15"/>
        <v>22.709999999999997</v>
      </c>
      <c r="M452" s="14">
        <v>1610</v>
      </c>
      <c r="N452" s="14">
        <v>194</v>
      </c>
      <c r="O452" s="14">
        <v>161</v>
      </c>
      <c r="P452" s="11">
        <v>7.6</v>
      </c>
      <c r="Q452" s="14">
        <v>49.7</v>
      </c>
      <c r="R452" s="14">
        <v>24.7</v>
      </c>
      <c r="S452" s="14">
        <v>13.8</v>
      </c>
      <c r="T452" s="14">
        <v>1.33</v>
      </c>
      <c r="U452" s="11">
        <v>8.4600000000000009</v>
      </c>
      <c r="V452" s="14">
        <v>4520</v>
      </c>
      <c r="W452" s="188">
        <f t="shared" si="12"/>
        <v>1.7162674363407</v>
      </c>
      <c r="X452" s="192">
        <f t="shared" si="13"/>
        <v>19.084</v>
      </c>
      <c r="AA452" s="39" t="str">
        <f t="shared" ref="AA452:AA515" si="17">A452</f>
        <v>S</v>
      </c>
    </row>
    <row r="453" spans="1:27" x14ac:dyDescent="0.2">
      <c r="A453" s="14" t="s">
        <v>310</v>
      </c>
      <c r="B453" s="2" t="s">
        <v>448</v>
      </c>
      <c r="C453" s="14" t="s">
        <v>392</v>
      </c>
      <c r="D453" s="14">
        <v>85</v>
      </c>
      <c r="E453" s="196">
        <v>25</v>
      </c>
      <c r="F453" s="11">
        <v>20</v>
      </c>
      <c r="G453" s="15">
        <v>7.0529999999999999</v>
      </c>
      <c r="H453" s="15">
        <v>0.65300000000000002</v>
      </c>
      <c r="I453" s="15">
        <v>0.91600000000000004</v>
      </c>
      <c r="J453" s="44">
        <f t="shared" si="11"/>
        <v>0.91600000000000004</v>
      </c>
      <c r="K453" s="11">
        <v>3.85</v>
      </c>
      <c r="L453" s="52">
        <f t="shared" si="15"/>
        <v>27.822358346094944</v>
      </c>
      <c r="M453" s="14">
        <v>1520</v>
      </c>
      <c r="N453" s="14">
        <v>179</v>
      </c>
      <c r="O453" s="14">
        <v>152</v>
      </c>
      <c r="P453" s="11">
        <v>7.79</v>
      </c>
      <c r="Q453" s="14">
        <v>46.2</v>
      </c>
      <c r="R453" s="14">
        <v>22.8</v>
      </c>
      <c r="S453" s="14">
        <v>13.4</v>
      </c>
      <c r="T453" s="14">
        <v>1.36</v>
      </c>
      <c r="U453" s="11">
        <v>6.63</v>
      </c>
      <c r="V453" s="14">
        <v>4200</v>
      </c>
      <c r="W453" s="188">
        <f t="shared" si="12"/>
        <v>1.7030166732811762</v>
      </c>
      <c r="X453" s="192">
        <f t="shared" si="13"/>
        <v>19.084</v>
      </c>
      <c r="AA453" s="39" t="str">
        <f t="shared" si="17"/>
        <v>S</v>
      </c>
    </row>
    <row r="454" spans="1:27" x14ac:dyDescent="0.2">
      <c r="A454" s="14" t="s">
        <v>310</v>
      </c>
      <c r="B454" s="2" t="s">
        <v>455</v>
      </c>
      <c r="C454" s="14" t="s">
        <v>392</v>
      </c>
      <c r="D454" s="14">
        <v>65.400000000000006</v>
      </c>
      <c r="E454" s="196">
        <v>19.2</v>
      </c>
      <c r="F454" s="11">
        <v>20</v>
      </c>
      <c r="G454" s="15">
        <v>6.25</v>
      </c>
      <c r="H454" s="15">
        <v>0.5</v>
      </c>
      <c r="I454" s="15">
        <v>0.78900000000000003</v>
      </c>
      <c r="J454" s="44">
        <f t="shared" si="11"/>
        <v>0.78900000000000003</v>
      </c>
      <c r="K454" s="11">
        <v>3.96</v>
      </c>
      <c r="L454" s="52">
        <f t="shared" si="15"/>
        <v>36.844000000000001</v>
      </c>
      <c r="M454" s="14">
        <v>1180</v>
      </c>
      <c r="N454" s="14">
        <v>138</v>
      </c>
      <c r="O454" s="14">
        <v>118</v>
      </c>
      <c r="P454" s="11">
        <v>7.84</v>
      </c>
      <c r="Q454" s="14">
        <v>27.4</v>
      </c>
      <c r="R454" s="14">
        <v>15.2</v>
      </c>
      <c r="S454" s="14">
        <v>8.77</v>
      </c>
      <c r="T454" s="14">
        <v>1.19</v>
      </c>
      <c r="U454" s="11">
        <v>3.5</v>
      </c>
      <c r="V454" s="14">
        <v>2530</v>
      </c>
      <c r="W454" s="188">
        <f t="shared" si="12"/>
        <v>1.4934623065270007</v>
      </c>
      <c r="X454" s="192">
        <f t="shared" si="13"/>
        <v>19.210999999999999</v>
      </c>
      <c r="AA454" s="39" t="str">
        <f t="shared" si="17"/>
        <v>S</v>
      </c>
    </row>
    <row r="455" spans="1:27" x14ac:dyDescent="0.2">
      <c r="A455" s="14" t="s">
        <v>291</v>
      </c>
      <c r="B455" s="2" t="s">
        <v>685</v>
      </c>
      <c r="C455" s="14" t="s">
        <v>392</v>
      </c>
      <c r="D455" s="14">
        <v>17.2</v>
      </c>
      <c r="E455" s="14">
        <v>5.05</v>
      </c>
      <c r="F455" s="11">
        <v>14</v>
      </c>
      <c r="G455" s="15">
        <v>4</v>
      </c>
      <c r="H455" s="15">
        <v>0.21</v>
      </c>
      <c r="I455" s="15">
        <v>0.27200000000000002</v>
      </c>
      <c r="J455" s="44">
        <f t="shared" si="11"/>
        <v>0.27200000000000002</v>
      </c>
      <c r="K455" s="11">
        <v>7.34</v>
      </c>
      <c r="L455" s="52">
        <f t="shared" si="15"/>
        <v>64.076190476190476</v>
      </c>
      <c r="M455" s="14">
        <v>147</v>
      </c>
      <c r="N455" s="14">
        <v>24.8</v>
      </c>
      <c r="O455" s="14">
        <v>21.1</v>
      </c>
      <c r="P455" s="11">
        <v>5.4</v>
      </c>
      <c r="Q455" s="14">
        <v>2.65</v>
      </c>
      <c r="R455" s="14">
        <v>2.21</v>
      </c>
      <c r="S455" s="14">
        <v>1.33</v>
      </c>
      <c r="T455" s="14">
        <v>0.72499999999999998</v>
      </c>
      <c r="U455" s="15">
        <v>0.11</v>
      </c>
      <c r="V455" s="14">
        <v>125</v>
      </c>
      <c r="W455" s="188">
        <f t="shared" si="12"/>
        <v>0.92847528276788305</v>
      </c>
      <c r="X455" s="192">
        <f t="shared" si="13"/>
        <v>13.728</v>
      </c>
      <c r="AA455" s="39" t="str">
        <f t="shared" si="17"/>
        <v>M</v>
      </c>
    </row>
    <row r="456" spans="1:27" x14ac:dyDescent="0.2">
      <c r="A456" s="14" t="s">
        <v>291</v>
      </c>
      <c r="B456" s="2" t="s">
        <v>686</v>
      </c>
      <c r="C456" s="14" t="s">
        <v>392</v>
      </c>
      <c r="D456" s="14">
        <v>29.1</v>
      </c>
      <c r="E456" s="14">
        <v>8.56</v>
      </c>
      <c r="F456" s="11">
        <v>9.8800000000000008</v>
      </c>
      <c r="G456" s="15">
        <v>5.9370000000000003</v>
      </c>
      <c r="H456" s="15">
        <v>0.42699999999999999</v>
      </c>
      <c r="I456" s="15">
        <v>0.38900000000000001</v>
      </c>
      <c r="J456" s="44">
        <f t="shared" si="11"/>
        <v>0.38900000000000001</v>
      </c>
      <c r="K456" s="11">
        <v>7.63</v>
      </c>
      <c r="L456" s="52">
        <f t="shared" si="15"/>
        <v>21.316159250585482</v>
      </c>
      <c r="M456" s="14">
        <v>131</v>
      </c>
      <c r="N456" s="14">
        <v>30.9</v>
      </c>
      <c r="O456" s="14">
        <v>26.6</v>
      </c>
      <c r="P456" s="11">
        <v>3.92</v>
      </c>
      <c r="Q456" s="14">
        <v>11.2</v>
      </c>
      <c r="R456" s="14">
        <v>6.51</v>
      </c>
      <c r="S456" s="14">
        <v>3.76</v>
      </c>
      <c r="T456" s="14">
        <v>1.1399999999999999</v>
      </c>
      <c r="U456" s="15">
        <v>0.58699999999999997</v>
      </c>
      <c r="V456" s="14">
        <v>251</v>
      </c>
      <c r="W456" s="188">
        <f t="shared" si="12"/>
        <v>1.41354351300478</v>
      </c>
      <c r="X456" s="192">
        <f t="shared" si="13"/>
        <v>9.4910000000000014</v>
      </c>
      <c r="AA456" s="39" t="str">
        <f t="shared" si="17"/>
        <v>M</v>
      </c>
    </row>
    <row r="457" spans="1:27" x14ac:dyDescent="0.2">
      <c r="A457" s="14" t="s">
        <v>291</v>
      </c>
      <c r="B457" s="2" t="s">
        <v>687</v>
      </c>
      <c r="C457" s="14" t="s">
        <v>392</v>
      </c>
      <c r="D457" s="14">
        <v>22.9</v>
      </c>
      <c r="E457" s="14">
        <v>6.73</v>
      </c>
      <c r="F457" s="11">
        <v>9.8800000000000008</v>
      </c>
      <c r="G457" s="15">
        <v>5.7519999999999998</v>
      </c>
      <c r="H457" s="15">
        <v>0.24199999999999999</v>
      </c>
      <c r="I457" s="15">
        <v>0.38900000000000001</v>
      </c>
      <c r="J457" s="44">
        <f t="shared" si="11"/>
        <v>0.38900000000000001</v>
      </c>
      <c r="K457" s="11">
        <v>7.39</v>
      </c>
      <c r="L457" s="52">
        <f t="shared" si="15"/>
        <v>37.611570247933884</v>
      </c>
      <c r="M457" s="14">
        <v>117</v>
      </c>
      <c r="N457" s="14">
        <v>26.4</v>
      </c>
      <c r="O457" s="14">
        <v>23.6</v>
      </c>
      <c r="P457" s="11">
        <v>4.16</v>
      </c>
      <c r="Q457" s="196">
        <v>10</v>
      </c>
      <c r="R457" s="11">
        <v>5.8</v>
      </c>
      <c r="S457" s="14">
        <v>3.48</v>
      </c>
      <c r="T457" s="14">
        <v>1.22</v>
      </c>
      <c r="U457" s="15">
        <v>0.34300000000000003</v>
      </c>
      <c r="V457" s="14">
        <v>226</v>
      </c>
      <c r="W457" s="188">
        <f t="shared" si="12"/>
        <v>1.4180285909479269</v>
      </c>
      <c r="X457" s="192">
        <f t="shared" si="13"/>
        <v>9.4910000000000014</v>
      </c>
      <c r="AA457" s="39" t="str">
        <f t="shared" si="17"/>
        <v>M</v>
      </c>
    </row>
    <row r="458" spans="1:27" x14ac:dyDescent="0.2">
      <c r="A458" s="14" t="s">
        <v>291</v>
      </c>
      <c r="B458" s="2" t="s">
        <v>688</v>
      </c>
      <c r="C458" s="14" t="s">
        <v>392</v>
      </c>
      <c r="D458" s="14">
        <v>37.700000000000003</v>
      </c>
      <c r="E458" s="14">
        <v>11.1</v>
      </c>
      <c r="F458" s="11">
        <v>8.1199999999999992</v>
      </c>
      <c r="G458" s="15">
        <v>8.0020000000000007</v>
      </c>
      <c r="H458" s="15">
        <v>0.377</v>
      </c>
      <c r="I458" s="15">
        <v>0.52100000000000002</v>
      </c>
      <c r="J458" s="44">
        <f t="shared" si="11"/>
        <v>0.52100000000000002</v>
      </c>
      <c r="K458" s="11">
        <v>7.68</v>
      </c>
      <c r="L458" s="52">
        <f t="shared" si="15"/>
        <v>18.774535809018566</v>
      </c>
      <c r="M458" s="14">
        <v>132</v>
      </c>
      <c r="N458" s="14">
        <v>36.6</v>
      </c>
      <c r="O458" s="14">
        <v>32.6</v>
      </c>
      <c r="P458" s="11">
        <v>3.46</v>
      </c>
      <c r="Q458" s="14">
        <v>40.4</v>
      </c>
      <c r="R458" s="196">
        <v>16</v>
      </c>
      <c r="S458" s="14">
        <v>10.1</v>
      </c>
      <c r="T458" s="14">
        <v>1.91</v>
      </c>
      <c r="U458" s="15">
        <v>0.999</v>
      </c>
      <c r="V458" s="14">
        <v>584</v>
      </c>
      <c r="W458" s="188">
        <f t="shared" si="12"/>
        <v>2.1699269163006134</v>
      </c>
      <c r="X458" s="192">
        <f t="shared" si="13"/>
        <v>7.5989999999999993</v>
      </c>
      <c r="AA458" s="39" t="str">
        <f t="shared" si="17"/>
        <v>M</v>
      </c>
    </row>
    <row r="459" spans="1:27" x14ac:dyDescent="0.2">
      <c r="A459" s="14" t="s">
        <v>291</v>
      </c>
      <c r="B459" s="2" t="s">
        <v>689</v>
      </c>
      <c r="C459" s="14" t="s">
        <v>392</v>
      </c>
      <c r="D459" s="14">
        <v>34.299999999999997</v>
      </c>
      <c r="E459" s="14">
        <v>10.1</v>
      </c>
      <c r="F459" s="11">
        <v>8</v>
      </c>
      <c r="G459" s="15">
        <v>8.0030000000000001</v>
      </c>
      <c r="H459" s="15">
        <v>0.378</v>
      </c>
      <c r="I459" s="15">
        <v>0.45900000000000002</v>
      </c>
      <c r="J459" s="44">
        <f t="shared" si="11"/>
        <v>0.45900000000000002</v>
      </c>
      <c r="K459" s="11">
        <v>8.7200000000000006</v>
      </c>
      <c r="L459" s="52">
        <f t="shared" si="15"/>
        <v>18.735449735449734</v>
      </c>
      <c r="M459" s="14">
        <v>116</v>
      </c>
      <c r="N459" s="14">
        <v>32.6</v>
      </c>
      <c r="O459" s="14">
        <v>29.1</v>
      </c>
      <c r="P459" s="11">
        <v>3.4</v>
      </c>
      <c r="Q459" s="14">
        <v>34.9</v>
      </c>
      <c r="R459" s="14">
        <v>13.9</v>
      </c>
      <c r="S459" s="14">
        <v>8.73</v>
      </c>
      <c r="T459" s="14">
        <v>1.86</v>
      </c>
      <c r="U459" s="15">
        <v>0.747</v>
      </c>
      <c r="V459" s="14">
        <v>497</v>
      </c>
      <c r="W459" s="188">
        <f t="shared" si="12"/>
        <v>2.1265014909623958</v>
      </c>
      <c r="X459" s="192">
        <f t="shared" si="13"/>
        <v>7.5410000000000004</v>
      </c>
      <c r="AA459" s="39" t="str">
        <f t="shared" si="17"/>
        <v>M</v>
      </c>
    </row>
    <row r="460" spans="1:27" x14ac:dyDescent="0.2">
      <c r="A460" s="14" t="s">
        <v>291</v>
      </c>
      <c r="B460" s="2" t="s">
        <v>690</v>
      </c>
      <c r="C460" s="14" t="s">
        <v>392</v>
      </c>
      <c r="D460" s="14">
        <v>32.6</v>
      </c>
      <c r="E460" s="11">
        <v>9.58</v>
      </c>
      <c r="F460" s="11">
        <v>8</v>
      </c>
      <c r="G460" s="15">
        <v>7.94</v>
      </c>
      <c r="H460" s="15">
        <v>0.315</v>
      </c>
      <c r="I460" s="15">
        <v>0.45900000000000002</v>
      </c>
      <c r="J460" s="44">
        <f t="shared" si="11"/>
        <v>0.45900000000000002</v>
      </c>
      <c r="K460" s="11">
        <v>8.65</v>
      </c>
      <c r="L460" s="52">
        <f t="shared" si="15"/>
        <v>22.482539682539681</v>
      </c>
      <c r="M460" s="14">
        <v>114</v>
      </c>
      <c r="N460" s="14">
        <v>31.6</v>
      </c>
      <c r="O460" s="14">
        <v>28.4</v>
      </c>
      <c r="P460" s="11">
        <v>3.44</v>
      </c>
      <c r="Q460" s="14">
        <v>34.1</v>
      </c>
      <c r="R460" s="14">
        <v>13.6</v>
      </c>
      <c r="S460" s="14">
        <v>8.58</v>
      </c>
      <c r="T460" s="14">
        <v>1.89</v>
      </c>
      <c r="U460" s="15">
        <v>0.67300000000000004</v>
      </c>
      <c r="V460" s="14">
        <v>484</v>
      </c>
      <c r="W460" s="188">
        <f t="shared" si="12"/>
        <v>2.1277347771021979</v>
      </c>
      <c r="X460" s="192">
        <f t="shared" si="13"/>
        <v>7.5410000000000004</v>
      </c>
      <c r="AA460" s="39" t="str">
        <f t="shared" si="17"/>
        <v>M</v>
      </c>
    </row>
    <row r="461" spans="1:27" x14ac:dyDescent="0.2">
      <c r="A461" s="14" t="s">
        <v>291</v>
      </c>
      <c r="B461" s="2" t="s">
        <v>691</v>
      </c>
      <c r="C461" s="14" t="s">
        <v>392</v>
      </c>
      <c r="D461" s="14">
        <v>22.5</v>
      </c>
      <c r="E461" s="11">
        <v>6.6</v>
      </c>
      <c r="F461" s="11">
        <v>8</v>
      </c>
      <c r="G461" s="15">
        <v>5.3949999999999996</v>
      </c>
      <c r="H461" s="15">
        <v>0.375</v>
      </c>
      <c r="I461" s="15">
        <v>0.35299999999999998</v>
      </c>
      <c r="J461" s="44">
        <f t="shared" si="11"/>
        <v>0.35299999999999998</v>
      </c>
      <c r="K461" s="11">
        <v>7.64</v>
      </c>
      <c r="L461" s="52">
        <f t="shared" si="15"/>
        <v>19.450666666666667</v>
      </c>
      <c r="M461" s="14">
        <v>68.2</v>
      </c>
      <c r="N461" s="14">
        <v>19.7</v>
      </c>
      <c r="O461" s="14">
        <v>17.100000000000001</v>
      </c>
      <c r="P461" s="11">
        <v>3.22</v>
      </c>
      <c r="Q461" s="14">
        <v>7.48</v>
      </c>
      <c r="R461" s="14">
        <v>4.79</v>
      </c>
      <c r="S461" s="14">
        <v>2.77</v>
      </c>
      <c r="T461" s="14">
        <v>1.06</v>
      </c>
      <c r="U461" s="15">
        <v>0.374</v>
      </c>
      <c r="V461" s="14">
        <v>109</v>
      </c>
      <c r="W461" s="188">
        <f t="shared" si="12"/>
        <v>1.2932523939223792</v>
      </c>
      <c r="X461" s="192">
        <f t="shared" si="13"/>
        <v>7.6470000000000002</v>
      </c>
      <c r="AA461" s="39" t="str">
        <f t="shared" si="17"/>
        <v>M</v>
      </c>
    </row>
    <row r="462" spans="1:27" x14ac:dyDescent="0.2">
      <c r="A462" s="14" t="s">
        <v>291</v>
      </c>
      <c r="B462" s="2" t="s">
        <v>692</v>
      </c>
      <c r="C462" s="14" t="s">
        <v>392</v>
      </c>
      <c r="D462" s="14">
        <v>18.5</v>
      </c>
      <c r="E462" s="11">
        <v>5.44</v>
      </c>
      <c r="F462" s="11">
        <v>8</v>
      </c>
      <c r="G462" s="15">
        <v>5.25</v>
      </c>
      <c r="H462" s="15">
        <v>0.23</v>
      </c>
      <c r="I462" s="15">
        <v>0.35299999999999998</v>
      </c>
      <c r="J462" s="44">
        <f t="shared" si="11"/>
        <v>0.35299999999999998</v>
      </c>
      <c r="K462" s="11">
        <v>7.44</v>
      </c>
      <c r="L462" s="52">
        <f t="shared" si="15"/>
        <v>31.713043478260872</v>
      </c>
      <c r="M462" s="196">
        <v>62</v>
      </c>
      <c r="N462" s="14">
        <v>17.399999999999999</v>
      </c>
      <c r="O462" s="14">
        <v>15.5</v>
      </c>
      <c r="P462" s="11">
        <v>3.38</v>
      </c>
      <c r="Q462" s="14">
        <v>6.82</v>
      </c>
      <c r="R462" s="14">
        <v>4.3499999999999996</v>
      </c>
      <c r="S462" s="11">
        <v>2.6</v>
      </c>
      <c r="T462" s="14">
        <v>1.1200000000000001</v>
      </c>
      <c r="U462" s="15">
        <v>0.24299999999999999</v>
      </c>
      <c r="V462" s="14">
        <v>99.8</v>
      </c>
      <c r="W462" s="188">
        <f t="shared" si="12"/>
        <v>1.2970505001733741</v>
      </c>
      <c r="X462" s="192">
        <f t="shared" si="13"/>
        <v>7.6470000000000002</v>
      </c>
      <c r="AA462" s="39" t="str">
        <f t="shared" si="17"/>
        <v>M</v>
      </c>
    </row>
    <row r="463" spans="1:27" x14ac:dyDescent="0.2">
      <c r="A463" s="14" t="s">
        <v>291</v>
      </c>
      <c r="B463" s="2" t="s">
        <v>693</v>
      </c>
      <c r="C463" s="14" t="s">
        <v>392</v>
      </c>
      <c r="D463" s="14">
        <v>5.5</v>
      </c>
      <c r="E463" s="11">
        <v>1.62</v>
      </c>
      <c r="F463" s="11">
        <v>7</v>
      </c>
      <c r="G463" s="15">
        <v>2.08</v>
      </c>
      <c r="H463" s="15">
        <v>0.128</v>
      </c>
      <c r="I463" s="15">
        <v>0.18</v>
      </c>
      <c r="J463" s="44">
        <f t="shared" si="11"/>
        <v>0.18</v>
      </c>
      <c r="K463" s="11">
        <v>5.78</v>
      </c>
      <c r="L463" s="52">
        <f t="shared" si="15"/>
        <v>51.874999999999993</v>
      </c>
      <c r="M463" s="196">
        <v>12</v>
      </c>
      <c r="N463" s="14">
        <v>4.03</v>
      </c>
      <c r="O463" s="14">
        <v>3.44</v>
      </c>
      <c r="P463" s="11">
        <v>2.73</v>
      </c>
      <c r="Q463" s="14">
        <v>0.249</v>
      </c>
      <c r="R463" s="14">
        <v>0.39800000000000002</v>
      </c>
      <c r="S463" s="14">
        <v>0.23899999999999999</v>
      </c>
      <c r="T463" s="14">
        <v>0.39200000000000002</v>
      </c>
      <c r="U463" s="15">
        <v>1.4999999999999999E-2</v>
      </c>
      <c r="V463" s="14">
        <v>2.89</v>
      </c>
      <c r="W463" s="188">
        <f t="shared" si="12"/>
        <v>0.49681836557447534</v>
      </c>
      <c r="X463" s="192">
        <f t="shared" si="13"/>
        <v>6.82</v>
      </c>
      <c r="AA463" s="39" t="str">
        <f t="shared" si="17"/>
        <v>M</v>
      </c>
    </row>
    <row r="464" spans="1:27" x14ac:dyDescent="0.2">
      <c r="A464" s="14" t="s">
        <v>291</v>
      </c>
      <c r="B464" s="2" t="s">
        <v>694</v>
      </c>
      <c r="C464" s="14" t="s">
        <v>392</v>
      </c>
      <c r="D464" s="14">
        <v>33.75</v>
      </c>
      <c r="E464" s="11">
        <v>9.93</v>
      </c>
      <c r="F464" s="11">
        <v>6.25</v>
      </c>
      <c r="G464" s="15">
        <v>6.1139999999999999</v>
      </c>
      <c r="H464" s="15">
        <v>0.48799999999999999</v>
      </c>
      <c r="I464" s="15">
        <v>0.60499999999999998</v>
      </c>
      <c r="J464" s="44">
        <f t="shared" si="11"/>
        <v>0.60499999999999998</v>
      </c>
      <c r="K464" s="11">
        <v>5.05</v>
      </c>
      <c r="L464" s="52">
        <f t="shared" si="15"/>
        <v>10.327868852459016</v>
      </c>
      <c r="M464" s="14">
        <v>64.7</v>
      </c>
      <c r="N464" s="14">
        <v>24.1</v>
      </c>
      <c r="O464" s="14">
        <v>20.7</v>
      </c>
      <c r="P464" s="11">
        <v>2.5499999999999998</v>
      </c>
      <c r="Q464" s="14">
        <v>21.4</v>
      </c>
      <c r="R464" s="14">
        <v>11.1</v>
      </c>
      <c r="S464" s="14">
        <v>6.99</v>
      </c>
      <c r="T464" s="14">
        <v>1.47</v>
      </c>
      <c r="U464" s="15">
        <v>1.26</v>
      </c>
      <c r="V464" s="14">
        <v>170</v>
      </c>
      <c r="W464" s="188">
        <f t="shared" si="12"/>
        <v>1.7081998887435221</v>
      </c>
      <c r="X464" s="192">
        <f t="shared" si="13"/>
        <v>5.6449999999999996</v>
      </c>
      <c r="AA464" s="39" t="str">
        <f t="shared" si="17"/>
        <v>M</v>
      </c>
    </row>
    <row r="465" spans="1:27" x14ac:dyDescent="0.2">
      <c r="A465" s="14" t="s">
        <v>291</v>
      </c>
      <c r="B465" s="2" t="s">
        <v>695</v>
      </c>
      <c r="C465" s="14" t="s">
        <v>392</v>
      </c>
      <c r="D465" s="14">
        <v>22.5</v>
      </c>
      <c r="E465" s="11">
        <v>6.62</v>
      </c>
      <c r="F465" s="11">
        <v>6</v>
      </c>
      <c r="G465" s="15">
        <v>6.06</v>
      </c>
      <c r="H465" s="15">
        <v>0.372</v>
      </c>
      <c r="I465" s="15">
        <v>0.379</v>
      </c>
      <c r="J465" s="44">
        <f t="shared" si="11"/>
        <v>0.379</v>
      </c>
      <c r="K465" s="11">
        <v>7.98</v>
      </c>
      <c r="L465" s="52">
        <f t="shared" si="15"/>
        <v>14.091397849462366</v>
      </c>
      <c r="M465" s="14">
        <v>41.2</v>
      </c>
      <c r="N465" s="14">
        <v>15.6</v>
      </c>
      <c r="O465" s="14">
        <v>13.7</v>
      </c>
      <c r="P465" s="11">
        <v>2.4900000000000002</v>
      </c>
      <c r="Q465" s="14">
        <v>12.4</v>
      </c>
      <c r="R465" s="14">
        <v>6.63</v>
      </c>
      <c r="S465" s="14">
        <v>4.08</v>
      </c>
      <c r="T465" s="14">
        <v>1.37</v>
      </c>
      <c r="U465" s="15">
        <v>0.38500000000000001</v>
      </c>
      <c r="V465" s="14">
        <v>97.7</v>
      </c>
      <c r="W465" s="188">
        <f t="shared" si="12"/>
        <v>1.5949326691049068</v>
      </c>
      <c r="X465" s="192">
        <f t="shared" si="13"/>
        <v>5.6210000000000004</v>
      </c>
      <c r="AA465" s="39" t="str">
        <f t="shared" si="17"/>
        <v>M</v>
      </c>
    </row>
    <row r="466" spans="1:27" x14ac:dyDescent="0.2">
      <c r="A466" s="14" t="s">
        <v>291</v>
      </c>
      <c r="B466" s="2" t="s">
        <v>696</v>
      </c>
      <c r="C466" s="14" t="s">
        <v>392</v>
      </c>
      <c r="D466" s="14">
        <v>16.3</v>
      </c>
      <c r="E466" s="11">
        <v>4.8</v>
      </c>
      <c r="F466" s="11">
        <v>4.2</v>
      </c>
      <c r="G466" s="15">
        <v>3.9380000000000002</v>
      </c>
      <c r="H466" s="15">
        <v>0.312</v>
      </c>
      <c r="I466" s="15">
        <v>0.47199999999999998</v>
      </c>
      <c r="J466" s="44">
        <f t="shared" ref="J466:J529" si="18">I466</f>
        <v>0.47199999999999998</v>
      </c>
      <c r="K466" s="11">
        <v>4.17</v>
      </c>
      <c r="L466" s="52">
        <f t="shared" si="15"/>
        <v>10.435897435897436</v>
      </c>
      <c r="M466" s="196">
        <v>14</v>
      </c>
      <c r="N466" s="14">
        <v>7.85</v>
      </c>
      <c r="O466" s="14">
        <v>6.67</v>
      </c>
      <c r="P466" s="11">
        <v>1.71</v>
      </c>
      <c r="Q466" s="14">
        <v>4.4400000000000004</v>
      </c>
      <c r="R466" s="14">
        <v>3.58</v>
      </c>
      <c r="S466" s="14">
        <v>2.25</v>
      </c>
      <c r="T466" s="14">
        <v>0.96199999999999997</v>
      </c>
      <c r="U466" s="15">
        <v>0.36599999999999999</v>
      </c>
      <c r="V466" s="14">
        <v>15.4</v>
      </c>
      <c r="W466" s="188">
        <f t="shared" si="12"/>
        <v>1.1139136403693508</v>
      </c>
      <c r="X466" s="192">
        <f t="shared" si="13"/>
        <v>3.7280000000000002</v>
      </c>
      <c r="AA466" s="39" t="str">
        <f t="shared" si="17"/>
        <v>M</v>
      </c>
    </row>
    <row r="467" spans="1:27" x14ac:dyDescent="0.2">
      <c r="A467" s="14" t="s">
        <v>291</v>
      </c>
      <c r="B467" s="2" t="s">
        <v>697</v>
      </c>
      <c r="C467" s="14" t="s">
        <v>392</v>
      </c>
      <c r="D467" s="14">
        <v>13.8</v>
      </c>
      <c r="E467" s="11">
        <v>4.0599999999999996</v>
      </c>
      <c r="F467" s="11">
        <v>4</v>
      </c>
      <c r="G467" s="15">
        <v>4</v>
      </c>
      <c r="H467" s="15">
        <v>0.313</v>
      </c>
      <c r="I467" s="15">
        <v>0.371</v>
      </c>
      <c r="J467" s="44">
        <f t="shared" si="18"/>
        <v>0.371</v>
      </c>
      <c r="K467" s="11">
        <v>5.38</v>
      </c>
      <c r="L467" s="52">
        <f t="shared" si="15"/>
        <v>10.408945686900958</v>
      </c>
      <c r="M467" s="14">
        <v>10.8</v>
      </c>
      <c r="N467" s="14">
        <v>6.31</v>
      </c>
      <c r="O467" s="14">
        <v>5.42</v>
      </c>
      <c r="P467" s="11">
        <v>1.63</v>
      </c>
      <c r="Q467" s="14">
        <v>3.58</v>
      </c>
      <c r="R467" s="14">
        <v>2.88</v>
      </c>
      <c r="S467" s="14">
        <v>1.79</v>
      </c>
      <c r="T467" s="14">
        <v>0.93899999999999995</v>
      </c>
      <c r="U467" s="15">
        <v>0.216</v>
      </c>
      <c r="V467" s="14">
        <v>11.8</v>
      </c>
      <c r="W467" s="188">
        <f t="shared" si="12"/>
        <v>1.0947636183550313</v>
      </c>
      <c r="X467" s="192">
        <f t="shared" si="13"/>
        <v>3.629</v>
      </c>
      <c r="AA467" s="39" t="str">
        <f t="shared" si="17"/>
        <v>M</v>
      </c>
    </row>
    <row r="468" spans="1:27" x14ac:dyDescent="0.2">
      <c r="A468" s="14" t="s">
        <v>2</v>
      </c>
      <c r="B468" s="2" t="s">
        <v>698</v>
      </c>
      <c r="C468" s="14" t="s">
        <v>392</v>
      </c>
      <c r="D468" s="14">
        <v>240</v>
      </c>
      <c r="E468" s="196">
        <v>70.599999999999994</v>
      </c>
      <c r="F468" s="11">
        <v>33.5</v>
      </c>
      <c r="G468" s="15">
        <v>15.865</v>
      </c>
      <c r="H468" s="15">
        <v>0.83</v>
      </c>
      <c r="I468" s="15">
        <v>1.4</v>
      </c>
      <c r="J468" s="44">
        <f t="shared" si="18"/>
        <v>1.4</v>
      </c>
      <c r="K468" s="14">
        <v>5.67</v>
      </c>
      <c r="L468" s="52">
        <f t="shared" si="15"/>
        <v>36.987951807228917</v>
      </c>
      <c r="M468" s="14">
        <v>13600</v>
      </c>
      <c r="N468" s="14">
        <v>919</v>
      </c>
      <c r="O468" s="14">
        <v>813</v>
      </c>
      <c r="P468" s="196">
        <v>13.9</v>
      </c>
      <c r="Q468" s="14">
        <v>933</v>
      </c>
      <c r="R468" s="14">
        <v>182</v>
      </c>
      <c r="S468" s="14">
        <v>118</v>
      </c>
      <c r="T468" s="11">
        <v>3.64</v>
      </c>
      <c r="U468" s="14">
        <v>36.6</v>
      </c>
      <c r="V468" s="14">
        <v>240000</v>
      </c>
      <c r="W468" s="188">
        <f t="shared" si="12"/>
        <v>4.2917366752908901</v>
      </c>
      <c r="X468" s="192">
        <f t="shared" si="13"/>
        <v>32.1</v>
      </c>
      <c r="AA468" s="39" t="str">
        <f t="shared" si="17"/>
        <v>W</v>
      </c>
    </row>
    <row r="469" spans="1:27" x14ac:dyDescent="0.2">
      <c r="A469" s="14" t="s">
        <v>2</v>
      </c>
      <c r="B469" s="2" t="s">
        <v>699</v>
      </c>
      <c r="C469" s="14" t="s">
        <v>392</v>
      </c>
      <c r="D469" s="14">
        <v>220</v>
      </c>
      <c r="E469" s="196">
        <v>64.8</v>
      </c>
      <c r="F469" s="11">
        <v>33.25</v>
      </c>
      <c r="G469" s="15">
        <v>15.81</v>
      </c>
      <c r="H469" s="15">
        <v>0.77500000000000002</v>
      </c>
      <c r="I469" s="15">
        <v>1.2749999999999999</v>
      </c>
      <c r="J469" s="44">
        <f t="shared" si="18"/>
        <v>1.2749999999999999</v>
      </c>
      <c r="K469" s="11">
        <v>6.2</v>
      </c>
      <c r="L469" s="52">
        <f t="shared" si="15"/>
        <v>39.612903225806448</v>
      </c>
      <c r="M469" s="14">
        <v>12300</v>
      </c>
      <c r="N469" s="14">
        <v>838</v>
      </c>
      <c r="O469" s="14">
        <v>742</v>
      </c>
      <c r="P469" s="196">
        <v>13.8</v>
      </c>
      <c r="Q469" s="14">
        <v>841</v>
      </c>
      <c r="R469" s="14">
        <v>164</v>
      </c>
      <c r="S469" s="14">
        <v>106</v>
      </c>
      <c r="T469" s="11">
        <v>3.6</v>
      </c>
      <c r="U469" s="14">
        <v>28.2</v>
      </c>
      <c r="V469" s="14">
        <v>215000</v>
      </c>
      <c r="W469" s="188">
        <f t="shared" si="12"/>
        <v>4.256830170412071</v>
      </c>
      <c r="X469" s="192">
        <f t="shared" si="13"/>
        <v>31.975000000000001</v>
      </c>
      <c r="AA469" s="39" t="str">
        <f t="shared" si="17"/>
        <v>W</v>
      </c>
    </row>
    <row r="470" spans="1:27" x14ac:dyDescent="0.2">
      <c r="A470" s="14" t="s">
        <v>2</v>
      </c>
      <c r="B470" s="2" t="s">
        <v>700</v>
      </c>
      <c r="C470" s="14" t="s">
        <v>392</v>
      </c>
      <c r="D470" s="14">
        <v>200</v>
      </c>
      <c r="E470" s="196">
        <v>58.9</v>
      </c>
      <c r="F470" s="11">
        <v>33</v>
      </c>
      <c r="G470" s="15">
        <v>15.75</v>
      </c>
      <c r="H470" s="15">
        <v>0.71499999999999997</v>
      </c>
      <c r="I470" s="15">
        <v>1.1499999999999999</v>
      </c>
      <c r="J470" s="44">
        <f t="shared" si="18"/>
        <v>1.1499999999999999</v>
      </c>
      <c r="K470" s="11">
        <v>6.85</v>
      </c>
      <c r="L470" s="52">
        <f t="shared" si="15"/>
        <v>42.93706293706294</v>
      </c>
      <c r="M470" s="14">
        <v>11100</v>
      </c>
      <c r="N470" s="14">
        <v>756</v>
      </c>
      <c r="O470" s="14">
        <v>671</v>
      </c>
      <c r="P470" s="196">
        <v>13.7</v>
      </c>
      <c r="Q470" s="14">
        <v>750</v>
      </c>
      <c r="R470" s="14">
        <v>147</v>
      </c>
      <c r="S470" s="14">
        <v>95.2</v>
      </c>
      <c r="T470" s="11">
        <v>3.57</v>
      </c>
      <c r="U470" s="14">
        <v>21.1</v>
      </c>
      <c r="V470" s="14">
        <v>190000</v>
      </c>
      <c r="W470" s="188">
        <f t="shared" si="12"/>
        <v>4.2189957909853044</v>
      </c>
      <c r="X470" s="192">
        <f t="shared" si="13"/>
        <v>31.85</v>
      </c>
      <c r="AA470" s="39" t="str">
        <f t="shared" si="17"/>
        <v>W</v>
      </c>
    </row>
    <row r="471" spans="1:27" x14ac:dyDescent="0.2">
      <c r="A471" s="14" t="s">
        <v>2</v>
      </c>
      <c r="B471" s="2" t="s">
        <v>701</v>
      </c>
      <c r="C471" s="14" t="s">
        <v>392</v>
      </c>
      <c r="D471" s="14">
        <v>210</v>
      </c>
      <c r="E471" s="196">
        <v>61.9</v>
      </c>
      <c r="F471" s="11">
        <v>30.38</v>
      </c>
      <c r="G471" s="15">
        <v>15.105</v>
      </c>
      <c r="H471" s="15">
        <v>0.77500000000000002</v>
      </c>
      <c r="I471" s="15">
        <v>1.3149999999999999</v>
      </c>
      <c r="J471" s="44">
        <f t="shared" si="18"/>
        <v>1.3149999999999999</v>
      </c>
      <c r="K471" s="11">
        <v>5.74</v>
      </c>
      <c r="L471" s="52">
        <f t="shared" si="15"/>
        <v>35.806451612903224</v>
      </c>
      <c r="M471" s="14">
        <v>9890</v>
      </c>
      <c r="N471" s="14">
        <v>735</v>
      </c>
      <c r="O471" s="14">
        <v>651</v>
      </c>
      <c r="P471" s="196">
        <v>12.6</v>
      </c>
      <c r="Q471" s="14">
        <v>757</v>
      </c>
      <c r="R471" s="14">
        <v>155</v>
      </c>
      <c r="S471" s="14">
        <v>100</v>
      </c>
      <c r="T471" s="11">
        <v>3.5</v>
      </c>
      <c r="U471" s="14">
        <v>28.5</v>
      </c>
      <c r="V471" s="14">
        <v>160000</v>
      </c>
      <c r="W471" s="188">
        <f t="shared" si="12"/>
        <v>4.1108119589197392</v>
      </c>
      <c r="X471" s="192">
        <f t="shared" si="13"/>
        <v>29.064999999999998</v>
      </c>
      <c r="AA471" s="39" t="str">
        <f t="shared" si="17"/>
        <v>W</v>
      </c>
    </row>
    <row r="472" spans="1:27" x14ac:dyDescent="0.2">
      <c r="A472" s="14" t="s">
        <v>2</v>
      </c>
      <c r="B472" s="2" t="s">
        <v>702</v>
      </c>
      <c r="C472" s="14" t="s">
        <v>392</v>
      </c>
      <c r="D472" s="14">
        <v>190</v>
      </c>
      <c r="E472" s="196">
        <v>56</v>
      </c>
      <c r="F472" s="11">
        <v>30.12</v>
      </c>
      <c r="G472" s="15">
        <v>15.04</v>
      </c>
      <c r="H472" s="15">
        <v>0.71</v>
      </c>
      <c r="I472" s="15">
        <v>1.1850000000000001</v>
      </c>
      <c r="J472" s="44">
        <f t="shared" si="18"/>
        <v>1.1850000000000001</v>
      </c>
      <c r="K472" s="11">
        <v>6.35</v>
      </c>
      <c r="L472" s="52">
        <f t="shared" si="15"/>
        <v>39.08450704225352</v>
      </c>
      <c r="M472" s="14">
        <v>8850</v>
      </c>
      <c r="N472" s="14">
        <v>661</v>
      </c>
      <c r="O472" s="14">
        <v>587</v>
      </c>
      <c r="P472" s="196">
        <v>12.6</v>
      </c>
      <c r="Q472" s="14">
        <v>673</v>
      </c>
      <c r="R472" s="14">
        <v>138</v>
      </c>
      <c r="S472" s="14">
        <v>89.5</v>
      </c>
      <c r="T472" s="14">
        <v>3.47</v>
      </c>
      <c r="U472" s="14">
        <v>21.2</v>
      </c>
      <c r="V472" s="14">
        <v>141000</v>
      </c>
      <c r="W472" s="188">
        <f t="shared" si="12"/>
        <v>4.0727263177488977</v>
      </c>
      <c r="X472" s="192">
        <f t="shared" si="13"/>
        <v>28.935000000000002</v>
      </c>
      <c r="AA472" s="39" t="str">
        <f t="shared" si="17"/>
        <v>W</v>
      </c>
    </row>
    <row r="473" spans="1:27" x14ac:dyDescent="0.2">
      <c r="A473" s="14" t="s">
        <v>2</v>
      </c>
      <c r="B473" s="2" t="s">
        <v>703</v>
      </c>
      <c r="C473" s="14" t="s">
        <v>392</v>
      </c>
      <c r="D473" s="14">
        <v>172</v>
      </c>
      <c r="E473" s="196">
        <v>50.7</v>
      </c>
      <c r="F473" s="11">
        <v>29.88</v>
      </c>
      <c r="G473" s="15">
        <v>14.984999999999999</v>
      </c>
      <c r="H473" s="15">
        <v>0.65500000000000003</v>
      </c>
      <c r="I473" s="15">
        <v>1.0649999999999999</v>
      </c>
      <c r="J473" s="44">
        <f t="shared" si="18"/>
        <v>1.0649999999999999</v>
      </c>
      <c r="K473" s="11">
        <v>7.04</v>
      </c>
      <c r="L473" s="52">
        <f t="shared" ref="L473:L504" si="19">(F473-2*J473)/H473</f>
        <v>42.366412213740453</v>
      </c>
      <c r="M473" s="14">
        <v>7910</v>
      </c>
      <c r="N473" s="14">
        <v>594</v>
      </c>
      <c r="O473" s="14">
        <v>530</v>
      </c>
      <c r="P473" s="196">
        <v>12.5</v>
      </c>
      <c r="Q473" s="14">
        <v>598</v>
      </c>
      <c r="R473" s="14">
        <v>123</v>
      </c>
      <c r="S473" s="14">
        <v>79.8</v>
      </c>
      <c r="T473" s="14">
        <v>3.43</v>
      </c>
      <c r="U473" s="14">
        <v>15.7</v>
      </c>
      <c r="V473" s="14">
        <v>124000</v>
      </c>
      <c r="W473" s="188">
        <f t="shared" si="12"/>
        <v>4.0318741837961989</v>
      </c>
      <c r="X473" s="192">
        <f t="shared" si="13"/>
        <v>28.814999999999998</v>
      </c>
      <c r="AA473" s="39" t="str">
        <f t="shared" si="17"/>
        <v>W</v>
      </c>
    </row>
    <row r="474" spans="1:27" x14ac:dyDescent="0.2">
      <c r="A474" s="14" t="s">
        <v>2</v>
      </c>
      <c r="B474" s="2" t="s">
        <v>704</v>
      </c>
      <c r="C474" s="14" t="s">
        <v>392</v>
      </c>
      <c r="D474" s="14">
        <v>177</v>
      </c>
      <c r="E474" s="14">
        <v>52.2</v>
      </c>
      <c r="F474" s="11">
        <v>27.31</v>
      </c>
      <c r="G474" s="15">
        <v>14.09</v>
      </c>
      <c r="H474" s="15">
        <v>0.72499999999999998</v>
      </c>
      <c r="I474" s="15">
        <v>1.19</v>
      </c>
      <c r="J474" s="44">
        <f t="shared" si="18"/>
        <v>1.19</v>
      </c>
      <c r="K474" s="14">
        <v>5.92</v>
      </c>
      <c r="L474" s="52">
        <f t="shared" si="19"/>
        <v>34.386206896551727</v>
      </c>
      <c r="M474" s="14">
        <v>6740</v>
      </c>
      <c r="N474" s="14">
        <v>557</v>
      </c>
      <c r="O474" s="14">
        <v>494</v>
      </c>
      <c r="P474" s="14">
        <v>11.4</v>
      </c>
      <c r="Q474" s="14">
        <v>556</v>
      </c>
      <c r="R474" s="14">
        <v>122</v>
      </c>
      <c r="S474" s="14">
        <v>78.900000000000006</v>
      </c>
      <c r="T474" s="14">
        <v>3.26</v>
      </c>
      <c r="U474" s="14">
        <v>20.100000000000001</v>
      </c>
      <c r="V474" s="14">
        <v>94800</v>
      </c>
      <c r="W474" s="188">
        <f t="shared" si="12"/>
        <v>3.8339417460025249</v>
      </c>
      <c r="X474" s="192">
        <f t="shared" si="13"/>
        <v>26.119999999999997</v>
      </c>
      <c r="AA474" s="39" t="str">
        <f t="shared" si="17"/>
        <v>W</v>
      </c>
    </row>
    <row r="475" spans="1:27" x14ac:dyDescent="0.2">
      <c r="A475" s="14" t="s">
        <v>2</v>
      </c>
      <c r="B475" s="2" t="s">
        <v>705</v>
      </c>
      <c r="C475" s="14" t="s">
        <v>392</v>
      </c>
      <c r="D475" s="14">
        <v>160</v>
      </c>
      <c r="E475" s="14">
        <v>47.1</v>
      </c>
      <c r="F475" s="11">
        <v>27.08</v>
      </c>
      <c r="G475" s="15">
        <v>14.023</v>
      </c>
      <c r="H475" s="15">
        <v>0.65800000000000003</v>
      </c>
      <c r="I475" s="15">
        <v>1.075</v>
      </c>
      <c r="J475" s="44">
        <f t="shared" si="18"/>
        <v>1.075</v>
      </c>
      <c r="K475" s="14">
        <v>6.52</v>
      </c>
      <c r="L475" s="52">
        <f t="shared" si="19"/>
        <v>37.887537993920972</v>
      </c>
      <c r="M475" s="14">
        <v>6030</v>
      </c>
      <c r="N475" s="14">
        <v>501</v>
      </c>
      <c r="O475" s="14">
        <v>446</v>
      </c>
      <c r="P475" s="14">
        <v>11.3</v>
      </c>
      <c r="Q475" s="14">
        <v>495</v>
      </c>
      <c r="R475" s="14">
        <v>109</v>
      </c>
      <c r="S475" s="14">
        <v>70.599999999999994</v>
      </c>
      <c r="T475" s="14">
        <v>3.24</v>
      </c>
      <c r="U475" s="14">
        <v>14.9</v>
      </c>
      <c r="V475" s="14">
        <v>83700</v>
      </c>
      <c r="W475" s="188">
        <f t="shared" si="12"/>
        <v>3.7988189986827963</v>
      </c>
      <c r="X475" s="192">
        <f t="shared" si="13"/>
        <v>26.004999999999999</v>
      </c>
      <c r="AA475" s="39" t="str">
        <f t="shared" si="17"/>
        <v>W</v>
      </c>
    </row>
    <row r="476" spans="1:27" x14ac:dyDescent="0.2">
      <c r="A476" s="14" t="s">
        <v>2</v>
      </c>
      <c r="B476" s="2" t="s">
        <v>706</v>
      </c>
      <c r="C476" s="14" t="s">
        <v>392</v>
      </c>
      <c r="D476" s="14">
        <v>145</v>
      </c>
      <c r="E476" s="14">
        <v>42.7</v>
      </c>
      <c r="F476" s="11">
        <v>26.88</v>
      </c>
      <c r="G476" s="15">
        <v>13.965</v>
      </c>
      <c r="H476" s="15">
        <v>0.6</v>
      </c>
      <c r="I476" s="15">
        <v>0.97499999999999998</v>
      </c>
      <c r="J476" s="44">
        <f t="shared" si="18"/>
        <v>0.97499999999999998</v>
      </c>
      <c r="K476" s="14">
        <v>7.16</v>
      </c>
      <c r="L476" s="52">
        <f t="shared" si="19"/>
        <v>41.550000000000004</v>
      </c>
      <c r="M476" s="14">
        <v>5430</v>
      </c>
      <c r="N476" s="14">
        <v>453</v>
      </c>
      <c r="O476" s="14">
        <v>404</v>
      </c>
      <c r="P476" s="14">
        <v>11.3</v>
      </c>
      <c r="Q476" s="14">
        <v>443</v>
      </c>
      <c r="R476" s="14">
        <v>97.6</v>
      </c>
      <c r="S476" s="14">
        <v>63.5</v>
      </c>
      <c r="T476" s="14">
        <v>3.22</v>
      </c>
      <c r="U476" s="14">
        <v>11.2</v>
      </c>
      <c r="V476" s="14">
        <v>74300</v>
      </c>
      <c r="W476" s="188">
        <f t="shared" si="12"/>
        <v>3.7686688762757998</v>
      </c>
      <c r="X476" s="192">
        <f t="shared" si="13"/>
        <v>25.904999999999998</v>
      </c>
      <c r="AA476" s="39" t="str">
        <f t="shared" si="17"/>
        <v>W</v>
      </c>
    </row>
    <row r="477" spans="1:27" x14ac:dyDescent="0.2">
      <c r="A477" s="14" t="s">
        <v>2</v>
      </c>
      <c r="B477" s="2" t="s">
        <v>707</v>
      </c>
      <c r="C477" s="14" t="s">
        <v>392</v>
      </c>
      <c r="D477" s="14">
        <v>160</v>
      </c>
      <c r="E477" s="196">
        <v>47.1</v>
      </c>
      <c r="F477" s="11">
        <v>24.72</v>
      </c>
      <c r="G477" s="15">
        <v>14.090999999999999</v>
      </c>
      <c r="H477" s="15">
        <v>0.65600000000000003</v>
      </c>
      <c r="I477" s="15">
        <v>1.135</v>
      </c>
      <c r="J477" s="44">
        <f t="shared" si="18"/>
        <v>1.135</v>
      </c>
      <c r="K477" s="11">
        <v>6.21</v>
      </c>
      <c r="L477" s="52">
        <f t="shared" si="19"/>
        <v>34.222560975609753</v>
      </c>
      <c r="M477" s="14">
        <v>5120</v>
      </c>
      <c r="N477" s="14">
        <v>465</v>
      </c>
      <c r="O477" s="14">
        <v>414</v>
      </c>
      <c r="P477" s="14">
        <v>10.4</v>
      </c>
      <c r="Q477" s="14">
        <v>530</v>
      </c>
      <c r="R477" s="14">
        <v>115</v>
      </c>
      <c r="S477" s="14">
        <v>75.2</v>
      </c>
      <c r="T477" s="14">
        <v>3.35</v>
      </c>
      <c r="U477" s="14">
        <v>16.5</v>
      </c>
      <c r="V477" s="14">
        <v>73700</v>
      </c>
      <c r="W477" s="188">
        <f t="shared" si="12"/>
        <v>3.8854444718669385</v>
      </c>
      <c r="X477" s="192">
        <f t="shared" si="13"/>
        <v>23.584999999999997</v>
      </c>
      <c r="AA477" s="39" t="str">
        <f t="shared" si="17"/>
        <v>W</v>
      </c>
    </row>
    <row r="478" spans="1:27" x14ac:dyDescent="0.2">
      <c r="A478" s="14" t="s">
        <v>2</v>
      </c>
      <c r="B478" s="2" t="s">
        <v>708</v>
      </c>
      <c r="C478" s="14" t="s">
        <v>392</v>
      </c>
      <c r="D478" s="14">
        <v>145</v>
      </c>
      <c r="E478" s="196">
        <v>42.7</v>
      </c>
      <c r="F478" s="11">
        <v>24.49</v>
      </c>
      <c r="G478" s="15">
        <v>14.042999999999999</v>
      </c>
      <c r="H478" s="15">
        <v>0.60799999999999998</v>
      </c>
      <c r="I478" s="15">
        <v>1.02</v>
      </c>
      <c r="J478" s="44">
        <f t="shared" si="18"/>
        <v>1.02</v>
      </c>
      <c r="K478" s="11">
        <v>6.88</v>
      </c>
      <c r="L478" s="52">
        <f t="shared" si="19"/>
        <v>36.924342105263158</v>
      </c>
      <c r="M478" s="14">
        <v>4570</v>
      </c>
      <c r="N478" s="14">
        <v>417</v>
      </c>
      <c r="O478" s="14">
        <v>373</v>
      </c>
      <c r="P478" s="14">
        <v>10.3</v>
      </c>
      <c r="Q478" s="14">
        <v>471</v>
      </c>
      <c r="R478" s="14">
        <v>103</v>
      </c>
      <c r="S478" s="14">
        <v>67.099999999999994</v>
      </c>
      <c r="T478" s="14">
        <v>3.32</v>
      </c>
      <c r="U478" s="14">
        <v>12.2</v>
      </c>
      <c r="V478" s="14">
        <v>64900</v>
      </c>
      <c r="W478" s="188">
        <f t="shared" si="12"/>
        <v>3.8494402643144716</v>
      </c>
      <c r="X478" s="192">
        <f t="shared" si="13"/>
        <v>23.47</v>
      </c>
      <c r="AA478" s="39" t="str">
        <f t="shared" si="17"/>
        <v>W</v>
      </c>
    </row>
    <row r="479" spans="1:27" x14ac:dyDescent="0.2">
      <c r="A479" s="14" t="s">
        <v>2</v>
      </c>
      <c r="B479" s="2" t="s">
        <v>709</v>
      </c>
      <c r="C479" s="14" t="s">
        <v>392</v>
      </c>
      <c r="D479" s="14">
        <v>130</v>
      </c>
      <c r="E479" s="196">
        <v>38.299999999999997</v>
      </c>
      <c r="F479" s="11">
        <v>24.25</v>
      </c>
      <c r="G479" s="15">
        <v>14</v>
      </c>
      <c r="H479" s="15">
        <v>0.56499999999999995</v>
      </c>
      <c r="I479" s="15">
        <v>0.9</v>
      </c>
      <c r="J479" s="44">
        <f t="shared" si="18"/>
        <v>0.9</v>
      </c>
      <c r="K479" s="11">
        <v>7.78</v>
      </c>
      <c r="L479" s="52">
        <f t="shared" si="19"/>
        <v>39.734513274336287</v>
      </c>
      <c r="M479" s="14">
        <v>4020</v>
      </c>
      <c r="N479" s="14">
        <v>370</v>
      </c>
      <c r="O479" s="14">
        <v>332</v>
      </c>
      <c r="P479" s="14">
        <v>10.199999999999999</v>
      </c>
      <c r="Q479" s="14">
        <v>412</v>
      </c>
      <c r="R479" s="14">
        <v>90.2</v>
      </c>
      <c r="S479" s="14">
        <v>58.9</v>
      </c>
      <c r="T479" s="14">
        <v>3.28</v>
      </c>
      <c r="U479" s="14">
        <v>8.67</v>
      </c>
      <c r="V479" s="14">
        <v>56200</v>
      </c>
      <c r="W479" s="188">
        <f t="shared" si="12"/>
        <v>3.8063437853205264</v>
      </c>
      <c r="X479" s="192">
        <f t="shared" si="13"/>
        <v>23.35</v>
      </c>
      <c r="AA479" s="39" t="str">
        <f t="shared" si="17"/>
        <v>W</v>
      </c>
    </row>
    <row r="480" spans="1:27" x14ac:dyDescent="0.2">
      <c r="A480" s="14" t="s">
        <v>2</v>
      </c>
      <c r="B480" s="2" t="s">
        <v>710</v>
      </c>
      <c r="C480" s="14" t="s">
        <v>392</v>
      </c>
      <c r="D480" s="14">
        <v>120</v>
      </c>
      <c r="E480" s="196">
        <v>35.4</v>
      </c>
      <c r="F480" s="11">
        <v>24.31</v>
      </c>
      <c r="G480" s="15">
        <v>12.087999999999999</v>
      </c>
      <c r="H480" s="15">
        <v>0.55600000000000005</v>
      </c>
      <c r="I480" s="15">
        <v>0.93</v>
      </c>
      <c r="J480" s="44">
        <f t="shared" si="18"/>
        <v>0.93</v>
      </c>
      <c r="K480" s="11">
        <v>6.5</v>
      </c>
      <c r="L480" s="52">
        <f t="shared" si="19"/>
        <v>40.377697841726615</v>
      </c>
      <c r="M480" s="14">
        <v>3650</v>
      </c>
      <c r="N480" s="14">
        <v>338</v>
      </c>
      <c r="O480" s="14">
        <v>300</v>
      </c>
      <c r="P480" s="14">
        <v>10.199999999999999</v>
      </c>
      <c r="Q480" s="14">
        <v>274</v>
      </c>
      <c r="R480" s="14">
        <v>69.900000000000006</v>
      </c>
      <c r="S480" s="14">
        <v>45.4</v>
      </c>
      <c r="T480" s="14">
        <v>2.78</v>
      </c>
      <c r="U480" s="14">
        <v>8.27</v>
      </c>
      <c r="V480" s="14">
        <v>37500</v>
      </c>
      <c r="W480" s="188">
        <f t="shared" si="12"/>
        <v>3.267547500292332</v>
      </c>
      <c r="X480" s="192">
        <f t="shared" si="13"/>
        <v>23.38</v>
      </c>
      <c r="AA480" s="39" t="str">
        <f t="shared" si="17"/>
        <v>W</v>
      </c>
    </row>
    <row r="481" spans="1:27" x14ac:dyDescent="0.2">
      <c r="A481" s="14" t="s">
        <v>2</v>
      </c>
      <c r="B481" s="2" t="s">
        <v>711</v>
      </c>
      <c r="C481" s="14" t="s">
        <v>392</v>
      </c>
      <c r="D481" s="14">
        <v>110</v>
      </c>
      <c r="E481" s="196">
        <v>32.5</v>
      </c>
      <c r="F481" s="11">
        <v>24.16</v>
      </c>
      <c r="G481" s="15">
        <v>12.042</v>
      </c>
      <c r="H481" s="15">
        <v>0.51</v>
      </c>
      <c r="I481" s="15">
        <v>0.85499999999999998</v>
      </c>
      <c r="J481" s="44">
        <f t="shared" si="18"/>
        <v>0.85499999999999998</v>
      </c>
      <c r="K481" s="11">
        <v>7.04</v>
      </c>
      <c r="L481" s="52">
        <f t="shared" si="19"/>
        <v>44.019607843137251</v>
      </c>
      <c r="M481" s="14">
        <v>3330</v>
      </c>
      <c r="N481" s="14">
        <v>309</v>
      </c>
      <c r="O481" s="14">
        <v>276</v>
      </c>
      <c r="P481" s="14">
        <v>10.1</v>
      </c>
      <c r="Q481" s="14">
        <v>249</v>
      </c>
      <c r="R481" s="196">
        <v>63.6</v>
      </c>
      <c r="S481" s="14">
        <v>41.4</v>
      </c>
      <c r="T481" s="14">
        <v>2.77</v>
      </c>
      <c r="U481" s="14">
        <v>6.45</v>
      </c>
      <c r="V481" s="14">
        <v>33800</v>
      </c>
      <c r="W481" s="188">
        <f t="shared" si="12"/>
        <v>3.2423111389468979</v>
      </c>
      <c r="X481" s="192">
        <f t="shared" si="13"/>
        <v>23.305</v>
      </c>
      <c r="AA481" s="39" t="str">
        <f t="shared" si="17"/>
        <v>W</v>
      </c>
    </row>
    <row r="482" spans="1:27" x14ac:dyDescent="0.2">
      <c r="A482" s="14" t="s">
        <v>2</v>
      </c>
      <c r="B482" s="2" t="s">
        <v>712</v>
      </c>
      <c r="C482" s="14" t="s">
        <v>392</v>
      </c>
      <c r="D482" s="14">
        <v>100</v>
      </c>
      <c r="E482" s="196">
        <v>29.5</v>
      </c>
      <c r="F482" s="11">
        <v>24</v>
      </c>
      <c r="G482" s="15">
        <v>12</v>
      </c>
      <c r="H482" s="15">
        <v>0.46800000000000003</v>
      </c>
      <c r="I482" s="15">
        <v>0.77500000000000002</v>
      </c>
      <c r="J482" s="44">
        <f t="shared" si="18"/>
        <v>0.77500000000000002</v>
      </c>
      <c r="K482" s="11">
        <v>7.74</v>
      </c>
      <c r="L482" s="52">
        <f t="shared" si="19"/>
        <v>47.970085470085465</v>
      </c>
      <c r="M482" s="14">
        <v>3000</v>
      </c>
      <c r="N482" s="14">
        <v>280</v>
      </c>
      <c r="O482" s="14">
        <v>250</v>
      </c>
      <c r="P482" s="14">
        <v>10.1</v>
      </c>
      <c r="Q482" s="14">
        <v>223</v>
      </c>
      <c r="R482" s="196">
        <v>57.2</v>
      </c>
      <c r="S482" s="14">
        <v>37.200000000000003</v>
      </c>
      <c r="T482" s="14">
        <v>2.75</v>
      </c>
      <c r="U482" s="14">
        <v>4.87</v>
      </c>
      <c r="V482" s="14">
        <v>30100</v>
      </c>
      <c r="W482" s="188">
        <f t="shared" si="12"/>
        <v>3.2184390626513344</v>
      </c>
      <c r="X482" s="192">
        <f t="shared" si="13"/>
        <v>23.225000000000001</v>
      </c>
      <c r="AA482" s="39" t="str">
        <f t="shared" si="17"/>
        <v>W</v>
      </c>
    </row>
    <row r="483" spans="1:27" x14ac:dyDescent="0.2">
      <c r="A483" s="14" t="s">
        <v>2</v>
      </c>
      <c r="B483" s="2" t="s">
        <v>713</v>
      </c>
      <c r="C483" s="14" t="s">
        <v>392</v>
      </c>
      <c r="D483" s="14">
        <v>61</v>
      </c>
      <c r="E483" s="196">
        <v>18</v>
      </c>
      <c r="F483" s="11">
        <v>23.72</v>
      </c>
      <c r="G483" s="15">
        <v>7.0229999999999997</v>
      </c>
      <c r="H483" s="15">
        <v>0.41899999999999998</v>
      </c>
      <c r="I483" s="15">
        <v>0.59099999999999997</v>
      </c>
      <c r="J483" s="44">
        <f t="shared" si="18"/>
        <v>0.59099999999999997</v>
      </c>
      <c r="K483" s="11">
        <v>5.94</v>
      </c>
      <c r="L483" s="52">
        <f t="shared" si="19"/>
        <v>53.789976133651557</v>
      </c>
      <c r="M483" s="14">
        <v>1540</v>
      </c>
      <c r="N483" s="14">
        <v>152</v>
      </c>
      <c r="O483" s="14">
        <v>130</v>
      </c>
      <c r="P483" s="11">
        <v>9.25</v>
      </c>
      <c r="Q483" s="14">
        <v>34.299999999999997</v>
      </c>
      <c r="R483" s="196">
        <v>15.6</v>
      </c>
      <c r="S483" s="14">
        <v>9.76</v>
      </c>
      <c r="T483" s="14">
        <v>1.38</v>
      </c>
      <c r="U483" s="14">
        <v>1.66</v>
      </c>
      <c r="V483" s="14">
        <v>4580</v>
      </c>
      <c r="W483" s="188">
        <f t="shared" si="12"/>
        <v>1.746782426678791</v>
      </c>
      <c r="X483" s="192">
        <f t="shared" si="13"/>
        <v>23.128999999999998</v>
      </c>
      <c r="AA483" s="39" t="str">
        <f t="shared" si="17"/>
        <v>W</v>
      </c>
    </row>
    <row r="484" spans="1:27" x14ac:dyDescent="0.2">
      <c r="A484" s="14" t="s">
        <v>2</v>
      </c>
      <c r="B484" s="2" t="s">
        <v>714</v>
      </c>
      <c r="C484" s="14" t="s">
        <v>392</v>
      </c>
      <c r="D484" s="14">
        <v>142</v>
      </c>
      <c r="E484" s="196">
        <v>41.8</v>
      </c>
      <c r="F484" s="11">
        <v>21.46</v>
      </c>
      <c r="G484" s="15">
        <v>13.132</v>
      </c>
      <c r="H484" s="15">
        <v>0.65900000000000003</v>
      </c>
      <c r="I484" s="15">
        <v>1.095</v>
      </c>
      <c r="J484" s="44">
        <f t="shared" si="18"/>
        <v>1.095</v>
      </c>
      <c r="K484" s="11">
        <v>6</v>
      </c>
      <c r="L484" s="52">
        <f t="shared" si="19"/>
        <v>29.241274658573595</v>
      </c>
      <c r="M484" s="14">
        <v>3410</v>
      </c>
      <c r="N484" s="14">
        <v>357</v>
      </c>
      <c r="O484" s="14">
        <v>317</v>
      </c>
      <c r="P484" s="11">
        <v>9.0299999999999994</v>
      </c>
      <c r="Q484" s="14">
        <v>414</v>
      </c>
      <c r="R484" s="196">
        <v>96.7</v>
      </c>
      <c r="S484" s="196">
        <v>63</v>
      </c>
      <c r="T484" s="14">
        <v>3.15</v>
      </c>
      <c r="U484" s="14">
        <v>13.8</v>
      </c>
      <c r="V484" s="14">
        <v>42900</v>
      </c>
      <c r="W484" s="188">
        <f t="shared" si="12"/>
        <v>3.6466807862901565</v>
      </c>
      <c r="X484" s="192">
        <f t="shared" si="13"/>
        <v>20.365000000000002</v>
      </c>
      <c r="AA484" s="39" t="str">
        <f t="shared" si="17"/>
        <v>W</v>
      </c>
    </row>
    <row r="485" spans="1:27" x14ac:dyDescent="0.2">
      <c r="A485" s="14" t="s">
        <v>2</v>
      </c>
      <c r="B485" s="2" t="s">
        <v>715</v>
      </c>
      <c r="C485" s="14" t="s">
        <v>392</v>
      </c>
      <c r="D485" s="14">
        <v>127</v>
      </c>
      <c r="E485" s="196">
        <v>37.4</v>
      </c>
      <c r="F485" s="11">
        <v>21.24</v>
      </c>
      <c r="G485" s="15">
        <v>13.061</v>
      </c>
      <c r="H485" s="15">
        <v>0.58799999999999997</v>
      </c>
      <c r="I485" s="15">
        <v>0.98499999999999999</v>
      </c>
      <c r="J485" s="44">
        <f t="shared" si="18"/>
        <v>0.98499999999999999</v>
      </c>
      <c r="K485" s="11">
        <v>6.63</v>
      </c>
      <c r="L485" s="52">
        <f t="shared" si="19"/>
        <v>32.772108843537417</v>
      </c>
      <c r="M485" s="14">
        <v>3020</v>
      </c>
      <c r="N485" s="14">
        <v>318</v>
      </c>
      <c r="O485" s="14">
        <v>284</v>
      </c>
      <c r="P485" s="11">
        <v>8.99</v>
      </c>
      <c r="Q485" s="14">
        <v>366</v>
      </c>
      <c r="R485" s="196">
        <v>85.8</v>
      </c>
      <c r="S485" s="196">
        <v>56.1</v>
      </c>
      <c r="T485" s="14">
        <v>3.13</v>
      </c>
      <c r="U485" s="196">
        <v>10</v>
      </c>
      <c r="V485" s="14">
        <v>37600</v>
      </c>
      <c r="W485" s="188">
        <f t="shared" si="12"/>
        <v>3.612704987117501</v>
      </c>
      <c r="X485" s="192">
        <f t="shared" si="13"/>
        <v>20.254999999999999</v>
      </c>
      <c r="AA485" s="39" t="str">
        <f t="shared" si="17"/>
        <v>W</v>
      </c>
    </row>
    <row r="486" spans="1:27" x14ac:dyDescent="0.2">
      <c r="A486" s="14" t="s">
        <v>2</v>
      </c>
      <c r="B486" s="2" t="s">
        <v>716</v>
      </c>
      <c r="C486" s="14" t="s">
        <v>392</v>
      </c>
      <c r="D486" s="14">
        <v>112</v>
      </c>
      <c r="E486" s="196">
        <v>33</v>
      </c>
      <c r="F486" s="11">
        <v>21</v>
      </c>
      <c r="G486" s="15">
        <v>13</v>
      </c>
      <c r="H486" s="15">
        <v>0.52700000000000002</v>
      </c>
      <c r="I486" s="15">
        <v>0.86499999999999999</v>
      </c>
      <c r="J486" s="44">
        <f t="shared" si="18"/>
        <v>0.86499999999999999</v>
      </c>
      <c r="K486" s="11">
        <v>7.51</v>
      </c>
      <c r="L486" s="52">
        <f t="shared" si="19"/>
        <v>36.565464895635671</v>
      </c>
      <c r="M486" s="14">
        <v>2620</v>
      </c>
      <c r="N486" s="14">
        <v>278</v>
      </c>
      <c r="O486" s="14">
        <v>250</v>
      </c>
      <c r="P486" s="11">
        <v>8.92</v>
      </c>
      <c r="Q486" s="14">
        <v>317</v>
      </c>
      <c r="R486" s="196">
        <v>74.599999999999994</v>
      </c>
      <c r="S486" s="196">
        <v>48.8</v>
      </c>
      <c r="T486" s="11">
        <v>3.1</v>
      </c>
      <c r="U486" s="14">
        <v>6.87</v>
      </c>
      <c r="V486" s="14">
        <v>32100</v>
      </c>
      <c r="W486" s="188">
        <f t="shared" si="12"/>
        <v>3.5728965840057558</v>
      </c>
      <c r="X486" s="192">
        <f t="shared" si="13"/>
        <v>20.135000000000002</v>
      </c>
      <c r="AA486" s="39" t="str">
        <f t="shared" si="17"/>
        <v>W</v>
      </c>
    </row>
    <row r="487" spans="1:27" x14ac:dyDescent="0.2">
      <c r="A487" s="14" t="s">
        <v>2</v>
      </c>
      <c r="B487" s="2" t="s">
        <v>717</v>
      </c>
      <c r="C487" s="14" t="s">
        <v>392</v>
      </c>
      <c r="D487" s="14">
        <v>96</v>
      </c>
      <c r="E487" s="196">
        <v>28.3</v>
      </c>
      <c r="F487" s="11">
        <v>21.14</v>
      </c>
      <c r="G487" s="15">
        <v>9.0380000000000003</v>
      </c>
      <c r="H487" s="15">
        <v>0.57499999999999996</v>
      </c>
      <c r="I487" s="15">
        <v>0.93500000000000005</v>
      </c>
      <c r="J487" s="44">
        <f t="shared" si="18"/>
        <v>0.93500000000000005</v>
      </c>
      <c r="K487" s="11">
        <v>4.83</v>
      </c>
      <c r="L487" s="52">
        <f t="shared" si="19"/>
        <v>33.513043478260869</v>
      </c>
      <c r="M487" s="14">
        <v>2100</v>
      </c>
      <c r="N487" s="14">
        <v>227</v>
      </c>
      <c r="O487" s="14">
        <v>198</v>
      </c>
      <c r="P487" s="11">
        <v>8.61</v>
      </c>
      <c r="Q487" s="14">
        <v>115</v>
      </c>
      <c r="R487" s="196">
        <v>39.9</v>
      </c>
      <c r="S487" s="196">
        <v>25.5</v>
      </c>
      <c r="T487" s="11">
        <v>2.02</v>
      </c>
      <c r="U487" s="14">
        <v>6.51</v>
      </c>
      <c r="V487" s="14">
        <v>11800</v>
      </c>
      <c r="W487" s="188">
        <f t="shared" si="12"/>
        <v>2.4223157590131881</v>
      </c>
      <c r="X487" s="192">
        <f t="shared" si="13"/>
        <v>20.205000000000002</v>
      </c>
      <c r="AA487" s="39" t="str">
        <f t="shared" si="17"/>
        <v>W</v>
      </c>
    </row>
    <row r="488" spans="1:27" x14ac:dyDescent="0.2">
      <c r="A488" s="14" t="s">
        <v>2</v>
      </c>
      <c r="B488" s="2" t="s">
        <v>718</v>
      </c>
      <c r="C488" s="14" t="s">
        <v>392</v>
      </c>
      <c r="D488" s="14">
        <v>82</v>
      </c>
      <c r="E488" s="196">
        <v>24.2</v>
      </c>
      <c r="F488" s="11">
        <v>20.86</v>
      </c>
      <c r="G488" s="15">
        <v>8.9619999999999997</v>
      </c>
      <c r="H488" s="15">
        <v>0.499</v>
      </c>
      <c r="I488" s="15">
        <v>0.79500000000000004</v>
      </c>
      <c r="J488" s="44">
        <f t="shared" si="18"/>
        <v>0.79500000000000004</v>
      </c>
      <c r="K488" s="11">
        <v>5.64</v>
      </c>
      <c r="L488" s="52">
        <f t="shared" si="19"/>
        <v>38.617234468937873</v>
      </c>
      <c r="M488" s="14">
        <v>1760</v>
      </c>
      <c r="N488" s="14">
        <v>192</v>
      </c>
      <c r="O488" s="14">
        <v>169</v>
      </c>
      <c r="P488" s="11">
        <v>8.5299999999999994</v>
      </c>
      <c r="Q488" s="14">
        <v>95.6</v>
      </c>
      <c r="R488" s="196">
        <v>33.200000000000003</v>
      </c>
      <c r="S488" s="196">
        <v>21.3</v>
      </c>
      <c r="T488" s="11">
        <v>1.99</v>
      </c>
      <c r="U488" s="14">
        <v>4.09</v>
      </c>
      <c r="V488" s="14">
        <v>9620</v>
      </c>
      <c r="W488" s="188">
        <f t="shared" si="12"/>
        <v>2.3822655916401145</v>
      </c>
      <c r="X488" s="192">
        <f t="shared" si="13"/>
        <v>20.064999999999998</v>
      </c>
      <c r="AA488" s="39" t="str">
        <f t="shared" si="17"/>
        <v>W</v>
      </c>
    </row>
    <row r="489" spans="1:27" x14ac:dyDescent="0.2">
      <c r="A489" s="14" t="s">
        <v>2</v>
      </c>
      <c r="B489" s="2" t="s">
        <v>719</v>
      </c>
      <c r="C489" s="14" t="s">
        <v>392</v>
      </c>
      <c r="D489" s="14">
        <v>49</v>
      </c>
      <c r="E489" s="196">
        <v>14.4</v>
      </c>
      <c r="F489" s="11">
        <v>20.82</v>
      </c>
      <c r="G489" s="15">
        <v>6.52</v>
      </c>
      <c r="H489" s="15">
        <v>0.36799999999999999</v>
      </c>
      <c r="I489" s="15">
        <v>0.53200000000000003</v>
      </c>
      <c r="J489" s="44">
        <f t="shared" si="18"/>
        <v>0.53200000000000003</v>
      </c>
      <c r="K489" s="14">
        <v>6.13</v>
      </c>
      <c r="L489" s="52">
        <f t="shared" si="19"/>
        <v>53.684782608695656</v>
      </c>
      <c r="M489" s="14">
        <v>971</v>
      </c>
      <c r="N489" s="14">
        <v>108</v>
      </c>
      <c r="O489" s="14">
        <v>93.3</v>
      </c>
      <c r="P489" s="14">
        <v>8.2100000000000009</v>
      </c>
      <c r="Q489" s="14">
        <v>24.7</v>
      </c>
      <c r="R489" s="196">
        <v>12</v>
      </c>
      <c r="S489" s="14">
        <v>7.57</v>
      </c>
      <c r="T489" s="14">
        <v>1.31</v>
      </c>
      <c r="U489" s="14">
        <v>1.0900000000000001</v>
      </c>
      <c r="V489" s="14">
        <v>2540</v>
      </c>
      <c r="W489" s="188">
        <f t="shared" ref="W489:W552" si="20">SQRT((Q489*X489)/(2*O489))</f>
        <v>1.6387483786903456</v>
      </c>
      <c r="X489" s="192">
        <f t="shared" ref="X489:X552" si="21">F489-I489</f>
        <v>20.288</v>
      </c>
      <c r="AA489" s="39" t="str">
        <f t="shared" si="17"/>
        <v>W</v>
      </c>
    </row>
    <row r="490" spans="1:27" x14ac:dyDescent="0.2">
      <c r="A490" s="14" t="s">
        <v>2</v>
      </c>
      <c r="B490" s="2" t="s">
        <v>720</v>
      </c>
      <c r="C490" s="14" t="s">
        <v>392</v>
      </c>
      <c r="D490" s="14">
        <v>114</v>
      </c>
      <c r="E490" s="14">
        <v>33.5</v>
      </c>
      <c r="F490" s="11">
        <v>18.48</v>
      </c>
      <c r="G490" s="15">
        <v>11.833</v>
      </c>
      <c r="H490" s="15">
        <v>0.59499999999999997</v>
      </c>
      <c r="I490" s="15">
        <v>0.99099999999999999</v>
      </c>
      <c r="J490" s="44">
        <f t="shared" si="18"/>
        <v>0.99099999999999999</v>
      </c>
      <c r="K490" s="14">
        <v>5.97</v>
      </c>
      <c r="L490" s="52">
        <f t="shared" si="19"/>
        <v>27.727731092436979</v>
      </c>
      <c r="M490" s="14">
        <v>2040</v>
      </c>
      <c r="N490" s="14">
        <v>248</v>
      </c>
      <c r="O490" s="14">
        <v>220</v>
      </c>
      <c r="P490" s="11">
        <v>7.79</v>
      </c>
      <c r="Q490" s="14">
        <v>274</v>
      </c>
      <c r="R490" s="14">
        <v>70.900000000000006</v>
      </c>
      <c r="S490" s="14">
        <v>46.3</v>
      </c>
      <c r="T490" s="14">
        <v>2.86</v>
      </c>
      <c r="U490" s="14">
        <v>9.1300000000000008</v>
      </c>
      <c r="V490" s="14">
        <v>21000</v>
      </c>
      <c r="W490" s="188">
        <f t="shared" si="20"/>
        <v>3.300132917433368</v>
      </c>
      <c r="X490" s="192">
        <f t="shared" si="21"/>
        <v>17.489000000000001</v>
      </c>
      <c r="AA490" s="39" t="str">
        <f t="shared" si="17"/>
        <v>W</v>
      </c>
    </row>
    <row r="491" spans="1:27" x14ac:dyDescent="0.2">
      <c r="A491" s="14" t="s">
        <v>2</v>
      </c>
      <c r="B491" s="2" t="s">
        <v>721</v>
      </c>
      <c r="C491" s="14" t="s">
        <v>392</v>
      </c>
      <c r="D491" s="14">
        <v>105</v>
      </c>
      <c r="E491" s="14">
        <v>30.9</v>
      </c>
      <c r="F491" s="11">
        <v>18.32</v>
      </c>
      <c r="G491" s="15">
        <v>11.792</v>
      </c>
      <c r="H491" s="15">
        <v>0.55400000000000005</v>
      </c>
      <c r="I491" s="15">
        <v>0.91100000000000003</v>
      </c>
      <c r="J491" s="44">
        <f t="shared" si="18"/>
        <v>0.91100000000000003</v>
      </c>
      <c r="K491" s="14">
        <v>6.47</v>
      </c>
      <c r="L491" s="52">
        <f t="shared" si="19"/>
        <v>29.779783393501805</v>
      </c>
      <c r="M491" s="14">
        <v>1850</v>
      </c>
      <c r="N491" s="14">
        <v>227</v>
      </c>
      <c r="O491" s="14">
        <v>202</v>
      </c>
      <c r="P491" s="11">
        <v>7.75</v>
      </c>
      <c r="Q491" s="14">
        <v>249</v>
      </c>
      <c r="R491" s="14">
        <v>64.7</v>
      </c>
      <c r="S491" s="14">
        <v>42.3</v>
      </c>
      <c r="T491" s="14">
        <v>2.84</v>
      </c>
      <c r="U491" s="14">
        <v>7.15</v>
      </c>
      <c r="V491" s="14">
        <v>18900</v>
      </c>
      <c r="W491" s="188">
        <f t="shared" si="20"/>
        <v>3.275638022652311</v>
      </c>
      <c r="X491" s="192">
        <f t="shared" si="21"/>
        <v>17.408999999999999</v>
      </c>
      <c r="AA491" s="39" t="str">
        <f t="shared" si="17"/>
        <v>W</v>
      </c>
    </row>
    <row r="492" spans="1:27" x14ac:dyDescent="0.2">
      <c r="A492" s="14" t="s">
        <v>2</v>
      </c>
      <c r="B492" s="2" t="s">
        <v>722</v>
      </c>
      <c r="C492" s="14" t="s">
        <v>392</v>
      </c>
      <c r="D492" s="14">
        <v>96</v>
      </c>
      <c r="E492" s="14">
        <v>28.2</v>
      </c>
      <c r="F492" s="11">
        <v>18.16</v>
      </c>
      <c r="G492" s="15">
        <v>11.75</v>
      </c>
      <c r="H492" s="15">
        <v>0.51200000000000001</v>
      </c>
      <c r="I492" s="15">
        <v>0.83099999999999996</v>
      </c>
      <c r="J492" s="44">
        <f t="shared" si="18"/>
        <v>0.83099999999999996</v>
      </c>
      <c r="K492" s="14">
        <v>7.07</v>
      </c>
      <c r="L492" s="52">
        <f t="shared" si="19"/>
        <v>32.22265625</v>
      </c>
      <c r="M492" s="14">
        <v>1680</v>
      </c>
      <c r="N492" s="14">
        <v>206</v>
      </c>
      <c r="O492" s="14">
        <v>185</v>
      </c>
      <c r="P492" s="11">
        <v>7.7</v>
      </c>
      <c r="Q492" s="14">
        <v>225</v>
      </c>
      <c r="R492" s="14">
        <v>58.5</v>
      </c>
      <c r="S492" s="14">
        <v>38.299999999999997</v>
      </c>
      <c r="T492" s="14">
        <v>2.82</v>
      </c>
      <c r="U492" s="14">
        <v>5.48</v>
      </c>
      <c r="V492" s="14">
        <v>16900</v>
      </c>
      <c r="W492" s="188">
        <f t="shared" si="20"/>
        <v>3.2462140110296804</v>
      </c>
      <c r="X492" s="192">
        <f t="shared" si="21"/>
        <v>17.329000000000001</v>
      </c>
      <c r="AA492" s="39" t="str">
        <f t="shared" si="17"/>
        <v>W</v>
      </c>
    </row>
    <row r="493" spans="1:27" x14ac:dyDescent="0.2">
      <c r="A493" s="14" t="s">
        <v>2</v>
      </c>
      <c r="B493" s="2" t="s">
        <v>723</v>
      </c>
      <c r="C493" s="14" t="s">
        <v>392</v>
      </c>
      <c r="D493" s="14">
        <v>85</v>
      </c>
      <c r="E493" s="196">
        <v>25</v>
      </c>
      <c r="F493" s="11">
        <v>18.32</v>
      </c>
      <c r="G493" s="15">
        <v>8.8379999999999992</v>
      </c>
      <c r="H493" s="15">
        <v>0.52600000000000002</v>
      </c>
      <c r="I493" s="15">
        <v>0.91100000000000003</v>
      </c>
      <c r="J493" s="44">
        <f t="shared" si="18"/>
        <v>0.91100000000000003</v>
      </c>
      <c r="K493" s="14">
        <v>4.8499999999999996</v>
      </c>
      <c r="L493" s="52">
        <f t="shared" si="19"/>
        <v>31.365019011406844</v>
      </c>
      <c r="M493" s="14">
        <v>1440</v>
      </c>
      <c r="N493" s="14">
        <v>178</v>
      </c>
      <c r="O493" s="14">
        <v>157</v>
      </c>
      <c r="P493" s="11">
        <v>7.57</v>
      </c>
      <c r="Q493" s="14">
        <v>105</v>
      </c>
      <c r="R493" s="14">
        <v>36.799999999999997</v>
      </c>
      <c r="S493" s="14">
        <v>23.8</v>
      </c>
      <c r="T493" s="14">
        <v>2.0499999999999998</v>
      </c>
      <c r="U493" s="11">
        <v>5.5</v>
      </c>
      <c r="V493" s="14">
        <v>7960</v>
      </c>
      <c r="W493" s="188">
        <f t="shared" si="20"/>
        <v>2.4127745215249075</v>
      </c>
      <c r="X493" s="192">
        <f t="shared" si="21"/>
        <v>17.408999999999999</v>
      </c>
      <c r="AA493" s="39" t="str">
        <f t="shared" si="17"/>
        <v>W</v>
      </c>
    </row>
    <row r="494" spans="1:27" x14ac:dyDescent="0.2">
      <c r="A494" s="14" t="s">
        <v>2</v>
      </c>
      <c r="B494" s="2" t="s">
        <v>724</v>
      </c>
      <c r="C494" s="14" t="s">
        <v>392</v>
      </c>
      <c r="D494" s="14">
        <v>77</v>
      </c>
      <c r="E494" s="14">
        <v>22.7</v>
      </c>
      <c r="F494" s="11">
        <v>18.16</v>
      </c>
      <c r="G494" s="15">
        <v>8.7870000000000008</v>
      </c>
      <c r="H494" s="15">
        <v>0.47499999999999998</v>
      </c>
      <c r="I494" s="15">
        <v>0.83099999999999996</v>
      </c>
      <c r="J494" s="44">
        <f t="shared" si="18"/>
        <v>0.83099999999999996</v>
      </c>
      <c r="K494" s="14">
        <v>5.29</v>
      </c>
      <c r="L494" s="52">
        <f t="shared" si="19"/>
        <v>34.73263157894737</v>
      </c>
      <c r="M494" s="14">
        <v>1290</v>
      </c>
      <c r="N494" s="14">
        <v>161</v>
      </c>
      <c r="O494" s="14">
        <v>142</v>
      </c>
      <c r="P494" s="11">
        <v>7.54</v>
      </c>
      <c r="Q494" s="14">
        <v>94.1</v>
      </c>
      <c r="R494" s="14">
        <v>33.1</v>
      </c>
      <c r="S494" s="14">
        <v>21.4</v>
      </c>
      <c r="T494" s="14">
        <v>2.04</v>
      </c>
      <c r="U494" s="14">
        <v>4.16</v>
      </c>
      <c r="V494" s="14">
        <v>7070</v>
      </c>
      <c r="W494" s="188">
        <f t="shared" si="20"/>
        <v>2.3961962962455403</v>
      </c>
      <c r="X494" s="192">
        <f t="shared" si="21"/>
        <v>17.329000000000001</v>
      </c>
      <c r="AA494" s="39" t="str">
        <f t="shared" si="17"/>
        <v>W</v>
      </c>
    </row>
    <row r="495" spans="1:27" x14ac:dyDescent="0.2">
      <c r="A495" s="14" t="s">
        <v>2</v>
      </c>
      <c r="B495" s="2" t="s">
        <v>725</v>
      </c>
      <c r="C495" s="14" t="s">
        <v>392</v>
      </c>
      <c r="D495" s="14">
        <v>70</v>
      </c>
      <c r="E495" s="14">
        <v>20.6</v>
      </c>
      <c r="F495" s="11">
        <v>18</v>
      </c>
      <c r="G495" s="15">
        <v>8.75</v>
      </c>
      <c r="H495" s="15">
        <v>0.438</v>
      </c>
      <c r="I495" s="15">
        <v>0.751</v>
      </c>
      <c r="J495" s="44">
        <f t="shared" si="18"/>
        <v>0.751</v>
      </c>
      <c r="K495" s="14">
        <v>5.83</v>
      </c>
      <c r="L495" s="52">
        <f t="shared" si="19"/>
        <v>37.666666666666671</v>
      </c>
      <c r="M495" s="14">
        <v>1160</v>
      </c>
      <c r="N495" s="14">
        <v>145</v>
      </c>
      <c r="O495" s="14">
        <v>129</v>
      </c>
      <c r="P495" s="11">
        <v>7.5</v>
      </c>
      <c r="Q495" s="196">
        <v>84</v>
      </c>
      <c r="R495" s="14">
        <v>29.6</v>
      </c>
      <c r="S495" s="14">
        <v>19.2</v>
      </c>
      <c r="T495" s="14">
        <v>2.02</v>
      </c>
      <c r="U495" s="14">
        <v>3.13</v>
      </c>
      <c r="V495" s="14">
        <v>6250</v>
      </c>
      <c r="W495" s="188">
        <f t="shared" si="20"/>
        <v>2.3698003055895014</v>
      </c>
      <c r="X495" s="192">
        <f t="shared" si="21"/>
        <v>17.248999999999999</v>
      </c>
      <c r="AA495" s="39" t="str">
        <f t="shared" si="17"/>
        <v>W</v>
      </c>
    </row>
    <row r="496" spans="1:27" x14ac:dyDescent="0.2">
      <c r="A496" s="14" t="s">
        <v>2</v>
      </c>
      <c r="B496" s="2" t="s">
        <v>726</v>
      </c>
      <c r="C496" s="14" t="s">
        <v>392</v>
      </c>
      <c r="D496" s="14">
        <v>64</v>
      </c>
      <c r="E496" s="14">
        <v>18.899999999999999</v>
      </c>
      <c r="F496" s="11">
        <v>17.87</v>
      </c>
      <c r="G496" s="15">
        <v>8.7149999999999999</v>
      </c>
      <c r="H496" s="15">
        <v>0.40300000000000002</v>
      </c>
      <c r="I496" s="15">
        <v>0.68600000000000005</v>
      </c>
      <c r="J496" s="44">
        <f t="shared" si="18"/>
        <v>0.68600000000000005</v>
      </c>
      <c r="K496" s="14">
        <v>6.35</v>
      </c>
      <c r="L496" s="52">
        <f t="shared" si="19"/>
        <v>40.937965260545909</v>
      </c>
      <c r="M496" s="14">
        <v>1050</v>
      </c>
      <c r="N496" s="14">
        <v>132</v>
      </c>
      <c r="O496" s="14">
        <v>118</v>
      </c>
      <c r="P496" s="11">
        <v>7.46</v>
      </c>
      <c r="Q496" s="14">
        <v>75.8</v>
      </c>
      <c r="R496" s="14">
        <v>26.8</v>
      </c>
      <c r="S496" s="14">
        <v>17.399999999999999</v>
      </c>
      <c r="T496" s="11">
        <v>2</v>
      </c>
      <c r="U496" s="14">
        <v>2.41</v>
      </c>
      <c r="V496" s="14">
        <v>5600</v>
      </c>
      <c r="W496" s="188">
        <f t="shared" si="20"/>
        <v>2.34931219649713</v>
      </c>
      <c r="X496" s="192">
        <f t="shared" si="21"/>
        <v>17.184000000000001</v>
      </c>
      <c r="AA496" s="39" t="str">
        <f t="shared" si="17"/>
        <v>W</v>
      </c>
    </row>
    <row r="497" spans="1:27" x14ac:dyDescent="0.2">
      <c r="A497" s="14" t="s">
        <v>2</v>
      </c>
      <c r="B497" s="2" t="s">
        <v>727</v>
      </c>
      <c r="C497" s="14" t="s">
        <v>392</v>
      </c>
      <c r="D497" s="14">
        <v>45</v>
      </c>
      <c r="E497" s="14">
        <v>13.2</v>
      </c>
      <c r="F497" s="11">
        <v>17.86</v>
      </c>
      <c r="G497" s="15">
        <v>7.4770000000000003</v>
      </c>
      <c r="H497" s="15">
        <v>0.33500000000000002</v>
      </c>
      <c r="I497" s="15">
        <v>0.499</v>
      </c>
      <c r="J497" s="44">
        <f t="shared" si="18"/>
        <v>0.499</v>
      </c>
      <c r="K497" s="14">
        <v>7.49</v>
      </c>
      <c r="L497" s="52">
        <f t="shared" si="19"/>
        <v>50.33432835820895</v>
      </c>
      <c r="M497" s="14">
        <v>706</v>
      </c>
      <c r="N497" s="14">
        <v>89.7</v>
      </c>
      <c r="O497" s="196">
        <v>79</v>
      </c>
      <c r="P497" s="11">
        <v>7.3</v>
      </c>
      <c r="Q497" s="14">
        <v>34.799999999999997</v>
      </c>
      <c r="R497" s="14">
        <v>14.5</v>
      </c>
      <c r="S497" s="14">
        <v>9.32</v>
      </c>
      <c r="T497" s="14">
        <v>1.62</v>
      </c>
      <c r="U497" s="14">
        <v>0.88900000000000001</v>
      </c>
      <c r="V497" s="14">
        <v>2620</v>
      </c>
      <c r="W497" s="188">
        <f t="shared" si="20"/>
        <v>1.9554577954723076</v>
      </c>
      <c r="X497" s="192">
        <f t="shared" si="21"/>
        <v>17.361000000000001</v>
      </c>
      <c r="AA497" s="39" t="str">
        <f t="shared" si="17"/>
        <v>W</v>
      </c>
    </row>
    <row r="498" spans="1:27" x14ac:dyDescent="0.2">
      <c r="A498" s="14" t="s">
        <v>2</v>
      </c>
      <c r="B498" s="2" t="s">
        <v>728</v>
      </c>
      <c r="C498" s="14" t="s">
        <v>392</v>
      </c>
      <c r="D498" s="14">
        <v>96</v>
      </c>
      <c r="E498" s="14">
        <v>28.2</v>
      </c>
      <c r="F498" s="11">
        <v>16.32</v>
      </c>
      <c r="G498" s="15">
        <v>11.532999999999999</v>
      </c>
      <c r="H498" s="15">
        <v>0.53500000000000003</v>
      </c>
      <c r="I498" s="15">
        <v>0.875</v>
      </c>
      <c r="J498" s="44">
        <f t="shared" si="18"/>
        <v>0.875</v>
      </c>
      <c r="K498" s="14">
        <v>6.59</v>
      </c>
      <c r="L498" s="52">
        <f t="shared" si="19"/>
        <v>27.233644859813083</v>
      </c>
      <c r="M498" s="14">
        <v>1360</v>
      </c>
      <c r="N498" s="14">
        <v>186</v>
      </c>
      <c r="O498" s="14">
        <v>166</v>
      </c>
      <c r="P498" s="11">
        <v>6.93</v>
      </c>
      <c r="Q498" s="14">
        <v>224</v>
      </c>
      <c r="R498" s="14">
        <v>59.3</v>
      </c>
      <c r="S498" s="14">
        <v>38.799999999999997</v>
      </c>
      <c r="T498" s="14">
        <v>2.82</v>
      </c>
      <c r="U498" s="14">
        <v>6.16</v>
      </c>
      <c r="V498" s="14">
        <v>13400</v>
      </c>
      <c r="W498" s="188">
        <f t="shared" si="20"/>
        <v>3.2281144483376463</v>
      </c>
      <c r="X498" s="192">
        <f t="shared" si="21"/>
        <v>15.445</v>
      </c>
      <c r="AA498" s="39" t="str">
        <f t="shared" si="17"/>
        <v>W</v>
      </c>
    </row>
    <row r="499" spans="1:27" x14ac:dyDescent="0.2">
      <c r="A499" s="14" t="s">
        <v>2</v>
      </c>
      <c r="B499" s="2" t="s">
        <v>729</v>
      </c>
      <c r="C499" s="14" t="s">
        <v>392</v>
      </c>
      <c r="D499" s="14">
        <v>88</v>
      </c>
      <c r="E499" s="14">
        <v>25.9</v>
      </c>
      <c r="F499" s="11">
        <v>16.16</v>
      </c>
      <c r="G499" s="15">
        <v>11.502000000000001</v>
      </c>
      <c r="H499" s="15">
        <v>0.504</v>
      </c>
      <c r="I499" s="15">
        <v>0.79500000000000004</v>
      </c>
      <c r="J499" s="44">
        <f t="shared" si="18"/>
        <v>0.79500000000000004</v>
      </c>
      <c r="K499" s="14">
        <v>7.23</v>
      </c>
      <c r="L499" s="52">
        <f t="shared" si="19"/>
        <v>28.908730158730158</v>
      </c>
      <c r="M499" s="14">
        <v>1220</v>
      </c>
      <c r="N499" s="14">
        <v>169</v>
      </c>
      <c r="O499" s="14">
        <v>151</v>
      </c>
      <c r="P499" s="11">
        <v>6.87</v>
      </c>
      <c r="Q499" s="14">
        <v>202</v>
      </c>
      <c r="R499" s="14">
        <v>53.6</v>
      </c>
      <c r="S499" s="14">
        <v>35.1</v>
      </c>
      <c r="T499" s="14">
        <v>2.79</v>
      </c>
      <c r="U499" s="14">
        <v>4.72</v>
      </c>
      <c r="V499" s="14">
        <v>11900</v>
      </c>
      <c r="W499" s="188">
        <f t="shared" si="20"/>
        <v>3.2058152871974923</v>
      </c>
      <c r="X499" s="192">
        <f t="shared" si="21"/>
        <v>15.365</v>
      </c>
      <c r="AA499" s="39" t="str">
        <f t="shared" si="17"/>
        <v>W</v>
      </c>
    </row>
    <row r="500" spans="1:27" x14ac:dyDescent="0.2">
      <c r="A500" s="14" t="s">
        <v>2</v>
      </c>
      <c r="B500" s="2" t="s">
        <v>730</v>
      </c>
      <c r="C500" s="14" t="s">
        <v>392</v>
      </c>
      <c r="D500" s="14">
        <v>78</v>
      </c>
      <c r="E500" s="196">
        <v>23</v>
      </c>
      <c r="F500" s="11">
        <v>16.32</v>
      </c>
      <c r="G500" s="15">
        <v>8.5860000000000003</v>
      </c>
      <c r="H500" s="15">
        <v>0.52900000000000003</v>
      </c>
      <c r="I500" s="15">
        <v>0.875</v>
      </c>
      <c r="J500" s="44">
        <f t="shared" si="18"/>
        <v>0.875</v>
      </c>
      <c r="K500" s="14">
        <v>4.91</v>
      </c>
      <c r="L500" s="52">
        <f t="shared" si="19"/>
        <v>27.542533081285445</v>
      </c>
      <c r="M500" s="14">
        <v>1050</v>
      </c>
      <c r="N500" s="14">
        <v>146</v>
      </c>
      <c r="O500" s="14">
        <v>128</v>
      </c>
      <c r="P500" s="11">
        <v>6.75</v>
      </c>
      <c r="Q500" s="14">
        <v>92.5</v>
      </c>
      <c r="R500" s="14">
        <v>33.4</v>
      </c>
      <c r="S500" s="14">
        <v>21.6</v>
      </c>
      <c r="T500" s="14">
        <v>2.0099999999999998</v>
      </c>
      <c r="U500" s="14">
        <v>4.8099999999999996</v>
      </c>
      <c r="V500" s="14">
        <v>5520</v>
      </c>
      <c r="W500" s="188">
        <f t="shared" si="20"/>
        <v>2.3623532527175102</v>
      </c>
      <c r="X500" s="192">
        <f t="shared" si="21"/>
        <v>15.445</v>
      </c>
      <c r="AA500" s="39" t="str">
        <f t="shared" si="17"/>
        <v>W</v>
      </c>
    </row>
    <row r="501" spans="1:27" x14ac:dyDescent="0.2">
      <c r="A501" s="14" t="s">
        <v>2</v>
      </c>
      <c r="B501" s="2" t="s">
        <v>731</v>
      </c>
      <c r="C501" s="14" t="s">
        <v>392</v>
      </c>
      <c r="D501" s="14">
        <v>71</v>
      </c>
      <c r="E501" s="14">
        <v>20.9</v>
      </c>
      <c r="F501" s="11">
        <v>16.16</v>
      </c>
      <c r="G501" s="15">
        <v>8.5429999999999993</v>
      </c>
      <c r="H501" s="15">
        <v>0.48599999999999999</v>
      </c>
      <c r="I501" s="15">
        <v>0.79500000000000004</v>
      </c>
      <c r="J501" s="44">
        <f t="shared" si="18"/>
        <v>0.79500000000000004</v>
      </c>
      <c r="K501" s="14">
        <v>5.37</v>
      </c>
      <c r="L501" s="52">
        <f t="shared" si="19"/>
        <v>29.979423868312757</v>
      </c>
      <c r="M501" s="14">
        <v>941</v>
      </c>
      <c r="N501" s="14">
        <v>132</v>
      </c>
      <c r="O501" s="14">
        <v>116</v>
      </c>
      <c r="P501" s="11">
        <v>6.71</v>
      </c>
      <c r="Q501" s="14">
        <v>82.8</v>
      </c>
      <c r="R501" s="196">
        <v>30</v>
      </c>
      <c r="S501" s="14">
        <v>19.399999999999999</v>
      </c>
      <c r="T501" s="14">
        <v>1.99</v>
      </c>
      <c r="U501" s="14">
        <v>3.65</v>
      </c>
      <c r="V501" s="14">
        <v>4890</v>
      </c>
      <c r="W501" s="188">
        <f t="shared" si="20"/>
        <v>2.3417334428242209</v>
      </c>
      <c r="X501" s="192">
        <f t="shared" si="21"/>
        <v>15.365</v>
      </c>
      <c r="AA501" s="39" t="str">
        <f t="shared" si="17"/>
        <v>W</v>
      </c>
    </row>
    <row r="502" spans="1:27" x14ac:dyDescent="0.2">
      <c r="A502" s="14" t="s">
        <v>2</v>
      </c>
      <c r="B502" s="2" t="s">
        <v>732</v>
      </c>
      <c r="C502" s="14" t="s">
        <v>392</v>
      </c>
      <c r="D502" s="14">
        <v>64</v>
      </c>
      <c r="E502" s="14">
        <v>18.8</v>
      </c>
      <c r="F502" s="11">
        <v>16</v>
      </c>
      <c r="G502" s="15">
        <v>8.5</v>
      </c>
      <c r="H502" s="15">
        <v>0.443</v>
      </c>
      <c r="I502" s="15">
        <v>0.71499999999999997</v>
      </c>
      <c r="J502" s="44">
        <f t="shared" si="18"/>
        <v>0.71499999999999997</v>
      </c>
      <c r="K502" s="14">
        <v>5.94</v>
      </c>
      <c r="L502" s="52">
        <f t="shared" si="19"/>
        <v>32.889390519187359</v>
      </c>
      <c r="M502" s="14">
        <v>836</v>
      </c>
      <c r="N502" s="14">
        <v>118</v>
      </c>
      <c r="O502" s="14">
        <v>104</v>
      </c>
      <c r="P502" s="11">
        <v>6.66</v>
      </c>
      <c r="Q502" s="14">
        <v>73.3</v>
      </c>
      <c r="R502" s="14">
        <v>26.6</v>
      </c>
      <c r="S502" s="14">
        <v>17.3</v>
      </c>
      <c r="T502" s="14">
        <v>1.97</v>
      </c>
      <c r="U502" s="14">
        <v>2.65</v>
      </c>
      <c r="V502" s="14">
        <v>4280</v>
      </c>
      <c r="W502" s="188">
        <f t="shared" si="20"/>
        <v>2.3208818988611934</v>
      </c>
      <c r="X502" s="192">
        <f t="shared" si="21"/>
        <v>15.285</v>
      </c>
      <c r="AA502" s="39" t="str">
        <f t="shared" si="17"/>
        <v>W</v>
      </c>
    </row>
    <row r="503" spans="1:27" x14ac:dyDescent="0.2">
      <c r="A503" s="14" t="s">
        <v>2</v>
      </c>
      <c r="B503" s="2" t="s">
        <v>733</v>
      </c>
      <c r="C503" s="14" t="s">
        <v>392</v>
      </c>
      <c r="D503" s="14">
        <v>58</v>
      </c>
      <c r="E503" s="14">
        <v>17.100000000000001</v>
      </c>
      <c r="F503" s="11">
        <v>15.86</v>
      </c>
      <c r="G503" s="15">
        <v>8.4640000000000004</v>
      </c>
      <c r="H503" s="15">
        <v>0.40699999999999997</v>
      </c>
      <c r="I503" s="15">
        <v>0.64500000000000002</v>
      </c>
      <c r="J503" s="44">
        <f t="shared" si="18"/>
        <v>0.64500000000000002</v>
      </c>
      <c r="K503" s="14">
        <v>6.56</v>
      </c>
      <c r="L503" s="52">
        <f t="shared" si="19"/>
        <v>35.798525798525802</v>
      </c>
      <c r="M503" s="14">
        <v>748</v>
      </c>
      <c r="N503" s="14">
        <v>106</v>
      </c>
      <c r="O503" s="14">
        <v>94.4</v>
      </c>
      <c r="P503" s="11">
        <v>6.62</v>
      </c>
      <c r="Q503" s="14">
        <v>65.3</v>
      </c>
      <c r="R503" s="14">
        <v>23.8</v>
      </c>
      <c r="S503" s="14">
        <v>15.4</v>
      </c>
      <c r="T503" s="14">
        <v>1.96</v>
      </c>
      <c r="U503" s="14">
        <v>1.98</v>
      </c>
      <c r="V503" s="14">
        <v>3780</v>
      </c>
      <c r="W503" s="188">
        <f t="shared" si="20"/>
        <v>2.2939902832164578</v>
      </c>
      <c r="X503" s="192">
        <f t="shared" si="21"/>
        <v>15.215</v>
      </c>
      <c r="AA503" s="39" t="str">
        <f t="shared" si="17"/>
        <v>W</v>
      </c>
    </row>
    <row r="504" spans="1:27" x14ac:dyDescent="0.2">
      <c r="A504" s="14" t="s">
        <v>2</v>
      </c>
      <c r="B504" s="2" t="s">
        <v>734</v>
      </c>
      <c r="C504" s="14" t="s">
        <v>392</v>
      </c>
      <c r="D504" s="14">
        <v>314</v>
      </c>
      <c r="E504" s="14">
        <v>92.3</v>
      </c>
      <c r="F504" s="11">
        <v>17.190000000000001</v>
      </c>
      <c r="G504" s="15">
        <v>16.234999999999999</v>
      </c>
      <c r="H504" s="15">
        <v>1.415</v>
      </c>
      <c r="I504" s="15">
        <v>2.2829999999999999</v>
      </c>
      <c r="J504" s="44">
        <f t="shared" si="18"/>
        <v>2.2829999999999999</v>
      </c>
      <c r="K504" s="11">
        <v>3.56</v>
      </c>
      <c r="L504" s="52">
        <f t="shared" si="19"/>
        <v>8.9215547703180231</v>
      </c>
      <c r="M504" s="14">
        <v>4400</v>
      </c>
      <c r="N504" s="14">
        <v>611</v>
      </c>
      <c r="O504" s="14">
        <v>512</v>
      </c>
      <c r="P504" s="11">
        <v>6.9</v>
      </c>
      <c r="Q504" s="14">
        <v>1630</v>
      </c>
      <c r="R504" s="14">
        <v>307</v>
      </c>
      <c r="S504" s="14">
        <v>201</v>
      </c>
      <c r="T504" s="11">
        <v>4.2</v>
      </c>
      <c r="U504" s="14">
        <v>140</v>
      </c>
      <c r="V504" s="14">
        <v>90600</v>
      </c>
      <c r="W504" s="188">
        <f t="shared" si="20"/>
        <v>4.8712335209498017</v>
      </c>
      <c r="X504" s="192">
        <f t="shared" si="21"/>
        <v>14.907000000000002</v>
      </c>
      <c r="AA504" s="39" t="str">
        <f t="shared" si="17"/>
        <v>W</v>
      </c>
    </row>
    <row r="505" spans="1:27" x14ac:dyDescent="0.2">
      <c r="A505" s="14" t="s">
        <v>2</v>
      </c>
      <c r="B505" s="2" t="s">
        <v>735</v>
      </c>
      <c r="C505" s="14" t="s">
        <v>392</v>
      </c>
      <c r="D505" s="14">
        <v>287</v>
      </c>
      <c r="E505" s="14">
        <v>84.4</v>
      </c>
      <c r="F505" s="11">
        <v>16.809999999999999</v>
      </c>
      <c r="G505" s="15">
        <v>16.13</v>
      </c>
      <c r="H505" s="15">
        <v>1.31</v>
      </c>
      <c r="I505" s="15">
        <v>2.093</v>
      </c>
      <c r="J505" s="44">
        <f t="shared" si="18"/>
        <v>2.093</v>
      </c>
      <c r="K505" s="11">
        <v>3.85</v>
      </c>
      <c r="L505" s="52">
        <f t="shared" ref="L505:L536" si="22">(F505-2*J505)/H505</f>
        <v>9.6366412213740453</v>
      </c>
      <c r="M505" s="14">
        <v>3910</v>
      </c>
      <c r="N505" s="14">
        <v>551</v>
      </c>
      <c r="O505" s="14">
        <v>465</v>
      </c>
      <c r="P505" s="11">
        <v>6.81</v>
      </c>
      <c r="Q505" s="14">
        <v>1470</v>
      </c>
      <c r="R505" s="14">
        <v>278</v>
      </c>
      <c r="S505" s="14">
        <v>182</v>
      </c>
      <c r="T505" s="11">
        <v>4.17</v>
      </c>
      <c r="U505" s="14">
        <v>108</v>
      </c>
      <c r="V505" s="14">
        <v>79400</v>
      </c>
      <c r="W505" s="188">
        <f t="shared" si="20"/>
        <v>4.8231063474393423</v>
      </c>
      <c r="X505" s="192">
        <f t="shared" si="21"/>
        <v>14.716999999999999</v>
      </c>
      <c r="AA505" s="39" t="str">
        <f t="shared" si="17"/>
        <v>W</v>
      </c>
    </row>
    <row r="506" spans="1:27" x14ac:dyDescent="0.2">
      <c r="A506" s="14" t="s">
        <v>2</v>
      </c>
      <c r="B506" s="2" t="s">
        <v>736</v>
      </c>
      <c r="C506" s="14" t="s">
        <v>392</v>
      </c>
      <c r="D506" s="14">
        <v>264</v>
      </c>
      <c r="E506" s="14">
        <v>77.599999999999994</v>
      </c>
      <c r="F506" s="11">
        <v>16.5</v>
      </c>
      <c r="G506" s="15">
        <v>16.024999999999999</v>
      </c>
      <c r="H506" s="15">
        <v>1.2050000000000001</v>
      </c>
      <c r="I506" s="15">
        <v>1.9379999999999999</v>
      </c>
      <c r="J506" s="44">
        <f t="shared" si="18"/>
        <v>1.9379999999999999</v>
      </c>
      <c r="K506" s="11">
        <v>4.13</v>
      </c>
      <c r="L506" s="52">
        <f t="shared" si="22"/>
        <v>10.476348547717842</v>
      </c>
      <c r="M506" s="14">
        <v>3530</v>
      </c>
      <c r="N506" s="14">
        <v>502</v>
      </c>
      <c r="O506" s="14">
        <v>427</v>
      </c>
      <c r="P506" s="11">
        <v>6.74</v>
      </c>
      <c r="Q506" s="14">
        <v>1330</v>
      </c>
      <c r="R506" s="14">
        <v>254</v>
      </c>
      <c r="S506" s="14">
        <v>166</v>
      </c>
      <c r="T506" s="11">
        <v>4.1399999999999997</v>
      </c>
      <c r="U506" s="14">
        <v>85.3</v>
      </c>
      <c r="V506" s="14">
        <v>70600</v>
      </c>
      <c r="W506" s="188">
        <f t="shared" si="20"/>
        <v>4.7621974539243892</v>
      </c>
      <c r="X506" s="192">
        <f t="shared" si="21"/>
        <v>14.561999999999999</v>
      </c>
      <c r="AA506" s="39" t="str">
        <f t="shared" si="17"/>
        <v>W</v>
      </c>
    </row>
    <row r="507" spans="1:27" x14ac:dyDescent="0.2">
      <c r="A507" s="14" t="s">
        <v>2</v>
      </c>
      <c r="B507" s="2" t="s">
        <v>737</v>
      </c>
      <c r="C507" s="14" t="s">
        <v>392</v>
      </c>
      <c r="D507" s="14">
        <v>246</v>
      </c>
      <c r="E507" s="14">
        <v>72.3</v>
      </c>
      <c r="F507" s="11">
        <v>16.25</v>
      </c>
      <c r="G507" s="15">
        <v>15.945</v>
      </c>
      <c r="H507" s="15">
        <v>1.125</v>
      </c>
      <c r="I507" s="15">
        <v>1.8129999999999999</v>
      </c>
      <c r="J507" s="44">
        <f t="shared" si="18"/>
        <v>1.8129999999999999</v>
      </c>
      <c r="K507" s="11">
        <v>4.4000000000000004</v>
      </c>
      <c r="L507" s="52">
        <f t="shared" si="22"/>
        <v>11.221333333333334</v>
      </c>
      <c r="M507" s="14">
        <v>3230</v>
      </c>
      <c r="N507" s="14">
        <v>464</v>
      </c>
      <c r="O507" s="14">
        <v>397</v>
      </c>
      <c r="P507" s="11">
        <v>6.68</v>
      </c>
      <c r="Q507" s="14">
        <v>1230</v>
      </c>
      <c r="R507" s="14">
        <v>235</v>
      </c>
      <c r="S507" s="14">
        <v>154</v>
      </c>
      <c r="T507" s="11">
        <v>4.12</v>
      </c>
      <c r="U507" s="14">
        <v>69.7</v>
      </c>
      <c r="V507" s="14">
        <v>63900</v>
      </c>
      <c r="W507" s="188">
        <f t="shared" si="20"/>
        <v>4.7291248837651612</v>
      </c>
      <c r="X507" s="192">
        <f t="shared" si="21"/>
        <v>14.436999999999999</v>
      </c>
      <c r="AA507" s="39" t="str">
        <f t="shared" si="17"/>
        <v>W</v>
      </c>
    </row>
    <row r="508" spans="1:27" x14ac:dyDescent="0.2">
      <c r="A508" s="14" t="s">
        <v>2</v>
      </c>
      <c r="B508" s="2" t="s">
        <v>738</v>
      </c>
      <c r="C508" s="14" t="s">
        <v>392</v>
      </c>
      <c r="D508" s="14">
        <v>237</v>
      </c>
      <c r="E508" s="14">
        <v>69.7</v>
      </c>
      <c r="F508" s="11">
        <v>16.12</v>
      </c>
      <c r="G508" s="15">
        <v>15.91</v>
      </c>
      <c r="H508" s="15">
        <v>1.0900000000000001</v>
      </c>
      <c r="I508" s="15">
        <v>1.748</v>
      </c>
      <c r="J508" s="44">
        <f t="shared" si="18"/>
        <v>1.748</v>
      </c>
      <c r="K508" s="11">
        <v>4.55</v>
      </c>
      <c r="L508" s="52">
        <f t="shared" si="22"/>
        <v>11.581651376146789</v>
      </c>
      <c r="M508" s="14">
        <v>3080</v>
      </c>
      <c r="N508" s="14">
        <v>445</v>
      </c>
      <c r="O508" s="14">
        <v>382</v>
      </c>
      <c r="P508" s="11">
        <v>6.65</v>
      </c>
      <c r="Q508" s="14">
        <v>1170</v>
      </c>
      <c r="R508" s="14">
        <v>225</v>
      </c>
      <c r="S508" s="14">
        <v>148</v>
      </c>
      <c r="T508" s="11">
        <v>4.1100000000000003</v>
      </c>
      <c r="U508" s="14">
        <v>62.6</v>
      </c>
      <c r="V508" s="14">
        <v>60700</v>
      </c>
      <c r="W508" s="188">
        <f t="shared" si="20"/>
        <v>4.6914258429384326</v>
      </c>
      <c r="X508" s="192">
        <f t="shared" si="21"/>
        <v>14.372000000000002</v>
      </c>
      <c r="AA508" s="39" t="str">
        <f t="shared" si="17"/>
        <v>W</v>
      </c>
    </row>
    <row r="509" spans="1:27" x14ac:dyDescent="0.2">
      <c r="A509" s="14" t="s">
        <v>2</v>
      </c>
      <c r="B509" s="2" t="s">
        <v>739</v>
      </c>
      <c r="C509" s="14" t="s">
        <v>392</v>
      </c>
      <c r="D509" s="14">
        <v>228</v>
      </c>
      <c r="E509" s="14">
        <v>67.099999999999994</v>
      </c>
      <c r="F509" s="11">
        <v>16</v>
      </c>
      <c r="G509" s="15">
        <v>15.865</v>
      </c>
      <c r="H509" s="15">
        <v>1.0449999999999999</v>
      </c>
      <c r="I509" s="15">
        <v>1.6879999999999999</v>
      </c>
      <c r="J509" s="44">
        <f t="shared" si="18"/>
        <v>1.6879999999999999</v>
      </c>
      <c r="K509" s="11">
        <v>4.7</v>
      </c>
      <c r="L509" s="52">
        <f t="shared" si="22"/>
        <v>12.080382775119618</v>
      </c>
      <c r="M509" s="14">
        <v>2940</v>
      </c>
      <c r="N509" s="14">
        <v>427</v>
      </c>
      <c r="O509" s="14">
        <v>368</v>
      </c>
      <c r="P509" s="11">
        <v>6.62</v>
      </c>
      <c r="Q509" s="14">
        <v>1120</v>
      </c>
      <c r="R509" s="14">
        <v>216</v>
      </c>
      <c r="S509" s="14">
        <v>142</v>
      </c>
      <c r="T509" s="11">
        <v>4.0999999999999996</v>
      </c>
      <c r="U509" s="14">
        <v>56.2</v>
      </c>
      <c r="V509" s="14">
        <v>57600</v>
      </c>
      <c r="W509" s="188">
        <f t="shared" si="20"/>
        <v>4.6668115919525412</v>
      </c>
      <c r="X509" s="192">
        <f t="shared" si="21"/>
        <v>14.311999999999999</v>
      </c>
      <c r="AA509" s="39" t="str">
        <f t="shared" si="17"/>
        <v>W</v>
      </c>
    </row>
    <row r="510" spans="1:27" x14ac:dyDescent="0.2">
      <c r="A510" s="14" t="s">
        <v>2</v>
      </c>
      <c r="B510" s="2" t="s">
        <v>740</v>
      </c>
      <c r="C510" s="14" t="s">
        <v>392</v>
      </c>
      <c r="D510" s="14">
        <v>219</v>
      </c>
      <c r="E510" s="14">
        <v>64.400000000000006</v>
      </c>
      <c r="F510" s="11">
        <v>15.87</v>
      </c>
      <c r="G510" s="15">
        <v>15.824999999999999</v>
      </c>
      <c r="H510" s="15">
        <v>1.0049999999999999</v>
      </c>
      <c r="I510" s="15">
        <v>1.623</v>
      </c>
      <c r="J510" s="44">
        <f t="shared" si="18"/>
        <v>1.623</v>
      </c>
      <c r="K510" s="11">
        <v>4.88</v>
      </c>
      <c r="L510" s="52">
        <f t="shared" si="22"/>
        <v>12.561194029850746</v>
      </c>
      <c r="M510" s="14">
        <v>2800</v>
      </c>
      <c r="N510" s="14">
        <v>408</v>
      </c>
      <c r="O510" s="14">
        <v>353</v>
      </c>
      <c r="P510" s="11">
        <v>6.59</v>
      </c>
      <c r="Q510" s="14">
        <v>1070</v>
      </c>
      <c r="R510" s="14">
        <v>207</v>
      </c>
      <c r="S510" s="14">
        <v>136</v>
      </c>
      <c r="T510" s="11">
        <v>4.08</v>
      </c>
      <c r="U510" s="14">
        <v>49.9</v>
      </c>
      <c r="V510" s="14">
        <v>54500</v>
      </c>
      <c r="W510" s="188">
        <f t="shared" si="20"/>
        <v>4.6467707877128044</v>
      </c>
      <c r="X510" s="192">
        <f t="shared" si="21"/>
        <v>14.247</v>
      </c>
      <c r="AA510" s="39" t="str">
        <f t="shared" si="17"/>
        <v>W</v>
      </c>
    </row>
    <row r="511" spans="1:27" x14ac:dyDescent="0.2">
      <c r="A511" s="14" t="s">
        <v>2</v>
      </c>
      <c r="B511" s="2" t="s">
        <v>741</v>
      </c>
      <c r="C511" s="14" t="s">
        <v>392</v>
      </c>
      <c r="D511" s="14">
        <v>202</v>
      </c>
      <c r="E511" s="14">
        <v>59.4</v>
      </c>
      <c r="F511" s="11">
        <v>15.63</v>
      </c>
      <c r="G511" s="15">
        <v>15.75</v>
      </c>
      <c r="H511" s="15">
        <v>0.93</v>
      </c>
      <c r="I511" s="15">
        <v>1.5029999999999999</v>
      </c>
      <c r="J511" s="44">
        <f t="shared" si="18"/>
        <v>1.5029999999999999</v>
      </c>
      <c r="K511" s="14">
        <v>5.24</v>
      </c>
      <c r="L511" s="52">
        <f t="shared" si="22"/>
        <v>13.574193548387097</v>
      </c>
      <c r="M511" s="14">
        <v>2540</v>
      </c>
      <c r="N511" s="14">
        <v>373</v>
      </c>
      <c r="O511" s="14">
        <v>325</v>
      </c>
      <c r="P511" s="11">
        <v>6.54</v>
      </c>
      <c r="Q511" s="14">
        <v>980</v>
      </c>
      <c r="R511" s="14">
        <v>189</v>
      </c>
      <c r="S511" s="14">
        <v>124</v>
      </c>
      <c r="T511" s="11">
        <v>4.0599999999999996</v>
      </c>
      <c r="U511" s="14">
        <v>39.6</v>
      </c>
      <c r="V511" s="14">
        <v>48900</v>
      </c>
      <c r="W511" s="188">
        <f t="shared" si="20"/>
        <v>4.6151022990578694</v>
      </c>
      <c r="X511" s="192">
        <f t="shared" si="21"/>
        <v>14.127000000000001</v>
      </c>
      <c r="AA511" s="39" t="str">
        <f t="shared" si="17"/>
        <v>W</v>
      </c>
    </row>
    <row r="512" spans="1:27" x14ac:dyDescent="0.2">
      <c r="A512" s="14" t="s">
        <v>2</v>
      </c>
      <c r="B512" s="2" t="s">
        <v>742</v>
      </c>
      <c r="C512" s="14" t="s">
        <v>392</v>
      </c>
      <c r="D512" s="14">
        <v>184</v>
      </c>
      <c r="E512" s="14">
        <v>54.1</v>
      </c>
      <c r="F512" s="11">
        <v>15.38</v>
      </c>
      <c r="G512" s="15">
        <v>15.66</v>
      </c>
      <c r="H512" s="15">
        <v>0.84</v>
      </c>
      <c r="I512" s="15">
        <v>1.3779999999999999</v>
      </c>
      <c r="J512" s="44">
        <f t="shared" si="18"/>
        <v>1.3779999999999999</v>
      </c>
      <c r="K512" s="14">
        <v>5.68</v>
      </c>
      <c r="L512" s="52">
        <f t="shared" si="22"/>
        <v>15.02857142857143</v>
      </c>
      <c r="M512" s="14">
        <v>2270</v>
      </c>
      <c r="N512" s="14">
        <v>338</v>
      </c>
      <c r="O512" s="14">
        <v>296</v>
      </c>
      <c r="P512" s="11">
        <v>6.49</v>
      </c>
      <c r="Q512" s="14">
        <v>883</v>
      </c>
      <c r="R512" s="14">
        <v>171</v>
      </c>
      <c r="S512" s="14">
        <v>113</v>
      </c>
      <c r="T512" s="11">
        <v>4.04</v>
      </c>
      <c r="U512" s="14">
        <v>30.3</v>
      </c>
      <c r="V512" s="14">
        <v>43300</v>
      </c>
      <c r="W512" s="188">
        <f t="shared" si="20"/>
        <v>4.569982479710931</v>
      </c>
      <c r="X512" s="192">
        <f t="shared" si="21"/>
        <v>14.002000000000001</v>
      </c>
      <c r="AA512" s="39" t="str">
        <f t="shared" si="17"/>
        <v>W</v>
      </c>
    </row>
    <row r="513" spans="1:27" x14ac:dyDescent="0.2">
      <c r="A513" s="14" t="s">
        <v>2</v>
      </c>
      <c r="B513" s="2" t="s">
        <v>743</v>
      </c>
      <c r="C513" s="14" t="s">
        <v>392</v>
      </c>
      <c r="D513" s="14">
        <v>167</v>
      </c>
      <c r="E513" s="14">
        <v>49.1</v>
      </c>
      <c r="F513" s="11">
        <v>15.12</v>
      </c>
      <c r="G513" s="15">
        <v>15.6</v>
      </c>
      <c r="H513" s="15">
        <v>0.78</v>
      </c>
      <c r="I513" s="15">
        <v>1.248</v>
      </c>
      <c r="J513" s="44">
        <f t="shared" si="18"/>
        <v>1.248</v>
      </c>
      <c r="K513" s="14">
        <v>6.25</v>
      </c>
      <c r="L513" s="52">
        <f t="shared" si="22"/>
        <v>16.184615384615384</v>
      </c>
      <c r="M513" s="14">
        <v>2020</v>
      </c>
      <c r="N513" s="14">
        <v>303</v>
      </c>
      <c r="O513" s="14">
        <v>267</v>
      </c>
      <c r="P513" s="11">
        <v>6.42</v>
      </c>
      <c r="Q513" s="14">
        <v>790</v>
      </c>
      <c r="R513" s="14">
        <v>154</v>
      </c>
      <c r="S513" s="14">
        <v>101</v>
      </c>
      <c r="T513" s="11">
        <v>4.01</v>
      </c>
      <c r="U513" s="14">
        <v>22.8</v>
      </c>
      <c r="V513" s="14">
        <v>38000</v>
      </c>
      <c r="W513" s="188">
        <f t="shared" si="20"/>
        <v>4.5301486941392151</v>
      </c>
      <c r="X513" s="192">
        <f t="shared" si="21"/>
        <v>13.872</v>
      </c>
      <c r="AA513" s="39" t="str">
        <f t="shared" si="17"/>
        <v>W</v>
      </c>
    </row>
    <row r="514" spans="1:27" x14ac:dyDescent="0.2">
      <c r="A514" s="14" t="s">
        <v>2</v>
      </c>
      <c r="B514" s="2" t="s">
        <v>744</v>
      </c>
      <c r="C514" s="14" t="s">
        <v>392</v>
      </c>
      <c r="D514" s="14">
        <v>158</v>
      </c>
      <c r="E514" s="14">
        <v>46.5</v>
      </c>
      <c r="F514" s="11">
        <v>15</v>
      </c>
      <c r="G514" s="15">
        <v>15.55</v>
      </c>
      <c r="H514" s="15">
        <v>0.73</v>
      </c>
      <c r="I514" s="15">
        <v>1.1879999999999999</v>
      </c>
      <c r="J514" s="44">
        <f t="shared" si="18"/>
        <v>1.1879999999999999</v>
      </c>
      <c r="K514" s="14">
        <v>6.54</v>
      </c>
      <c r="L514" s="52">
        <f t="shared" si="22"/>
        <v>17.293150684931508</v>
      </c>
      <c r="M514" s="14">
        <v>1900</v>
      </c>
      <c r="N514" s="14">
        <v>286</v>
      </c>
      <c r="O514" s="14">
        <v>253</v>
      </c>
      <c r="P514" s="11">
        <v>6.4</v>
      </c>
      <c r="Q514" s="14">
        <v>745</v>
      </c>
      <c r="R514" s="14">
        <v>145</v>
      </c>
      <c r="S514" s="14">
        <v>95.8</v>
      </c>
      <c r="T514" s="11">
        <v>4</v>
      </c>
      <c r="U514" s="14">
        <v>19.5</v>
      </c>
      <c r="V514" s="14">
        <v>35500</v>
      </c>
      <c r="W514" s="188">
        <f t="shared" si="20"/>
        <v>4.5095287783061702</v>
      </c>
      <c r="X514" s="192">
        <f t="shared" si="21"/>
        <v>13.811999999999999</v>
      </c>
      <c r="AA514" s="39" t="str">
        <f t="shared" si="17"/>
        <v>W</v>
      </c>
    </row>
    <row r="515" spans="1:27" x14ac:dyDescent="0.2">
      <c r="A515" s="14" t="s">
        <v>2</v>
      </c>
      <c r="B515" s="2" t="s">
        <v>745</v>
      </c>
      <c r="C515" s="14" t="s">
        <v>392</v>
      </c>
      <c r="D515" s="14">
        <v>150</v>
      </c>
      <c r="E515" s="14">
        <v>44.1</v>
      </c>
      <c r="F515" s="11">
        <v>14.88</v>
      </c>
      <c r="G515" s="15">
        <v>15.515000000000001</v>
      </c>
      <c r="H515" s="15">
        <v>0.69499999999999995</v>
      </c>
      <c r="I515" s="15">
        <v>1.1279999999999999</v>
      </c>
      <c r="J515" s="44">
        <f t="shared" si="18"/>
        <v>1.1279999999999999</v>
      </c>
      <c r="K515" s="14">
        <v>6.88</v>
      </c>
      <c r="L515" s="52">
        <f t="shared" si="22"/>
        <v>18.164028776978419</v>
      </c>
      <c r="M515" s="14">
        <v>1790</v>
      </c>
      <c r="N515" s="14">
        <v>270</v>
      </c>
      <c r="O515" s="14">
        <v>240</v>
      </c>
      <c r="P515" s="11">
        <v>6.37</v>
      </c>
      <c r="Q515" s="14">
        <v>703</v>
      </c>
      <c r="R515" s="14">
        <v>137</v>
      </c>
      <c r="S515" s="14">
        <v>90.6</v>
      </c>
      <c r="T515" s="14">
        <v>3.99</v>
      </c>
      <c r="U515" s="14">
        <v>16.7</v>
      </c>
      <c r="V515" s="14">
        <v>33200</v>
      </c>
      <c r="W515" s="188">
        <f t="shared" si="20"/>
        <v>4.4878669766382338</v>
      </c>
      <c r="X515" s="192">
        <f t="shared" si="21"/>
        <v>13.752000000000001</v>
      </c>
      <c r="AA515" s="39" t="str">
        <f t="shared" si="17"/>
        <v>W</v>
      </c>
    </row>
    <row r="516" spans="1:27" x14ac:dyDescent="0.2">
      <c r="A516" s="14" t="s">
        <v>2</v>
      </c>
      <c r="B516" s="2" t="s">
        <v>746</v>
      </c>
      <c r="C516" s="14" t="s">
        <v>392</v>
      </c>
      <c r="D516" s="14">
        <v>142</v>
      </c>
      <c r="E516" s="14">
        <v>41.8</v>
      </c>
      <c r="F516" s="11">
        <v>14.75</v>
      </c>
      <c r="G516" s="15">
        <v>15.5</v>
      </c>
      <c r="H516" s="15">
        <v>0.68</v>
      </c>
      <c r="I516" s="15">
        <v>1.0629999999999999</v>
      </c>
      <c r="J516" s="44">
        <f t="shared" si="18"/>
        <v>1.0629999999999999</v>
      </c>
      <c r="K516" s="14">
        <v>7.29</v>
      </c>
      <c r="L516" s="52">
        <f t="shared" si="22"/>
        <v>18.564705882352939</v>
      </c>
      <c r="M516" s="14">
        <v>1670</v>
      </c>
      <c r="N516" s="14">
        <v>255</v>
      </c>
      <c r="O516" s="14">
        <v>227</v>
      </c>
      <c r="P516" s="11">
        <v>6.32</v>
      </c>
      <c r="Q516" s="14">
        <v>660</v>
      </c>
      <c r="R516" s="14">
        <v>129</v>
      </c>
      <c r="S516" s="14">
        <v>85.2</v>
      </c>
      <c r="T516" s="14">
        <v>3.97</v>
      </c>
      <c r="U516" s="14">
        <v>14.2</v>
      </c>
      <c r="V516" s="14">
        <v>30900</v>
      </c>
      <c r="W516" s="188">
        <f t="shared" si="20"/>
        <v>4.4606502755828403</v>
      </c>
      <c r="X516" s="192">
        <f t="shared" si="21"/>
        <v>13.686999999999999</v>
      </c>
      <c r="AA516" s="39" t="str">
        <f t="shared" ref="AA516:AA579" si="23">A516</f>
        <v>W</v>
      </c>
    </row>
    <row r="517" spans="1:27" x14ac:dyDescent="0.2">
      <c r="A517" s="14" t="s">
        <v>2</v>
      </c>
      <c r="B517" s="2" t="s">
        <v>747</v>
      </c>
      <c r="C517" s="14" t="s">
        <v>392</v>
      </c>
      <c r="D517" s="14">
        <v>320</v>
      </c>
      <c r="E517" s="14">
        <v>94.1</v>
      </c>
      <c r="F517" s="11">
        <v>16.809999999999999</v>
      </c>
      <c r="G517" s="15">
        <v>16.71</v>
      </c>
      <c r="H517" s="15">
        <v>1.89</v>
      </c>
      <c r="I517" s="15">
        <v>2.093</v>
      </c>
      <c r="J517" s="44">
        <f t="shared" si="18"/>
        <v>2.093</v>
      </c>
      <c r="K517" s="14">
        <v>3.99</v>
      </c>
      <c r="L517" s="52">
        <f t="shared" si="22"/>
        <v>6.6793650793650787</v>
      </c>
      <c r="M517" s="14">
        <v>4140</v>
      </c>
      <c r="N517" s="14">
        <v>582</v>
      </c>
      <c r="O517" s="14">
        <v>493</v>
      </c>
      <c r="P517" s="14">
        <v>6.63</v>
      </c>
      <c r="Q517" s="14">
        <v>1640</v>
      </c>
      <c r="R517" s="14">
        <v>304</v>
      </c>
      <c r="S517" s="14">
        <v>196</v>
      </c>
      <c r="T517" s="14">
        <v>4.17</v>
      </c>
      <c r="U517" s="14">
        <v>137</v>
      </c>
      <c r="V517" s="14">
        <v>88500</v>
      </c>
      <c r="W517" s="188">
        <f t="shared" si="20"/>
        <v>4.9475832607146542</v>
      </c>
      <c r="X517" s="192">
        <f t="shared" si="21"/>
        <v>14.716999999999999</v>
      </c>
      <c r="AA517" s="39" t="str">
        <f t="shared" si="23"/>
        <v>W</v>
      </c>
    </row>
    <row r="518" spans="1:27" x14ac:dyDescent="0.2">
      <c r="A518" s="14" t="s">
        <v>2</v>
      </c>
      <c r="B518" s="2" t="s">
        <v>748</v>
      </c>
      <c r="C518" s="14" t="s">
        <v>392</v>
      </c>
      <c r="D518" s="14">
        <v>136</v>
      </c>
      <c r="E518" s="196">
        <v>40</v>
      </c>
      <c r="F518" s="11">
        <v>14.75</v>
      </c>
      <c r="G518" s="15">
        <v>14.74</v>
      </c>
      <c r="H518" s="15">
        <v>0.66</v>
      </c>
      <c r="I518" s="15">
        <v>1.0629999999999999</v>
      </c>
      <c r="J518" s="44">
        <f t="shared" si="18"/>
        <v>1.0629999999999999</v>
      </c>
      <c r="K518" s="14">
        <v>6.93</v>
      </c>
      <c r="L518" s="52">
        <f t="shared" si="22"/>
        <v>19.127272727272729</v>
      </c>
      <c r="M518" s="14">
        <v>1590</v>
      </c>
      <c r="N518" s="14">
        <v>243</v>
      </c>
      <c r="O518" s="14">
        <v>216</v>
      </c>
      <c r="P518" s="14">
        <v>6.31</v>
      </c>
      <c r="Q518" s="14">
        <v>568</v>
      </c>
      <c r="R518" s="14">
        <v>117</v>
      </c>
      <c r="S518" s="196">
        <v>77</v>
      </c>
      <c r="T518" s="14">
        <v>3.77</v>
      </c>
      <c r="U518" s="14">
        <v>13.5</v>
      </c>
      <c r="V518" s="14">
        <v>26600</v>
      </c>
      <c r="W518" s="188">
        <f t="shared" si="20"/>
        <v>4.2421539776828432</v>
      </c>
      <c r="X518" s="192">
        <f t="shared" si="21"/>
        <v>13.686999999999999</v>
      </c>
      <c r="AA518" s="39" t="str">
        <f t="shared" si="23"/>
        <v>W</v>
      </c>
    </row>
    <row r="519" spans="1:27" x14ac:dyDescent="0.2">
      <c r="A519" s="14" t="s">
        <v>2</v>
      </c>
      <c r="B519" s="2" t="s">
        <v>749</v>
      </c>
      <c r="C519" s="14" t="s">
        <v>392</v>
      </c>
      <c r="D519" s="14">
        <v>127</v>
      </c>
      <c r="E519" s="196">
        <v>37.299999999999997</v>
      </c>
      <c r="F519" s="11">
        <v>14.62</v>
      </c>
      <c r="G519" s="15">
        <v>14.69</v>
      </c>
      <c r="H519" s="15">
        <v>0.61</v>
      </c>
      <c r="I519" s="15">
        <v>0.998</v>
      </c>
      <c r="J519" s="44">
        <f t="shared" si="18"/>
        <v>0.998</v>
      </c>
      <c r="K519" s="14">
        <v>7.36</v>
      </c>
      <c r="L519" s="52">
        <f t="shared" si="22"/>
        <v>20.695081967213113</v>
      </c>
      <c r="M519" s="14">
        <v>1480</v>
      </c>
      <c r="N519" s="14">
        <v>226</v>
      </c>
      <c r="O519" s="14">
        <v>202</v>
      </c>
      <c r="P519" s="14">
        <v>6.29</v>
      </c>
      <c r="Q519" s="14">
        <v>528</v>
      </c>
      <c r="R519" s="14">
        <v>109</v>
      </c>
      <c r="S519" s="14">
        <v>71.8</v>
      </c>
      <c r="T519" s="14">
        <v>3.76</v>
      </c>
      <c r="U519" s="14">
        <v>11.1</v>
      </c>
      <c r="V519" s="14">
        <v>24500</v>
      </c>
      <c r="W519" s="188">
        <f t="shared" si="20"/>
        <v>4.2193613143448738</v>
      </c>
      <c r="X519" s="192">
        <f t="shared" si="21"/>
        <v>13.622</v>
      </c>
      <c r="AA519" s="39" t="str">
        <f t="shared" si="23"/>
        <v>W</v>
      </c>
    </row>
    <row r="520" spans="1:27" x14ac:dyDescent="0.2">
      <c r="A520" s="14" t="s">
        <v>2</v>
      </c>
      <c r="B520" s="2" t="s">
        <v>750</v>
      </c>
      <c r="C520" s="14" t="s">
        <v>392</v>
      </c>
      <c r="D520" s="14">
        <v>119</v>
      </c>
      <c r="E520" s="196">
        <v>35</v>
      </c>
      <c r="F520" s="11">
        <v>14.5</v>
      </c>
      <c r="G520" s="15">
        <v>14.65</v>
      </c>
      <c r="H520" s="15">
        <v>0.56999999999999995</v>
      </c>
      <c r="I520" s="15">
        <v>0.93799999999999994</v>
      </c>
      <c r="J520" s="44">
        <f t="shared" si="18"/>
        <v>0.93799999999999994</v>
      </c>
      <c r="K520" s="14">
        <v>7.81</v>
      </c>
      <c r="L520" s="52">
        <f t="shared" si="22"/>
        <v>22.147368421052633</v>
      </c>
      <c r="M520" s="14">
        <v>1370</v>
      </c>
      <c r="N520" s="14">
        <v>211</v>
      </c>
      <c r="O520" s="14">
        <v>189</v>
      </c>
      <c r="P520" s="14">
        <v>6.26</v>
      </c>
      <c r="Q520" s="14">
        <v>492</v>
      </c>
      <c r="R520" s="14">
        <v>102</v>
      </c>
      <c r="S520" s="14">
        <v>67.099999999999994</v>
      </c>
      <c r="T520" s="14">
        <v>3.75</v>
      </c>
      <c r="U520" s="14">
        <v>9.1999999999999993</v>
      </c>
      <c r="V520" s="14">
        <v>22600</v>
      </c>
      <c r="W520" s="188">
        <f t="shared" si="20"/>
        <v>4.2014434405483767</v>
      </c>
      <c r="X520" s="192">
        <f t="shared" si="21"/>
        <v>13.561999999999999</v>
      </c>
      <c r="AA520" s="39" t="str">
        <f t="shared" si="23"/>
        <v>W</v>
      </c>
    </row>
    <row r="521" spans="1:27" x14ac:dyDescent="0.2">
      <c r="A521" s="14" t="s">
        <v>2</v>
      </c>
      <c r="B521" s="2" t="s">
        <v>751</v>
      </c>
      <c r="C521" s="14" t="s">
        <v>392</v>
      </c>
      <c r="D521" s="14">
        <v>111</v>
      </c>
      <c r="E521" s="196">
        <v>32.700000000000003</v>
      </c>
      <c r="F521" s="11">
        <v>14.37</v>
      </c>
      <c r="G521" s="15">
        <v>14.62</v>
      </c>
      <c r="H521" s="15">
        <v>0.54</v>
      </c>
      <c r="I521" s="15">
        <v>0.873</v>
      </c>
      <c r="J521" s="44">
        <f t="shared" si="18"/>
        <v>0.873</v>
      </c>
      <c r="K521" s="14">
        <v>8.3699999999999992</v>
      </c>
      <c r="L521" s="52">
        <f t="shared" si="22"/>
        <v>23.377777777777773</v>
      </c>
      <c r="M521" s="14">
        <v>1270</v>
      </c>
      <c r="N521" s="14">
        <v>196</v>
      </c>
      <c r="O521" s="14">
        <v>176</v>
      </c>
      <c r="P521" s="14">
        <v>6.23</v>
      </c>
      <c r="Q521" s="14">
        <v>455</v>
      </c>
      <c r="R521" s="14">
        <v>94.3</v>
      </c>
      <c r="S521" s="14">
        <v>62.2</v>
      </c>
      <c r="T521" s="14">
        <v>3.73</v>
      </c>
      <c r="U521" s="14">
        <v>7.48</v>
      </c>
      <c r="V521" s="14">
        <v>20700</v>
      </c>
      <c r="W521" s="188">
        <f t="shared" si="20"/>
        <v>4.176889542470569</v>
      </c>
      <c r="X521" s="192">
        <f t="shared" si="21"/>
        <v>13.497</v>
      </c>
      <c r="AA521" s="39" t="str">
        <f t="shared" si="23"/>
        <v>W</v>
      </c>
    </row>
    <row r="522" spans="1:27" x14ac:dyDescent="0.2">
      <c r="A522" s="14" t="s">
        <v>2</v>
      </c>
      <c r="B522" s="2" t="s">
        <v>752</v>
      </c>
      <c r="C522" s="14" t="s">
        <v>392</v>
      </c>
      <c r="D522" s="14">
        <v>103</v>
      </c>
      <c r="E522" s="196">
        <v>30.3</v>
      </c>
      <c r="F522" s="11">
        <v>14.25</v>
      </c>
      <c r="G522" s="15">
        <v>14.574999999999999</v>
      </c>
      <c r="H522" s="15">
        <v>0.495</v>
      </c>
      <c r="I522" s="15">
        <v>0.81299999999999994</v>
      </c>
      <c r="J522" s="44">
        <f t="shared" si="18"/>
        <v>0.81299999999999994</v>
      </c>
      <c r="K522" s="14">
        <v>8.9600000000000009</v>
      </c>
      <c r="L522" s="52">
        <f t="shared" si="22"/>
        <v>25.503030303030304</v>
      </c>
      <c r="M522" s="14">
        <v>1170</v>
      </c>
      <c r="N522" s="14">
        <v>181</v>
      </c>
      <c r="O522" s="14">
        <v>164</v>
      </c>
      <c r="P522" s="14">
        <v>6.21</v>
      </c>
      <c r="Q522" s="14">
        <v>420</v>
      </c>
      <c r="R522" s="14">
        <v>87.2</v>
      </c>
      <c r="S522" s="14">
        <v>57.6</v>
      </c>
      <c r="T522" s="14">
        <v>3.72</v>
      </c>
      <c r="U522" s="14">
        <v>6.02</v>
      </c>
      <c r="V522" s="14">
        <v>18900</v>
      </c>
      <c r="W522" s="188">
        <f t="shared" si="20"/>
        <v>4.1480012818400072</v>
      </c>
      <c r="X522" s="192">
        <f t="shared" si="21"/>
        <v>13.436999999999999</v>
      </c>
      <c r="AA522" s="39" t="str">
        <f t="shared" si="23"/>
        <v>W</v>
      </c>
    </row>
    <row r="523" spans="1:27" x14ac:dyDescent="0.2">
      <c r="A523" s="14" t="s">
        <v>2</v>
      </c>
      <c r="B523" s="2" t="s">
        <v>753</v>
      </c>
      <c r="C523" s="14" t="s">
        <v>392</v>
      </c>
      <c r="D523" s="14">
        <v>95</v>
      </c>
      <c r="E523" s="196">
        <v>27.9</v>
      </c>
      <c r="F523" s="11">
        <v>14.12</v>
      </c>
      <c r="G523" s="15">
        <v>14.545</v>
      </c>
      <c r="H523" s="15">
        <v>0.46500000000000002</v>
      </c>
      <c r="I523" s="15">
        <v>0.748</v>
      </c>
      <c r="J523" s="44">
        <f t="shared" si="18"/>
        <v>0.748</v>
      </c>
      <c r="K523" s="14">
        <v>9.7200000000000006</v>
      </c>
      <c r="L523" s="52">
        <f t="shared" si="22"/>
        <v>27.14838709677419</v>
      </c>
      <c r="M523" s="14">
        <v>1060</v>
      </c>
      <c r="N523" s="14">
        <v>166</v>
      </c>
      <c r="O523" s="14">
        <v>151</v>
      </c>
      <c r="P523" s="14">
        <v>6.17</v>
      </c>
      <c r="Q523" s="14">
        <v>384</v>
      </c>
      <c r="R523" s="14">
        <v>79.900000000000006</v>
      </c>
      <c r="S523" s="14">
        <v>52.8</v>
      </c>
      <c r="T523" s="11">
        <v>3.71</v>
      </c>
      <c r="U523" s="14">
        <v>4.74</v>
      </c>
      <c r="V523" s="14">
        <v>17200</v>
      </c>
      <c r="W523" s="188">
        <f t="shared" si="20"/>
        <v>4.1234461251506449</v>
      </c>
      <c r="X523" s="192">
        <f t="shared" si="21"/>
        <v>13.372</v>
      </c>
      <c r="AA523" s="39" t="str">
        <f t="shared" si="23"/>
        <v>W</v>
      </c>
    </row>
    <row r="524" spans="1:27" x14ac:dyDescent="0.2">
      <c r="A524" s="14" t="s">
        <v>2</v>
      </c>
      <c r="B524" s="2" t="s">
        <v>754</v>
      </c>
      <c r="C524" s="14" t="s">
        <v>392</v>
      </c>
      <c r="D524" s="14">
        <v>87</v>
      </c>
      <c r="E524" s="196">
        <v>25.6</v>
      </c>
      <c r="F524" s="11">
        <v>14</v>
      </c>
      <c r="G524" s="15">
        <v>14.5</v>
      </c>
      <c r="H524" s="15">
        <v>0.42</v>
      </c>
      <c r="I524" s="15">
        <v>0.68799999999999994</v>
      </c>
      <c r="J524" s="44">
        <f t="shared" si="18"/>
        <v>0.68799999999999994</v>
      </c>
      <c r="K524" s="14">
        <v>10.5</v>
      </c>
      <c r="L524" s="52">
        <f t="shared" si="22"/>
        <v>30.05714285714286</v>
      </c>
      <c r="M524" s="14">
        <v>967</v>
      </c>
      <c r="N524" s="14">
        <v>151</v>
      </c>
      <c r="O524" s="14">
        <v>138</v>
      </c>
      <c r="P524" s="14">
        <v>6.15</v>
      </c>
      <c r="Q524" s="14">
        <v>350</v>
      </c>
      <c r="R524" s="196">
        <v>73</v>
      </c>
      <c r="S524" s="14">
        <v>48.2</v>
      </c>
      <c r="T524" s="11">
        <v>3.7</v>
      </c>
      <c r="U524" s="14">
        <v>3.68</v>
      </c>
      <c r="V524" s="14">
        <v>15500</v>
      </c>
      <c r="W524" s="188">
        <f t="shared" si="20"/>
        <v>4.1086688136536216</v>
      </c>
      <c r="X524" s="192">
        <f t="shared" si="21"/>
        <v>13.311999999999999</v>
      </c>
      <c r="AA524" s="39" t="str">
        <f t="shared" si="23"/>
        <v>W</v>
      </c>
    </row>
    <row r="525" spans="1:27" x14ac:dyDescent="0.2">
      <c r="A525" s="14" t="s">
        <v>2</v>
      </c>
      <c r="B525" s="2" t="s">
        <v>755</v>
      </c>
      <c r="C525" s="14" t="s">
        <v>392</v>
      </c>
      <c r="D525" s="14">
        <v>84</v>
      </c>
      <c r="E525" s="196">
        <v>24.7</v>
      </c>
      <c r="F525" s="11">
        <v>14.18</v>
      </c>
      <c r="G525" s="15">
        <v>12.023</v>
      </c>
      <c r="H525" s="15">
        <v>0.45100000000000001</v>
      </c>
      <c r="I525" s="15">
        <v>0.77800000000000002</v>
      </c>
      <c r="J525" s="44">
        <f t="shared" si="18"/>
        <v>0.77800000000000002</v>
      </c>
      <c r="K525" s="14">
        <v>7.73</v>
      </c>
      <c r="L525" s="52">
        <f t="shared" si="22"/>
        <v>27.99113082039911</v>
      </c>
      <c r="M525" s="14">
        <v>928</v>
      </c>
      <c r="N525" s="14">
        <v>145</v>
      </c>
      <c r="O525" s="14">
        <v>131</v>
      </c>
      <c r="P525" s="14">
        <v>6.13</v>
      </c>
      <c r="Q525" s="14">
        <v>225</v>
      </c>
      <c r="R525" s="196">
        <v>57</v>
      </c>
      <c r="S525" s="14">
        <v>37.5</v>
      </c>
      <c r="T525" s="11">
        <v>3.02</v>
      </c>
      <c r="U525" s="14">
        <v>4.41</v>
      </c>
      <c r="V525" s="14">
        <v>10100</v>
      </c>
      <c r="W525" s="188">
        <f t="shared" si="20"/>
        <v>3.3925434625127746</v>
      </c>
      <c r="X525" s="192">
        <f t="shared" si="21"/>
        <v>13.401999999999999</v>
      </c>
      <c r="AA525" s="39" t="str">
        <f t="shared" si="23"/>
        <v>W</v>
      </c>
    </row>
    <row r="526" spans="1:27" x14ac:dyDescent="0.2">
      <c r="A526" s="14" t="s">
        <v>2</v>
      </c>
      <c r="B526" s="2" t="s">
        <v>756</v>
      </c>
      <c r="C526" s="14" t="s">
        <v>392</v>
      </c>
      <c r="D526" s="14">
        <v>78</v>
      </c>
      <c r="E526" s="196">
        <v>22.9</v>
      </c>
      <c r="F526" s="11">
        <v>14.06</v>
      </c>
      <c r="G526" s="15">
        <v>12</v>
      </c>
      <c r="H526" s="15">
        <v>0.42799999999999999</v>
      </c>
      <c r="I526" s="15">
        <v>0.71799999999999997</v>
      </c>
      <c r="J526" s="44">
        <f t="shared" si="18"/>
        <v>0.71799999999999997</v>
      </c>
      <c r="K526" s="14">
        <v>8.36</v>
      </c>
      <c r="L526" s="52">
        <f t="shared" si="22"/>
        <v>29.495327102803738</v>
      </c>
      <c r="M526" s="14">
        <v>851</v>
      </c>
      <c r="N526" s="14">
        <v>134</v>
      </c>
      <c r="O526" s="14">
        <v>121</v>
      </c>
      <c r="P526" s="14">
        <v>6.09</v>
      </c>
      <c r="Q526" s="14">
        <v>207</v>
      </c>
      <c r="R526" s="14">
        <v>52.4</v>
      </c>
      <c r="S526" s="14">
        <v>34.5</v>
      </c>
      <c r="T526" s="11">
        <v>3</v>
      </c>
      <c r="U526" s="14">
        <v>3.52</v>
      </c>
      <c r="V526" s="14">
        <v>9210</v>
      </c>
      <c r="W526" s="188">
        <f t="shared" si="20"/>
        <v>3.3782202268097397</v>
      </c>
      <c r="X526" s="192">
        <f t="shared" si="21"/>
        <v>13.342000000000001</v>
      </c>
      <c r="AA526" s="39" t="str">
        <f t="shared" si="23"/>
        <v>W</v>
      </c>
    </row>
    <row r="527" spans="1:27" x14ac:dyDescent="0.2">
      <c r="A527" s="14" t="s">
        <v>2</v>
      </c>
      <c r="B527" s="2" t="s">
        <v>757</v>
      </c>
      <c r="C527" s="14" t="s">
        <v>392</v>
      </c>
      <c r="D527" s="14">
        <v>161</v>
      </c>
      <c r="E527" s="14">
        <v>47.4</v>
      </c>
      <c r="F527" s="11">
        <v>13.88</v>
      </c>
      <c r="G527" s="15">
        <v>12.515000000000001</v>
      </c>
      <c r="H527" s="15">
        <v>0.90500000000000003</v>
      </c>
      <c r="I527" s="15">
        <v>1.486</v>
      </c>
      <c r="J527" s="44">
        <f t="shared" si="18"/>
        <v>1.486</v>
      </c>
      <c r="K527" s="14">
        <v>4.21</v>
      </c>
      <c r="L527" s="52">
        <f t="shared" si="22"/>
        <v>12.05303867403315</v>
      </c>
      <c r="M527" s="14">
        <v>1540</v>
      </c>
      <c r="N527" s="14">
        <v>259</v>
      </c>
      <c r="O527" s="14">
        <v>222</v>
      </c>
      <c r="P527" s="11">
        <v>5.7</v>
      </c>
      <c r="Q527" s="14">
        <v>486</v>
      </c>
      <c r="R527" s="14">
        <v>119</v>
      </c>
      <c r="S527" s="196">
        <v>77.7</v>
      </c>
      <c r="T527" s="11">
        <v>3.2</v>
      </c>
      <c r="U527" s="14">
        <v>30.6</v>
      </c>
      <c r="V527" s="14">
        <v>18700</v>
      </c>
      <c r="W527" s="188">
        <f t="shared" si="20"/>
        <v>3.6832601598862666</v>
      </c>
      <c r="X527" s="192">
        <f t="shared" si="21"/>
        <v>12.394</v>
      </c>
      <c r="AA527" s="39" t="str">
        <f t="shared" si="23"/>
        <v>W</v>
      </c>
    </row>
    <row r="528" spans="1:27" x14ac:dyDescent="0.2">
      <c r="A528" s="14" t="s">
        <v>2</v>
      </c>
      <c r="B528" s="2" t="s">
        <v>758</v>
      </c>
      <c r="C528" s="14" t="s">
        <v>392</v>
      </c>
      <c r="D528" s="14">
        <v>133</v>
      </c>
      <c r="E528" s="14">
        <v>39.1</v>
      </c>
      <c r="F528" s="11">
        <v>13.38</v>
      </c>
      <c r="G528" s="15">
        <v>12.365</v>
      </c>
      <c r="H528" s="15">
        <v>0.755</v>
      </c>
      <c r="I528" s="15">
        <v>1.236</v>
      </c>
      <c r="J528" s="44">
        <f t="shared" si="18"/>
        <v>1.236</v>
      </c>
      <c r="K528" s="11">
        <v>5</v>
      </c>
      <c r="L528" s="52">
        <f t="shared" si="22"/>
        <v>14.4476821192053</v>
      </c>
      <c r="M528" s="14">
        <v>1220</v>
      </c>
      <c r="N528" s="14">
        <v>210</v>
      </c>
      <c r="O528" s="14">
        <v>183</v>
      </c>
      <c r="P528" s="11">
        <v>5.59</v>
      </c>
      <c r="Q528" s="14">
        <v>390</v>
      </c>
      <c r="R528" s="14">
        <v>96.2</v>
      </c>
      <c r="S528" s="196">
        <v>63.1</v>
      </c>
      <c r="T528" s="14">
        <v>3.16</v>
      </c>
      <c r="U528" s="14">
        <v>17.600000000000001</v>
      </c>
      <c r="V528" s="14">
        <v>14400</v>
      </c>
      <c r="W528" s="188">
        <f t="shared" si="20"/>
        <v>3.5972667219504948</v>
      </c>
      <c r="X528" s="192">
        <f t="shared" si="21"/>
        <v>12.144</v>
      </c>
      <c r="AA528" s="39" t="str">
        <f t="shared" si="23"/>
        <v>W</v>
      </c>
    </row>
    <row r="529" spans="1:27" x14ac:dyDescent="0.2">
      <c r="A529" s="14" t="s">
        <v>2</v>
      </c>
      <c r="B529" s="2" t="s">
        <v>759</v>
      </c>
      <c r="C529" s="14" t="s">
        <v>392</v>
      </c>
      <c r="D529" s="14">
        <v>99</v>
      </c>
      <c r="E529" s="14">
        <v>29.1</v>
      </c>
      <c r="F529" s="11">
        <v>12.75</v>
      </c>
      <c r="G529" s="15">
        <v>12.192</v>
      </c>
      <c r="H529" s="15">
        <v>0.58199999999999996</v>
      </c>
      <c r="I529" s="15">
        <v>0.92100000000000004</v>
      </c>
      <c r="J529" s="44">
        <f t="shared" si="18"/>
        <v>0.92100000000000004</v>
      </c>
      <c r="K529" s="11">
        <v>6.62</v>
      </c>
      <c r="L529" s="52">
        <f t="shared" si="22"/>
        <v>18.742268041237114</v>
      </c>
      <c r="M529" s="14">
        <v>859</v>
      </c>
      <c r="N529" s="14">
        <v>152</v>
      </c>
      <c r="O529" s="14">
        <v>135</v>
      </c>
      <c r="P529" s="11">
        <v>5.43</v>
      </c>
      <c r="Q529" s="14">
        <v>278</v>
      </c>
      <c r="R529" s="14">
        <v>69.5</v>
      </c>
      <c r="S529" s="196">
        <v>45.7</v>
      </c>
      <c r="T529" s="14">
        <v>3.09</v>
      </c>
      <c r="U529" s="11">
        <v>7.45</v>
      </c>
      <c r="V529" s="14">
        <v>9740</v>
      </c>
      <c r="W529" s="188">
        <f t="shared" si="20"/>
        <v>3.4899124471666747</v>
      </c>
      <c r="X529" s="192">
        <f t="shared" si="21"/>
        <v>11.829000000000001</v>
      </c>
      <c r="AA529" s="39" t="str">
        <f t="shared" si="23"/>
        <v>W</v>
      </c>
    </row>
    <row r="530" spans="1:27" x14ac:dyDescent="0.2">
      <c r="A530" s="14" t="s">
        <v>2</v>
      </c>
      <c r="B530" s="2" t="s">
        <v>760</v>
      </c>
      <c r="C530" s="14" t="s">
        <v>392</v>
      </c>
      <c r="D530" s="14">
        <v>92</v>
      </c>
      <c r="E530" s="14">
        <v>27.1</v>
      </c>
      <c r="F530" s="11">
        <v>12.62</v>
      </c>
      <c r="G530" s="15">
        <v>12.154999999999999</v>
      </c>
      <c r="H530" s="15">
        <v>0.54500000000000004</v>
      </c>
      <c r="I530" s="15">
        <v>0.85599999999999998</v>
      </c>
      <c r="J530" s="44">
        <f t="shared" ref="J530:J593" si="24">I530</f>
        <v>0.85599999999999998</v>
      </c>
      <c r="K530" s="11">
        <v>7.1</v>
      </c>
      <c r="L530" s="52">
        <f t="shared" si="22"/>
        <v>20.014678899082565</v>
      </c>
      <c r="M530" s="14">
        <v>789</v>
      </c>
      <c r="N530" s="14">
        <v>140</v>
      </c>
      <c r="O530" s="14">
        <v>125</v>
      </c>
      <c r="P530" s="11">
        <v>5.4</v>
      </c>
      <c r="Q530" s="14">
        <v>256</v>
      </c>
      <c r="R530" s="14">
        <v>64.2</v>
      </c>
      <c r="S530" s="196">
        <v>42.2</v>
      </c>
      <c r="T530" s="14">
        <v>3.08</v>
      </c>
      <c r="U530" s="11">
        <v>6.01</v>
      </c>
      <c r="V530" s="14">
        <v>8870</v>
      </c>
      <c r="W530" s="188">
        <f t="shared" si="20"/>
        <v>3.4707831969167997</v>
      </c>
      <c r="X530" s="192">
        <f t="shared" si="21"/>
        <v>11.763999999999999</v>
      </c>
      <c r="AA530" s="39" t="str">
        <f t="shared" si="23"/>
        <v>W</v>
      </c>
    </row>
    <row r="531" spans="1:27" x14ac:dyDescent="0.2">
      <c r="A531" s="14" t="s">
        <v>2</v>
      </c>
      <c r="B531" s="2" t="s">
        <v>761</v>
      </c>
      <c r="C531" s="14" t="s">
        <v>392</v>
      </c>
      <c r="D531" s="14">
        <v>85</v>
      </c>
      <c r="E531" s="196">
        <v>25</v>
      </c>
      <c r="F531" s="11">
        <v>12.5</v>
      </c>
      <c r="G531" s="15">
        <v>12.105</v>
      </c>
      <c r="H531" s="15">
        <v>0.495</v>
      </c>
      <c r="I531" s="15">
        <v>0.79600000000000004</v>
      </c>
      <c r="J531" s="44">
        <f t="shared" si="24"/>
        <v>0.79600000000000004</v>
      </c>
      <c r="K531" s="11">
        <v>7.6</v>
      </c>
      <c r="L531" s="52">
        <f t="shared" si="22"/>
        <v>22.036363636363635</v>
      </c>
      <c r="M531" s="14">
        <v>723</v>
      </c>
      <c r="N531" s="14">
        <v>129</v>
      </c>
      <c r="O531" s="14">
        <v>116</v>
      </c>
      <c r="P531" s="14">
        <v>5.38</v>
      </c>
      <c r="Q531" s="14">
        <v>235</v>
      </c>
      <c r="R531" s="14">
        <v>59.1</v>
      </c>
      <c r="S531" s="196">
        <v>38.9</v>
      </c>
      <c r="T531" s="14">
        <v>3.07</v>
      </c>
      <c r="U531" s="11">
        <v>4.8</v>
      </c>
      <c r="V531" s="14">
        <v>8060</v>
      </c>
      <c r="W531" s="188">
        <f t="shared" si="20"/>
        <v>3.4431591348042869</v>
      </c>
      <c r="X531" s="192">
        <f t="shared" si="21"/>
        <v>11.704000000000001</v>
      </c>
      <c r="AA531" s="39" t="str">
        <f t="shared" si="23"/>
        <v>W</v>
      </c>
    </row>
    <row r="532" spans="1:27" x14ac:dyDescent="0.2">
      <c r="A532" s="14" t="s">
        <v>2</v>
      </c>
      <c r="B532" s="2" t="s">
        <v>762</v>
      </c>
      <c r="C532" s="14" t="s">
        <v>392</v>
      </c>
      <c r="D532" s="14">
        <v>36</v>
      </c>
      <c r="E532" s="14">
        <v>10.6</v>
      </c>
      <c r="F532" s="11">
        <v>12.24</v>
      </c>
      <c r="G532" s="15">
        <v>6.5650000000000004</v>
      </c>
      <c r="H532" s="15">
        <v>0.30499999999999999</v>
      </c>
      <c r="I532" s="15">
        <v>0.54</v>
      </c>
      <c r="J532" s="44">
        <f t="shared" si="24"/>
        <v>0.54</v>
      </c>
      <c r="K532" s="14">
        <v>6.08</v>
      </c>
      <c r="L532" s="52">
        <f t="shared" si="22"/>
        <v>36.590163934426229</v>
      </c>
      <c r="M532" s="14">
        <v>281</v>
      </c>
      <c r="N532" s="14">
        <v>51.6</v>
      </c>
      <c r="O532" s="196">
        <v>46</v>
      </c>
      <c r="P532" s="14">
        <v>5.15</v>
      </c>
      <c r="Q532" s="14">
        <v>25.5</v>
      </c>
      <c r="R532" s="14">
        <v>11.9</v>
      </c>
      <c r="S532" s="14">
        <v>7.77</v>
      </c>
      <c r="T532" s="14">
        <v>1.55</v>
      </c>
      <c r="U532" s="15">
        <v>0.83</v>
      </c>
      <c r="V532" s="14">
        <v>873</v>
      </c>
      <c r="W532" s="188">
        <f t="shared" si="20"/>
        <v>1.800815032869477</v>
      </c>
      <c r="X532" s="192">
        <f t="shared" si="21"/>
        <v>11.7</v>
      </c>
      <c r="AA532" s="39" t="str">
        <f t="shared" si="23"/>
        <v>W</v>
      </c>
    </row>
    <row r="533" spans="1:27" x14ac:dyDescent="0.2">
      <c r="A533" s="14" t="s">
        <v>2</v>
      </c>
      <c r="B533" s="2" t="s">
        <v>763</v>
      </c>
      <c r="C533" s="14" t="s">
        <v>392</v>
      </c>
      <c r="D533" s="14">
        <v>31</v>
      </c>
      <c r="E533" s="14">
        <v>9.1300000000000008</v>
      </c>
      <c r="F533" s="11">
        <v>12.09</v>
      </c>
      <c r="G533" s="15">
        <v>6.5250000000000004</v>
      </c>
      <c r="H533" s="15">
        <v>0.26500000000000001</v>
      </c>
      <c r="I533" s="15">
        <v>0.46500000000000002</v>
      </c>
      <c r="J533" s="44">
        <f t="shared" si="24"/>
        <v>0.46500000000000002</v>
      </c>
      <c r="K533" s="14">
        <v>7.02</v>
      </c>
      <c r="L533" s="52">
        <f t="shared" si="22"/>
        <v>42.113207547169807</v>
      </c>
      <c r="M533" s="14">
        <v>239</v>
      </c>
      <c r="N533" s="14">
        <v>44.1</v>
      </c>
      <c r="O533" s="14">
        <v>39.5</v>
      </c>
      <c r="P533" s="14">
        <v>5.12</v>
      </c>
      <c r="Q533" s="14">
        <v>21.6</v>
      </c>
      <c r="R533" s="14">
        <v>10.1</v>
      </c>
      <c r="S533" s="14">
        <v>6.61</v>
      </c>
      <c r="T533" s="14">
        <v>1.54</v>
      </c>
      <c r="U533" s="14">
        <v>0.53600000000000003</v>
      </c>
      <c r="V533" s="14">
        <v>728</v>
      </c>
      <c r="W533" s="188">
        <f t="shared" si="20"/>
        <v>1.7828294962385574</v>
      </c>
      <c r="X533" s="192">
        <f t="shared" si="21"/>
        <v>11.625</v>
      </c>
      <c r="AA533" s="39" t="str">
        <f t="shared" si="23"/>
        <v>W</v>
      </c>
    </row>
    <row r="534" spans="1:27" x14ac:dyDescent="0.2">
      <c r="A534" s="14" t="s">
        <v>2</v>
      </c>
      <c r="B534" s="2" t="s">
        <v>764</v>
      </c>
      <c r="C534" s="14" t="s">
        <v>392</v>
      </c>
      <c r="D534" s="14">
        <v>27</v>
      </c>
      <c r="E534" s="14">
        <v>7.95</v>
      </c>
      <c r="F534" s="11">
        <v>11.96</v>
      </c>
      <c r="G534" s="15">
        <v>6.4969999999999999</v>
      </c>
      <c r="H534" s="15">
        <v>0.23699999999999999</v>
      </c>
      <c r="I534" s="15">
        <v>0.4</v>
      </c>
      <c r="J534" s="44">
        <f t="shared" si="24"/>
        <v>0.4</v>
      </c>
      <c r="K534" s="14">
        <v>8.1199999999999992</v>
      </c>
      <c r="L534" s="52">
        <f t="shared" si="22"/>
        <v>47.088607594936711</v>
      </c>
      <c r="M534" s="14">
        <v>204</v>
      </c>
      <c r="N534" s="196">
        <v>38</v>
      </c>
      <c r="O534" s="14">
        <v>34.200000000000003</v>
      </c>
      <c r="P534" s="14">
        <v>5.07</v>
      </c>
      <c r="Q534" s="14">
        <v>18.3</v>
      </c>
      <c r="R534" s="14">
        <v>8.6199999999999992</v>
      </c>
      <c r="S534" s="14">
        <v>5.63</v>
      </c>
      <c r="T534" s="14">
        <v>1.52</v>
      </c>
      <c r="U534" s="14">
        <v>0.35099999999999998</v>
      </c>
      <c r="V534" s="14">
        <v>611</v>
      </c>
      <c r="W534" s="188">
        <f t="shared" si="20"/>
        <v>1.758637830124173</v>
      </c>
      <c r="X534" s="192">
        <f t="shared" si="21"/>
        <v>11.56</v>
      </c>
      <c r="AA534" s="39" t="str">
        <f t="shared" si="23"/>
        <v>W</v>
      </c>
    </row>
    <row r="535" spans="1:27" x14ac:dyDescent="0.2">
      <c r="A535" s="14" t="s">
        <v>2</v>
      </c>
      <c r="B535" s="2" t="s">
        <v>765</v>
      </c>
      <c r="C535" s="14" t="s">
        <v>392</v>
      </c>
      <c r="D535" s="14">
        <v>16.5</v>
      </c>
      <c r="E535" s="14">
        <v>4.87</v>
      </c>
      <c r="F535" s="11">
        <v>12</v>
      </c>
      <c r="G535" s="15">
        <v>4</v>
      </c>
      <c r="H535" s="15">
        <v>0.23</v>
      </c>
      <c r="I535" s="15">
        <v>0.26900000000000002</v>
      </c>
      <c r="J535" s="44">
        <f t="shared" si="24"/>
        <v>0.26900000000000002</v>
      </c>
      <c r="K535" s="14">
        <v>7.43</v>
      </c>
      <c r="L535" s="52">
        <f t="shared" si="22"/>
        <v>49.834782608695647</v>
      </c>
      <c r="M535" s="14">
        <v>105</v>
      </c>
      <c r="N535" s="14">
        <v>20.6</v>
      </c>
      <c r="O535" s="14">
        <v>17.600000000000001</v>
      </c>
      <c r="P535" s="14">
        <v>4.6500000000000004</v>
      </c>
      <c r="Q535" s="14">
        <v>2.88</v>
      </c>
      <c r="R535" s="14">
        <v>2.3199999999999998</v>
      </c>
      <c r="S535" s="14">
        <v>1.44</v>
      </c>
      <c r="T535" s="15">
        <v>0.77</v>
      </c>
      <c r="U535" s="14">
        <v>0.112</v>
      </c>
      <c r="V535" s="14">
        <v>99.2</v>
      </c>
      <c r="W535" s="188">
        <f t="shared" si="20"/>
        <v>0.97969846938182503</v>
      </c>
      <c r="X535" s="192">
        <f t="shared" si="21"/>
        <v>11.731</v>
      </c>
      <c r="AA535" s="39" t="str">
        <f t="shared" si="23"/>
        <v>W</v>
      </c>
    </row>
    <row r="536" spans="1:27" x14ac:dyDescent="0.2">
      <c r="A536" s="14" t="s">
        <v>2</v>
      </c>
      <c r="B536" s="2" t="s">
        <v>766</v>
      </c>
      <c r="C536" s="14" t="s">
        <v>392</v>
      </c>
      <c r="D536" s="14">
        <v>89</v>
      </c>
      <c r="E536" s="14">
        <v>26.2</v>
      </c>
      <c r="F536" s="11">
        <v>10.88</v>
      </c>
      <c r="G536" s="15">
        <v>10.275</v>
      </c>
      <c r="H536" s="15">
        <v>0.61499999999999999</v>
      </c>
      <c r="I536" s="15">
        <v>0.998</v>
      </c>
      <c r="J536" s="44">
        <f t="shared" si="24"/>
        <v>0.998</v>
      </c>
      <c r="K536" s="14">
        <v>5.15</v>
      </c>
      <c r="L536" s="52">
        <f t="shared" si="22"/>
        <v>14.445528455284554</v>
      </c>
      <c r="M536" s="14">
        <v>542</v>
      </c>
      <c r="N536" s="14">
        <v>114</v>
      </c>
      <c r="O536" s="14">
        <v>99.7</v>
      </c>
      <c r="P536" s="14">
        <v>4.55</v>
      </c>
      <c r="Q536" s="14">
        <v>181</v>
      </c>
      <c r="R536" s="196">
        <v>53.6</v>
      </c>
      <c r="S536" s="14">
        <v>35.200000000000003</v>
      </c>
      <c r="T536" s="14">
        <v>2.63</v>
      </c>
      <c r="U536" s="11">
        <v>7.74</v>
      </c>
      <c r="V536" s="14">
        <v>4410</v>
      </c>
      <c r="W536" s="188">
        <f t="shared" si="20"/>
        <v>2.9950159200049757</v>
      </c>
      <c r="X536" s="192">
        <f t="shared" si="21"/>
        <v>9.8820000000000014</v>
      </c>
      <c r="AA536" s="39" t="str">
        <f t="shared" si="23"/>
        <v>W</v>
      </c>
    </row>
    <row r="537" spans="1:27" x14ac:dyDescent="0.2">
      <c r="A537" s="14" t="s">
        <v>2</v>
      </c>
      <c r="B537" s="2" t="s">
        <v>767</v>
      </c>
      <c r="C537" s="14" t="s">
        <v>392</v>
      </c>
      <c r="D537" s="14">
        <v>72</v>
      </c>
      <c r="E537" s="14">
        <v>21.2</v>
      </c>
      <c r="F537" s="11">
        <v>10.5</v>
      </c>
      <c r="G537" s="15">
        <v>10.17</v>
      </c>
      <c r="H537" s="15">
        <v>0.51</v>
      </c>
      <c r="I537" s="15">
        <v>0.80800000000000005</v>
      </c>
      <c r="J537" s="44">
        <f t="shared" si="24"/>
        <v>0.80800000000000005</v>
      </c>
      <c r="K537" s="14">
        <v>6.29</v>
      </c>
      <c r="L537" s="52">
        <f t="shared" ref="L537:L568" si="25">(F537-2*J537)/H537</f>
        <v>17.419607843137257</v>
      </c>
      <c r="M537" s="14">
        <v>421</v>
      </c>
      <c r="N537" s="14">
        <v>90.3</v>
      </c>
      <c r="O537" s="14">
        <v>80.099999999999994</v>
      </c>
      <c r="P537" s="14">
        <v>4.46</v>
      </c>
      <c r="Q537" s="14">
        <v>142</v>
      </c>
      <c r="R537" s="196">
        <v>42.4</v>
      </c>
      <c r="S537" s="14">
        <v>27.9</v>
      </c>
      <c r="T537" s="14">
        <v>2.59</v>
      </c>
      <c r="U537" s="11">
        <v>4.17</v>
      </c>
      <c r="V537" s="14">
        <v>3330</v>
      </c>
      <c r="W537" s="188">
        <f t="shared" si="20"/>
        <v>2.9310256499728902</v>
      </c>
      <c r="X537" s="192">
        <f t="shared" si="21"/>
        <v>9.6920000000000002</v>
      </c>
      <c r="AA537" s="39" t="str">
        <f t="shared" si="23"/>
        <v>W</v>
      </c>
    </row>
    <row r="538" spans="1:27" x14ac:dyDescent="0.2">
      <c r="A538" s="14" t="s">
        <v>2</v>
      </c>
      <c r="B538" s="2" t="s">
        <v>768</v>
      </c>
      <c r="C538" s="14" t="s">
        <v>392</v>
      </c>
      <c r="D538" s="14">
        <v>66</v>
      </c>
      <c r="E538" s="14">
        <v>19.399999999999999</v>
      </c>
      <c r="F538" s="11">
        <v>10.38</v>
      </c>
      <c r="G538" s="15">
        <v>10.117000000000001</v>
      </c>
      <c r="H538" s="15">
        <v>0.45700000000000002</v>
      </c>
      <c r="I538" s="15">
        <v>0.748</v>
      </c>
      <c r="J538" s="44">
        <f t="shared" si="24"/>
        <v>0.748</v>
      </c>
      <c r="K538" s="14">
        <v>6.76</v>
      </c>
      <c r="L538" s="52">
        <f t="shared" si="25"/>
        <v>19.439824945295406</v>
      </c>
      <c r="M538" s="14">
        <v>382</v>
      </c>
      <c r="N538" s="14">
        <v>82.8</v>
      </c>
      <c r="O538" s="14">
        <v>73.7</v>
      </c>
      <c r="P538" s="14">
        <v>4.4400000000000004</v>
      </c>
      <c r="Q538" s="14">
        <v>129</v>
      </c>
      <c r="R538" s="196">
        <v>38.799999999999997</v>
      </c>
      <c r="S538" s="14">
        <v>25.5</v>
      </c>
      <c r="T538" s="14">
        <v>2.58</v>
      </c>
      <c r="U538" s="11">
        <v>3.27</v>
      </c>
      <c r="V538" s="14">
        <v>3000</v>
      </c>
      <c r="W538" s="188">
        <f t="shared" si="20"/>
        <v>2.9033831386732545</v>
      </c>
      <c r="X538" s="192">
        <f t="shared" si="21"/>
        <v>9.6320000000000014</v>
      </c>
      <c r="AA538" s="39" t="str">
        <f t="shared" si="23"/>
        <v>W</v>
      </c>
    </row>
    <row r="539" spans="1:27" x14ac:dyDescent="0.2">
      <c r="A539" s="14" t="s">
        <v>2</v>
      </c>
      <c r="B539" s="2" t="s">
        <v>769</v>
      </c>
      <c r="C539" s="14" t="s">
        <v>392</v>
      </c>
      <c r="D539" s="14">
        <v>29</v>
      </c>
      <c r="E539" s="14">
        <v>8.5399999999999991</v>
      </c>
      <c r="F539" s="11">
        <v>10.220000000000001</v>
      </c>
      <c r="G539" s="15">
        <v>5.7990000000000004</v>
      </c>
      <c r="H539" s="15">
        <v>0.28899999999999998</v>
      </c>
      <c r="I539" s="15">
        <v>0.5</v>
      </c>
      <c r="J539" s="44">
        <f t="shared" si="24"/>
        <v>0.5</v>
      </c>
      <c r="K539" s="11">
        <v>5.8</v>
      </c>
      <c r="L539" s="52">
        <f t="shared" si="25"/>
        <v>31.903114186851216</v>
      </c>
      <c r="M539" s="14">
        <v>158</v>
      </c>
      <c r="N539" s="196">
        <v>34.700000000000003</v>
      </c>
      <c r="O539" s="14">
        <v>30.8</v>
      </c>
      <c r="P539" s="11">
        <v>4.3</v>
      </c>
      <c r="Q539" s="14">
        <v>16.3</v>
      </c>
      <c r="R539" s="14">
        <v>8.6199999999999992</v>
      </c>
      <c r="S539" s="14">
        <v>5.61</v>
      </c>
      <c r="T539" s="14">
        <v>1.38</v>
      </c>
      <c r="U539" s="15">
        <v>0.57899999999999996</v>
      </c>
      <c r="V539" s="14">
        <v>384</v>
      </c>
      <c r="W539" s="188">
        <f t="shared" si="20"/>
        <v>1.6037496646961418</v>
      </c>
      <c r="X539" s="192">
        <f t="shared" si="21"/>
        <v>9.7200000000000006</v>
      </c>
      <c r="AA539" s="39" t="str">
        <f t="shared" si="23"/>
        <v>W</v>
      </c>
    </row>
    <row r="540" spans="1:27" x14ac:dyDescent="0.2">
      <c r="A540" s="14" t="s">
        <v>2</v>
      </c>
      <c r="B540" s="2" t="s">
        <v>770</v>
      </c>
      <c r="C540" s="14" t="s">
        <v>392</v>
      </c>
      <c r="D540" s="14">
        <v>25</v>
      </c>
      <c r="E540" s="14">
        <v>7.36</v>
      </c>
      <c r="F540" s="11">
        <v>10.08</v>
      </c>
      <c r="G540" s="15">
        <v>5.7619999999999996</v>
      </c>
      <c r="H540" s="15">
        <v>0.252</v>
      </c>
      <c r="I540" s="15">
        <v>0.43</v>
      </c>
      <c r="J540" s="44">
        <f t="shared" si="24"/>
        <v>0.43</v>
      </c>
      <c r="K540" s="11">
        <v>6.7</v>
      </c>
      <c r="L540" s="52">
        <f t="shared" si="25"/>
        <v>36.587301587301589</v>
      </c>
      <c r="M540" s="14">
        <v>133</v>
      </c>
      <c r="N540" s="196">
        <v>29.6</v>
      </c>
      <c r="O540" s="14">
        <v>26.5</v>
      </c>
      <c r="P540" s="14">
        <v>4.26</v>
      </c>
      <c r="Q540" s="14">
        <v>13.7</v>
      </c>
      <c r="R540" s="11">
        <v>7.3</v>
      </c>
      <c r="S540" s="14">
        <v>4.76</v>
      </c>
      <c r="T540" s="14">
        <v>1.37</v>
      </c>
      <c r="U540" s="15">
        <v>0.373</v>
      </c>
      <c r="V540" s="14">
        <v>320</v>
      </c>
      <c r="W540" s="188">
        <f t="shared" si="20"/>
        <v>1.5793777136151284</v>
      </c>
      <c r="X540" s="192">
        <f t="shared" si="21"/>
        <v>9.65</v>
      </c>
      <c r="AA540" s="39" t="str">
        <f t="shared" si="23"/>
        <v>W</v>
      </c>
    </row>
    <row r="541" spans="1:27" x14ac:dyDescent="0.2">
      <c r="A541" s="14" t="s">
        <v>2</v>
      </c>
      <c r="B541" s="2" t="s">
        <v>771</v>
      </c>
      <c r="C541" s="14" t="s">
        <v>392</v>
      </c>
      <c r="D541" s="14">
        <v>21</v>
      </c>
      <c r="E541" s="11">
        <v>6.2</v>
      </c>
      <c r="F541" s="11">
        <v>9.9</v>
      </c>
      <c r="G541" s="15">
        <v>5.75</v>
      </c>
      <c r="H541" s="15">
        <v>0.24</v>
      </c>
      <c r="I541" s="15">
        <v>0.34</v>
      </c>
      <c r="J541" s="44">
        <f t="shared" si="24"/>
        <v>0.34</v>
      </c>
      <c r="K541" s="11">
        <v>8.4600000000000009</v>
      </c>
      <c r="L541" s="52">
        <f t="shared" si="25"/>
        <v>38.416666666666671</v>
      </c>
      <c r="M541" s="14">
        <v>107</v>
      </c>
      <c r="N541" s="196">
        <v>24.1</v>
      </c>
      <c r="O541" s="14">
        <v>21.5</v>
      </c>
      <c r="P541" s="14">
        <v>4.1500000000000004</v>
      </c>
      <c r="Q541" s="14">
        <v>10.8</v>
      </c>
      <c r="R541" s="11">
        <v>5.77</v>
      </c>
      <c r="S541" s="14">
        <v>3.75</v>
      </c>
      <c r="T541" s="14">
        <v>1.32</v>
      </c>
      <c r="U541" s="15">
        <v>0.21</v>
      </c>
      <c r="V541" s="14">
        <v>246</v>
      </c>
      <c r="W541" s="188">
        <f t="shared" si="20"/>
        <v>1.5495535741205491</v>
      </c>
      <c r="X541" s="192">
        <f t="shared" si="21"/>
        <v>9.56</v>
      </c>
      <c r="AA541" s="39" t="str">
        <f t="shared" si="23"/>
        <v>W</v>
      </c>
    </row>
    <row r="542" spans="1:27" x14ac:dyDescent="0.2">
      <c r="A542" s="14" t="s">
        <v>2</v>
      </c>
      <c r="B542" s="2" t="s">
        <v>772</v>
      </c>
      <c r="C542" s="14" t="s">
        <v>392</v>
      </c>
      <c r="D542" s="14">
        <v>11.5</v>
      </c>
      <c r="E542" s="14">
        <v>3.39</v>
      </c>
      <c r="F542" s="11">
        <v>9.8699999999999992</v>
      </c>
      <c r="G542" s="15">
        <v>3.95</v>
      </c>
      <c r="H542" s="15">
        <v>0.18</v>
      </c>
      <c r="I542" s="15">
        <v>0.20399999999999999</v>
      </c>
      <c r="J542" s="44">
        <f t="shared" si="24"/>
        <v>0.20399999999999999</v>
      </c>
      <c r="K542" s="14">
        <v>9.68</v>
      </c>
      <c r="L542" s="52">
        <f t="shared" si="25"/>
        <v>52.56666666666667</v>
      </c>
      <c r="M542" s="196">
        <v>52</v>
      </c>
      <c r="N542" s="14">
        <v>12.2</v>
      </c>
      <c r="O542" s="14">
        <v>10.5</v>
      </c>
      <c r="P542" s="14">
        <v>3.92</v>
      </c>
      <c r="Q542" s="11">
        <v>2.1</v>
      </c>
      <c r="R542" s="14">
        <v>1.68</v>
      </c>
      <c r="S542" s="14">
        <v>1.06</v>
      </c>
      <c r="T542" s="14">
        <v>0.78700000000000003</v>
      </c>
      <c r="U542" s="14">
        <v>4.9000000000000002E-2</v>
      </c>
      <c r="V542" s="14">
        <v>49.1</v>
      </c>
      <c r="W542" s="188">
        <f t="shared" si="20"/>
        <v>0.98315817649043635</v>
      </c>
      <c r="X542" s="192">
        <f t="shared" si="21"/>
        <v>9.6659999999999986</v>
      </c>
      <c r="AA542" s="39" t="str">
        <f t="shared" si="23"/>
        <v>W</v>
      </c>
    </row>
    <row r="543" spans="1:27" x14ac:dyDescent="0.2">
      <c r="A543" s="14" t="s">
        <v>2</v>
      </c>
      <c r="B543" s="2" t="s">
        <v>773</v>
      </c>
      <c r="C543" s="14" t="s">
        <v>392</v>
      </c>
      <c r="D543" s="14">
        <v>20</v>
      </c>
      <c r="E543" s="14">
        <v>5.89</v>
      </c>
      <c r="F543" s="11">
        <v>8.14</v>
      </c>
      <c r="G543" s="15">
        <v>5.2679999999999998</v>
      </c>
      <c r="H543" s="15">
        <v>0.248</v>
      </c>
      <c r="I543" s="15">
        <v>0.378</v>
      </c>
      <c r="J543" s="44">
        <f t="shared" si="24"/>
        <v>0.378</v>
      </c>
      <c r="K543" s="14">
        <v>6.97</v>
      </c>
      <c r="L543" s="52">
        <f t="shared" si="25"/>
        <v>29.7741935483871</v>
      </c>
      <c r="M543" s="14">
        <v>69.400000000000006</v>
      </c>
      <c r="N543" s="14">
        <v>19.100000000000001</v>
      </c>
      <c r="O543" s="196">
        <v>17</v>
      </c>
      <c r="P543" s="14">
        <v>3.43</v>
      </c>
      <c r="Q543" s="14">
        <v>9.2200000000000006</v>
      </c>
      <c r="R543" s="14">
        <v>5.37</v>
      </c>
      <c r="S543" s="11">
        <v>3.5</v>
      </c>
      <c r="T543" s="14">
        <v>1.25</v>
      </c>
      <c r="U543" s="14">
        <v>0.245</v>
      </c>
      <c r="V543" s="14">
        <v>139</v>
      </c>
      <c r="W543" s="188">
        <f t="shared" si="20"/>
        <v>1.4508176193808382</v>
      </c>
      <c r="X543" s="192">
        <f t="shared" si="21"/>
        <v>7.7620000000000005</v>
      </c>
      <c r="AA543" s="39" t="str">
        <f t="shared" si="23"/>
        <v>W</v>
      </c>
    </row>
    <row r="544" spans="1:27" x14ac:dyDescent="0.2">
      <c r="A544" s="14" t="s">
        <v>2</v>
      </c>
      <c r="B544" s="2" t="s">
        <v>774</v>
      </c>
      <c r="C544" s="14" t="s">
        <v>392</v>
      </c>
      <c r="D544" s="14">
        <v>17</v>
      </c>
      <c r="E544" s="14">
        <v>5.01</v>
      </c>
      <c r="F544" s="11">
        <v>8</v>
      </c>
      <c r="G544" s="15">
        <v>5.25</v>
      </c>
      <c r="H544" s="15">
        <v>0.245</v>
      </c>
      <c r="I544" s="15">
        <v>0.308</v>
      </c>
      <c r="J544" s="44">
        <f t="shared" si="24"/>
        <v>0.308</v>
      </c>
      <c r="K544" s="14">
        <v>8.52</v>
      </c>
      <c r="L544" s="52">
        <f t="shared" si="25"/>
        <v>30.138775510204084</v>
      </c>
      <c r="M544" s="14">
        <v>56.6</v>
      </c>
      <c r="N544" s="14">
        <v>15.9</v>
      </c>
      <c r="O544" s="14">
        <v>14.1</v>
      </c>
      <c r="P544" s="14">
        <v>3.36</v>
      </c>
      <c r="Q544" s="14">
        <v>7.44</v>
      </c>
      <c r="R544" s="14">
        <v>4.3600000000000003</v>
      </c>
      <c r="S544" s="11">
        <v>2.83</v>
      </c>
      <c r="T544" s="14">
        <v>1.22</v>
      </c>
      <c r="U544" s="14">
        <v>0.14699999999999999</v>
      </c>
      <c r="V544" s="14">
        <v>110</v>
      </c>
      <c r="W544" s="188">
        <f t="shared" si="20"/>
        <v>1.4245626428501681</v>
      </c>
      <c r="X544" s="192">
        <f t="shared" si="21"/>
        <v>7.6920000000000002</v>
      </c>
      <c r="AA544" s="39" t="str">
        <f t="shared" si="23"/>
        <v>W</v>
      </c>
    </row>
    <row r="545" spans="1:27" x14ac:dyDescent="0.2">
      <c r="A545" s="14" t="s">
        <v>2</v>
      </c>
      <c r="B545" s="2" t="s">
        <v>775</v>
      </c>
      <c r="C545" s="14" t="s">
        <v>392</v>
      </c>
      <c r="D545" s="14">
        <v>15.5</v>
      </c>
      <c r="E545" s="14">
        <v>4.5599999999999996</v>
      </c>
      <c r="F545" s="11">
        <v>6</v>
      </c>
      <c r="G545" s="15">
        <v>5.9950000000000001</v>
      </c>
      <c r="H545" s="15">
        <v>0.23499999999999999</v>
      </c>
      <c r="I545" s="15">
        <v>0.26900000000000002</v>
      </c>
      <c r="J545" s="44">
        <f t="shared" si="24"/>
        <v>0.26900000000000002</v>
      </c>
      <c r="K545" s="14">
        <v>11.1</v>
      </c>
      <c r="L545" s="52">
        <f t="shared" si="25"/>
        <v>23.24255319148936</v>
      </c>
      <c r="M545" s="14">
        <v>30.1</v>
      </c>
      <c r="N545" s="14">
        <v>11.1</v>
      </c>
      <c r="O545" s="196">
        <v>10</v>
      </c>
      <c r="P545" s="14">
        <v>2.57</v>
      </c>
      <c r="Q545" s="14">
        <v>9.67</v>
      </c>
      <c r="R545" s="14">
        <v>4.92</v>
      </c>
      <c r="S545" s="11">
        <v>3.23</v>
      </c>
      <c r="T545" s="14">
        <v>1.46</v>
      </c>
      <c r="U545" s="14">
        <v>0.111</v>
      </c>
      <c r="V545" s="14">
        <v>79.400000000000006</v>
      </c>
      <c r="W545" s="188">
        <f t="shared" si="20"/>
        <v>1.6646136188317096</v>
      </c>
      <c r="X545" s="192">
        <f t="shared" si="21"/>
        <v>5.7309999999999999</v>
      </c>
      <c r="AA545" s="39" t="str">
        <f t="shared" si="23"/>
        <v>W</v>
      </c>
    </row>
    <row r="546" spans="1:27" x14ac:dyDescent="0.2">
      <c r="A546" s="14" t="s">
        <v>2</v>
      </c>
      <c r="B546" s="2" t="s">
        <v>776</v>
      </c>
      <c r="C546" s="14" t="s">
        <v>392</v>
      </c>
      <c r="D546" s="14">
        <v>18.5</v>
      </c>
      <c r="E546" s="14">
        <v>5.43</v>
      </c>
      <c r="F546" s="11">
        <v>5.12</v>
      </c>
      <c r="G546" s="15">
        <v>5.0250000000000004</v>
      </c>
      <c r="H546" s="15">
        <v>0.26500000000000001</v>
      </c>
      <c r="I546" s="15">
        <v>0.42</v>
      </c>
      <c r="J546" s="44">
        <f t="shared" si="24"/>
        <v>0.42</v>
      </c>
      <c r="K546" s="14">
        <v>5.98</v>
      </c>
      <c r="L546" s="52">
        <f t="shared" si="25"/>
        <v>16.150943396226417</v>
      </c>
      <c r="M546" s="14">
        <v>25.4</v>
      </c>
      <c r="N546" s="14">
        <v>11.3</v>
      </c>
      <c r="O546" s="14">
        <v>9.94</v>
      </c>
      <c r="P546" s="14">
        <v>2.16</v>
      </c>
      <c r="Q546" s="14">
        <v>8.89</v>
      </c>
      <c r="R546" s="14">
        <v>5.39</v>
      </c>
      <c r="S546" s="11">
        <v>3.54</v>
      </c>
      <c r="T546" s="14">
        <v>1.28</v>
      </c>
      <c r="U546" s="14">
        <v>0.29499999999999998</v>
      </c>
      <c r="V546" s="14">
        <v>49.1</v>
      </c>
      <c r="W546" s="188">
        <f t="shared" si="20"/>
        <v>1.449744999432756</v>
      </c>
      <c r="X546" s="192">
        <f t="shared" si="21"/>
        <v>4.7</v>
      </c>
      <c r="AA546" s="39" t="str">
        <f t="shared" si="23"/>
        <v>W</v>
      </c>
    </row>
    <row r="547" spans="1:27" x14ac:dyDescent="0.2">
      <c r="A547" s="14" t="s">
        <v>5</v>
      </c>
      <c r="B547" s="2" t="s">
        <v>777</v>
      </c>
      <c r="C547" s="2" t="s">
        <v>393</v>
      </c>
      <c r="D547" s="14">
        <v>31</v>
      </c>
      <c r="E547" s="11">
        <v>9.1199999999999992</v>
      </c>
      <c r="F547" s="11">
        <v>15.84</v>
      </c>
      <c r="G547" s="15">
        <v>5.5250000000000004</v>
      </c>
      <c r="H547" s="15">
        <v>0.27500000000000002</v>
      </c>
      <c r="I547" s="14">
        <v>0.442</v>
      </c>
      <c r="J547" s="44">
        <f t="shared" si="24"/>
        <v>0.442</v>
      </c>
      <c r="K547" s="10">
        <f t="shared" ref="K547:K578" si="26">G547/(2*I547)</f>
        <v>6.25</v>
      </c>
      <c r="L547" s="52">
        <f t="shared" si="25"/>
        <v>54.385454545454536</v>
      </c>
      <c r="M547" s="196">
        <v>372.5</v>
      </c>
      <c r="N547" s="52">
        <v>53.857475232324788</v>
      </c>
      <c r="O547" s="196">
        <v>47</v>
      </c>
      <c r="P547" s="14">
        <v>6.39</v>
      </c>
      <c r="Q547" s="14">
        <v>11.57</v>
      </c>
      <c r="R547" s="52">
        <v>7.0904250000000006</v>
      </c>
      <c r="S547" s="14">
        <v>4.1900000000000004</v>
      </c>
      <c r="T547" s="11">
        <v>1.1299999999999999</v>
      </c>
      <c r="U547" s="44">
        <f t="shared" ref="U547:U578" si="27">(((F547-2*I547)*H547^3)/3)+2*((G547*I547^3)/3)</f>
        <v>0.42173845830000001</v>
      </c>
      <c r="V547" s="52">
        <f t="shared" ref="V547:V578" si="28">(Q547*X547^2)/4</f>
        <v>685.80713357000002</v>
      </c>
      <c r="W547" s="188">
        <f t="shared" si="20"/>
        <v>1.3766860455765164</v>
      </c>
      <c r="X547" s="192">
        <f t="shared" si="21"/>
        <v>15.398</v>
      </c>
      <c r="AA547" s="39" t="str">
        <f t="shared" si="23"/>
        <v>B</v>
      </c>
    </row>
    <row r="548" spans="1:27" x14ac:dyDescent="0.2">
      <c r="A548" s="14" t="s">
        <v>5</v>
      </c>
      <c r="B548" s="2" t="s">
        <v>778</v>
      </c>
      <c r="C548" s="2" t="s">
        <v>393</v>
      </c>
      <c r="D548" s="14">
        <v>26</v>
      </c>
      <c r="E548" s="11">
        <v>7.65</v>
      </c>
      <c r="F548" s="11">
        <v>15.65</v>
      </c>
      <c r="G548" s="15">
        <v>5.5</v>
      </c>
      <c r="H548" s="15">
        <v>0.25</v>
      </c>
      <c r="I548" s="14">
        <v>0.34499999999999997</v>
      </c>
      <c r="J548" s="44">
        <f t="shared" si="24"/>
        <v>0.34499999999999997</v>
      </c>
      <c r="K548" s="38">
        <f t="shared" si="26"/>
        <v>7.9710144927536239</v>
      </c>
      <c r="L548" s="52">
        <f t="shared" si="25"/>
        <v>59.84</v>
      </c>
      <c r="M548" s="196">
        <v>298.10000000000002</v>
      </c>
      <c r="N548" s="52">
        <v>43.850039102597023</v>
      </c>
      <c r="O548" s="14">
        <v>38.1</v>
      </c>
      <c r="P548" s="14">
        <v>6.24</v>
      </c>
      <c r="Q548" s="14">
        <v>8.7100000000000009</v>
      </c>
      <c r="R548" s="52">
        <v>5.5093749999999995</v>
      </c>
      <c r="S548" s="14">
        <v>3.17</v>
      </c>
      <c r="T548" s="11">
        <v>1.07</v>
      </c>
      <c r="U548" s="44">
        <f t="shared" si="27"/>
        <v>0.22848329166666664</v>
      </c>
      <c r="V548" s="52">
        <f t="shared" si="28"/>
        <v>510.06418693750004</v>
      </c>
      <c r="W548" s="188">
        <f t="shared" si="20"/>
        <v>1.3226601188613221</v>
      </c>
      <c r="X548" s="192">
        <f t="shared" si="21"/>
        <v>15.305</v>
      </c>
      <c r="AA548" s="39" t="str">
        <f t="shared" si="23"/>
        <v>B</v>
      </c>
    </row>
    <row r="549" spans="1:27" x14ac:dyDescent="0.2">
      <c r="A549" s="14" t="s">
        <v>5</v>
      </c>
      <c r="B549" s="2" t="s">
        <v>779</v>
      </c>
      <c r="C549" s="2" t="s">
        <v>393</v>
      </c>
      <c r="D549" s="14">
        <v>26</v>
      </c>
      <c r="E549" s="11">
        <v>7.65</v>
      </c>
      <c r="F549" s="11">
        <v>13.89</v>
      </c>
      <c r="G549" s="15">
        <v>5.0250000000000004</v>
      </c>
      <c r="H549" s="15">
        <v>0.255</v>
      </c>
      <c r="I549" s="14">
        <v>0.41799999999999998</v>
      </c>
      <c r="J549" s="44">
        <f t="shared" si="24"/>
        <v>0.41799999999999998</v>
      </c>
      <c r="K549" s="38">
        <f t="shared" si="26"/>
        <v>6.0107655502392348</v>
      </c>
      <c r="L549" s="52">
        <f t="shared" si="25"/>
        <v>51.192156862745101</v>
      </c>
      <c r="M549" s="196">
        <v>242.6</v>
      </c>
      <c r="N549" s="52">
        <v>39.904356394754693</v>
      </c>
      <c r="O549" s="14">
        <v>34.9</v>
      </c>
      <c r="P549" s="14">
        <v>5.63</v>
      </c>
      <c r="Q549" s="14">
        <v>8.26</v>
      </c>
      <c r="R549" s="52">
        <v>5.5497547125000013</v>
      </c>
      <c r="S549" s="14">
        <v>3.29</v>
      </c>
      <c r="T549" s="11">
        <v>1.04</v>
      </c>
      <c r="U549" s="44">
        <f t="shared" si="27"/>
        <v>0.31681710694999998</v>
      </c>
      <c r="V549" s="52">
        <f t="shared" si="28"/>
        <v>374.78672896000006</v>
      </c>
      <c r="W549" s="188">
        <f t="shared" si="20"/>
        <v>1.262636528406069</v>
      </c>
      <c r="X549" s="192">
        <f t="shared" si="21"/>
        <v>13.472000000000001</v>
      </c>
      <c r="AA549" s="39" t="str">
        <f t="shared" si="23"/>
        <v>B</v>
      </c>
    </row>
    <row r="550" spans="1:27" x14ac:dyDescent="0.2">
      <c r="A550" s="14" t="s">
        <v>5</v>
      </c>
      <c r="B550" s="2" t="s">
        <v>780</v>
      </c>
      <c r="C550" s="2" t="s">
        <v>393</v>
      </c>
      <c r="D550" s="14">
        <v>22</v>
      </c>
      <c r="E550" s="11">
        <v>6.47</v>
      </c>
      <c r="F550" s="11">
        <v>13.72</v>
      </c>
      <c r="G550" s="15">
        <v>5</v>
      </c>
      <c r="H550" s="15">
        <v>0.23</v>
      </c>
      <c r="I550" s="14">
        <v>0.33500000000000002</v>
      </c>
      <c r="J550" s="44">
        <f t="shared" si="24"/>
        <v>0.33500000000000002</v>
      </c>
      <c r="K550" s="38">
        <f t="shared" si="26"/>
        <v>7.4626865671641784</v>
      </c>
      <c r="L550" s="52">
        <f t="shared" si="25"/>
        <v>56.739130434782609</v>
      </c>
      <c r="M550" s="196">
        <v>197.4</v>
      </c>
      <c r="N550" s="52">
        <v>32.944689012686993</v>
      </c>
      <c r="O550" s="14">
        <v>28.8</v>
      </c>
      <c r="P550" s="14">
        <v>5.52</v>
      </c>
      <c r="Q550" s="11">
        <v>6.4</v>
      </c>
      <c r="R550" s="52">
        <v>4.4193362499999997</v>
      </c>
      <c r="S550" s="14">
        <v>2.56</v>
      </c>
      <c r="T550" s="11">
        <v>0.99</v>
      </c>
      <c r="U550" s="44">
        <f t="shared" si="27"/>
        <v>0.17824436666666671</v>
      </c>
      <c r="V550" s="52">
        <f t="shared" si="28"/>
        <v>286.65316000000001</v>
      </c>
      <c r="W550" s="188">
        <f t="shared" si="20"/>
        <v>1.2195172086617811</v>
      </c>
      <c r="X550" s="192">
        <f t="shared" si="21"/>
        <v>13.385</v>
      </c>
      <c r="AA550" s="39" t="str">
        <f t="shared" si="23"/>
        <v>B</v>
      </c>
    </row>
    <row r="551" spans="1:27" x14ac:dyDescent="0.2">
      <c r="A551" s="14" t="s">
        <v>5</v>
      </c>
      <c r="B551" s="2" t="s">
        <v>781</v>
      </c>
      <c r="C551" s="2" t="s">
        <v>393</v>
      </c>
      <c r="D551" s="14">
        <v>17.2</v>
      </c>
      <c r="E551" s="11">
        <v>5.05</v>
      </c>
      <c r="F551" s="11">
        <v>14</v>
      </c>
      <c r="G551" s="15">
        <v>4</v>
      </c>
      <c r="H551" s="15">
        <v>0.21</v>
      </c>
      <c r="I551" s="14">
        <v>0.27200000000000002</v>
      </c>
      <c r="J551" s="44">
        <f t="shared" si="24"/>
        <v>0.27200000000000002</v>
      </c>
      <c r="K551" s="38">
        <f t="shared" si="26"/>
        <v>7.3529411764705879</v>
      </c>
      <c r="L551" s="52">
        <f t="shared" si="25"/>
        <v>64.076190476190476</v>
      </c>
      <c r="M551" s="196">
        <v>147.30000000000001</v>
      </c>
      <c r="N551" s="52">
        <v>24.755884116339562</v>
      </c>
      <c r="O551" s="196">
        <v>21</v>
      </c>
      <c r="P551" s="11">
        <v>5.4</v>
      </c>
      <c r="Q551" s="14">
        <v>2.65</v>
      </c>
      <c r="R551" s="52">
        <v>2.3484724000000003</v>
      </c>
      <c r="S551" s="14">
        <v>1.32</v>
      </c>
      <c r="T551" s="11">
        <v>0.72</v>
      </c>
      <c r="U551" s="44">
        <f t="shared" si="27"/>
        <v>9.5201733333333344E-2</v>
      </c>
      <c r="V551" s="52">
        <f t="shared" si="28"/>
        <v>124.85341439999998</v>
      </c>
      <c r="W551" s="188">
        <f t="shared" si="20"/>
        <v>0.930683312717827</v>
      </c>
      <c r="X551" s="192">
        <f t="shared" si="21"/>
        <v>13.728</v>
      </c>
      <c r="AA551" s="39" t="str">
        <f t="shared" si="23"/>
        <v>B</v>
      </c>
    </row>
    <row r="552" spans="1:27" x14ac:dyDescent="0.2">
      <c r="A552" s="14" t="s">
        <v>5</v>
      </c>
      <c r="B552" s="2" t="s">
        <v>782</v>
      </c>
      <c r="C552" s="2" t="s">
        <v>393</v>
      </c>
      <c r="D552" s="14">
        <v>22</v>
      </c>
      <c r="E552" s="11">
        <v>6.47</v>
      </c>
      <c r="F552" s="11">
        <v>12.31</v>
      </c>
      <c r="G552" s="15">
        <v>4.03</v>
      </c>
      <c r="H552" s="15">
        <v>0.26</v>
      </c>
      <c r="I552" s="14">
        <v>0.42399999999999999</v>
      </c>
      <c r="J552" s="44">
        <f t="shared" si="24"/>
        <v>0.42399999999999999</v>
      </c>
      <c r="K552" s="38">
        <f t="shared" si="26"/>
        <v>4.7523584905660385</v>
      </c>
      <c r="L552" s="52">
        <f t="shared" si="25"/>
        <v>44.084615384615383</v>
      </c>
      <c r="M552" s="196">
        <v>155.69999999999999</v>
      </c>
      <c r="N552" s="52">
        <v>29.24503642580131</v>
      </c>
      <c r="O552" s="196">
        <v>25.3</v>
      </c>
      <c r="P552" s="14">
        <v>4.91</v>
      </c>
      <c r="Q552" s="14">
        <v>4.55</v>
      </c>
      <c r="R552" s="52">
        <v>3.6729986000000006</v>
      </c>
      <c r="S552" s="14">
        <v>2.2599999999999998</v>
      </c>
      <c r="T552" s="11">
        <v>0.84</v>
      </c>
      <c r="U552" s="44">
        <f t="shared" si="27"/>
        <v>0.27194326848</v>
      </c>
      <c r="V552" s="52">
        <f t="shared" si="28"/>
        <v>160.70258295000002</v>
      </c>
      <c r="W552" s="188">
        <f t="shared" si="20"/>
        <v>1.0338280298274549</v>
      </c>
      <c r="X552" s="192">
        <f t="shared" si="21"/>
        <v>11.886000000000001</v>
      </c>
      <c r="AA552" s="39" t="str">
        <f t="shared" si="23"/>
        <v>B</v>
      </c>
    </row>
    <row r="553" spans="1:27" x14ac:dyDescent="0.2">
      <c r="A553" s="14" t="s">
        <v>5</v>
      </c>
      <c r="B553" s="2" t="s">
        <v>783</v>
      </c>
      <c r="C553" s="2" t="s">
        <v>393</v>
      </c>
      <c r="D553" s="14">
        <v>19</v>
      </c>
      <c r="E553" s="11">
        <v>5.62</v>
      </c>
      <c r="F553" s="11">
        <v>12.16</v>
      </c>
      <c r="G553" s="15">
        <v>4.01</v>
      </c>
      <c r="H553" s="15">
        <v>0.24</v>
      </c>
      <c r="I553" s="14">
        <v>0.34899999999999998</v>
      </c>
      <c r="J553" s="44">
        <f t="shared" si="24"/>
        <v>0.34899999999999998</v>
      </c>
      <c r="K553" s="38">
        <f t="shared" si="26"/>
        <v>5.7449856733524358</v>
      </c>
      <c r="L553" s="52">
        <f t="shared" si="25"/>
        <v>47.758333333333333</v>
      </c>
      <c r="M553" s="196">
        <v>130.1</v>
      </c>
      <c r="N553" s="52">
        <v>24.795419522273882</v>
      </c>
      <c r="O553" s="196">
        <v>21.4</v>
      </c>
      <c r="P553" s="14">
        <v>4.8099999999999996</v>
      </c>
      <c r="Q553" s="14">
        <v>3.67</v>
      </c>
      <c r="R553" s="52">
        <v>3.0061002500000003</v>
      </c>
      <c r="S553" s="14">
        <v>1.83</v>
      </c>
      <c r="T553" s="11">
        <v>0.81</v>
      </c>
      <c r="U553" s="44">
        <f t="shared" si="27"/>
        <v>0.1664564169933333</v>
      </c>
      <c r="V553" s="52">
        <f t="shared" si="28"/>
        <v>127.99099401749999</v>
      </c>
      <c r="W553" s="188">
        <f t="shared" ref="W553:W616" si="29">SQRT((Q553*X553)/(2*O553))</f>
        <v>1.0063625858534326</v>
      </c>
      <c r="X553" s="192">
        <f t="shared" ref="X553:X616" si="30">F553-I553</f>
        <v>11.811</v>
      </c>
      <c r="AA553" s="39" t="str">
        <f t="shared" si="23"/>
        <v>B</v>
      </c>
    </row>
    <row r="554" spans="1:27" x14ac:dyDescent="0.2">
      <c r="A554" s="14" t="s">
        <v>5</v>
      </c>
      <c r="B554" s="2" t="s">
        <v>784</v>
      </c>
      <c r="C554" s="2" t="s">
        <v>393</v>
      </c>
      <c r="D554" s="14">
        <v>16.5</v>
      </c>
      <c r="E554" s="11">
        <v>4.8600000000000003</v>
      </c>
      <c r="F554" s="11">
        <v>12</v>
      </c>
      <c r="G554" s="15">
        <v>4</v>
      </c>
      <c r="H554" s="15">
        <v>0.23</v>
      </c>
      <c r="I554" s="14">
        <v>0.26900000000000002</v>
      </c>
      <c r="J554" s="44">
        <f t="shared" si="24"/>
        <v>0.26900000000000002</v>
      </c>
      <c r="K554" s="38">
        <f t="shared" si="26"/>
        <v>7.4349442379182156</v>
      </c>
      <c r="L554" s="52">
        <f t="shared" si="25"/>
        <v>49.834782608695647</v>
      </c>
      <c r="M554" s="196">
        <v>105.3</v>
      </c>
      <c r="N554" s="52">
        <v>20.568685896124943</v>
      </c>
      <c r="O554" s="196">
        <v>17.5</v>
      </c>
      <c r="P554" s="14">
        <v>4.6500000000000004</v>
      </c>
      <c r="Q554" s="14">
        <v>2.79</v>
      </c>
      <c r="R554" s="52">
        <v>2.3394549500000004</v>
      </c>
      <c r="S554" s="14">
        <v>1.39</v>
      </c>
      <c r="T554" s="11">
        <v>0.76</v>
      </c>
      <c r="U554" s="44">
        <f t="shared" si="27"/>
        <v>9.839300866666667E-2</v>
      </c>
      <c r="V554" s="52">
        <f t="shared" si="28"/>
        <v>95.987411797499988</v>
      </c>
      <c r="W554" s="188">
        <f t="shared" si="29"/>
        <v>0.96702031297914604</v>
      </c>
      <c r="X554" s="192">
        <f t="shared" si="30"/>
        <v>11.731</v>
      </c>
      <c r="AA554" s="39" t="str">
        <f t="shared" si="23"/>
        <v>B</v>
      </c>
    </row>
    <row r="555" spans="1:27" x14ac:dyDescent="0.2">
      <c r="A555" s="14" t="s">
        <v>5</v>
      </c>
      <c r="B555" s="2" t="s">
        <v>785</v>
      </c>
      <c r="C555" s="2" t="s">
        <v>393</v>
      </c>
      <c r="D555" s="14">
        <v>14</v>
      </c>
      <c r="E555" s="11">
        <v>4.1399999999999997</v>
      </c>
      <c r="F555" s="11">
        <v>11.91</v>
      </c>
      <c r="G555" s="15">
        <v>3.97</v>
      </c>
      <c r="H555" s="15">
        <v>0.2</v>
      </c>
      <c r="I555" s="14">
        <v>0.224</v>
      </c>
      <c r="J555" s="44">
        <f t="shared" si="24"/>
        <v>0.224</v>
      </c>
      <c r="K555" s="38">
        <f t="shared" si="26"/>
        <v>8.8616071428571423</v>
      </c>
      <c r="L555" s="52">
        <f t="shared" si="25"/>
        <v>57.309999999999995</v>
      </c>
      <c r="M555" s="196">
        <v>88.2</v>
      </c>
      <c r="N555" s="52">
        <v>17.338525939764956</v>
      </c>
      <c r="O555" s="196">
        <v>14.8</v>
      </c>
      <c r="P555" s="14">
        <v>4.6100000000000003</v>
      </c>
      <c r="Q555" s="14">
        <v>2.25</v>
      </c>
      <c r="R555" s="52">
        <v>1.9143607999999999</v>
      </c>
      <c r="S555" s="14">
        <v>1.1299999999999999</v>
      </c>
      <c r="T555" s="11">
        <v>0.74</v>
      </c>
      <c r="U555" s="44">
        <f t="shared" si="27"/>
        <v>6.0312342186666673E-2</v>
      </c>
      <c r="V555" s="52">
        <f t="shared" si="28"/>
        <v>76.816460249999992</v>
      </c>
      <c r="W555" s="188">
        <f t="shared" si="29"/>
        <v>0.94249345828972153</v>
      </c>
      <c r="X555" s="192">
        <f t="shared" si="30"/>
        <v>11.686</v>
      </c>
      <c r="AA555" s="39" t="str">
        <f t="shared" si="23"/>
        <v>B</v>
      </c>
    </row>
    <row r="556" spans="1:27" x14ac:dyDescent="0.2">
      <c r="A556" s="14" t="s">
        <v>291</v>
      </c>
      <c r="B556" s="2" t="s">
        <v>786</v>
      </c>
      <c r="C556" s="2" t="s">
        <v>393</v>
      </c>
      <c r="D556" s="14">
        <v>21</v>
      </c>
      <c r="E556" s="11">
        <v>6.11</v>
      </c>
      <c r="F556" s="11">
        <v>9.9</v>
      </c>
      <c r="G556" s="15">
        <v>5.75</v>
      </c>
      <c r="H556" s="15">
        <v>0.24</v>
      </c>
      <c r="I556" s="14">
        <v>0.33800000000000002</v>
      </c>
      <c r="J556" s="44">
        <f t="shared" si="24"/>
        <v>0.33800000000000002</v>
      </c>
      <c r="K556" s="38">
        <f t="shared" si="26"/>
        <v>8.5059171597633139</v>
      </c>
      <c r="L556" s="52">
        <f t="shared" si="25"/>
        <v>38.433333333333337</v>
      </c>
      <c r="M556" s="196">
        <v>104.4</v>
      </c>
      <c r="N556" s="52">
        <v>23.730404245750993</v>
      </c>
      <c r="O556" s="196">
        <v>21.1</v>
      </c>
      <c r="P556" s="14">
        <v>4.1399999999999997</v>
      </c>
      <c r="Q556" s="14">
        <v>9.1999999999999993</v>
      </c>
      <c r="R556" s="52">
        <v>5.725008100000001</v>
      </c>
      <c r="S556" s="14">
        <v>3.2</v>
      </c>
      <c r="T556" s="11">
        <v>1.22</v>
      </c>
      <c r="U556" s="44">
        <f t="shared" si="27"/>
        <v>0.19052633466666669</v>
      </c>
      <c r="V556" s="52">
        <f t="shared" si="28"/>
        <v>210.29324120000004</v>
      </c>
      <c r="W556" s="188">
        <f t="shared" si="29"/>
        <v>1.4438166902592204</v>
      </c>
      <c r="X556" s="192">
        <f t="shared" si="30"/>
        <v>9.5620000000000012</v>
      </c>
      <c r="AA556" s="39" t="str">
        <f t="shared" si="23"/>
        <v>M</v>
      </c>
    </row>
    <row r="557" spans="1:27" x14ac:dyDescent="0.2">
      <c r="A557" s="14" t="s">
        <v>5</v>
      </c>
      <c r="B557" s="2" t="s">
        <v>787</v>
      </c>
      <c r="C557" s="2" t="s">
        <v>393</v>
      </c>
      <c r="D557" s="14">
        <v>19</v>
      </c>
      <c r="E557" s="11">
        <v>5.61</v>
      </c>
      <c r="F557" s="11">
        <v>10.25</v>
      </c>
      <c r="G557" s="15">
        <v>4.0199999999999996</v>
      </c>
      <c r="H557" s="15">
        <v>0.25</v>
      </c>
      <c r="I557" s="14">
        <v>0.39400000000000002</v>
      </c>
      <c r="J557" s="44">
        <f t="shared" si="24"/>
        <v>0.39400000000000002</v>
      </c>
      <c r="K557" s="38">
        <f t="shared" si="26"/>
        <v>5.1015228426395929</v>
      </c>
      <c r="L557" s="52">
        <f t="shared" si="25"/>
        <v>37.847999999999999</v>
      </c>
      <c r="M557" s="196">
        <v>96.2</v>
      </c>
      <c r="N557" s="52">
        <v>21.548109966336185</v>
      </c>
      <c r="O557" s="196">
        <v>18.8</v>
      </c>
      <c r="P557" s="14">
        <v>4.1399999999999997</v>
      </c>
      <c r="Q557" s="14">
        <v>4.1900000000000004</v>
      </c>
      <c r="R557" s="52">
        <v>3.3698125499999998</v>
      </c>
      <c r="S557" s="14">
        <v>2.08</v>
      </c>
      <c r="T557" s="11">
        <v>0.86</v>
      </c>
      <c r="U557" s="44">
        <f t="shared" si="27"/>
        <v>0.21319804712000001</v>
      </c>
      <c r="V557" s="52">
        <f t="shared" si="28"/>
        <v>101.75492096000001</v>
      </c>
      <c r="W557" s="188">
        <f t="shared" si="29"/>
        <v>1.0480051973234776</v>
      </c>
      <c r="X557" s="192">
        <f t="shared" si="30"/>
        <v>9.8559999999999999</v>
      </c>
      <c r="AA557" s="39" t="str">
        <f t="shared" si="23"/>
        <v>B</v>
      </c>
    </row>
    <row r="558" spans="1:27" x14ac:dyDescent="0.2">
      <c r="A558" s="14" t="s">
        <v>5</v>
      </c>
      <c r="B558" s="2" t="s">
        <v>788</v>
      </c>
      <c r="C558" s="2" t="s">
        <v>393</v>
      </c>
      <c r="D558" s="14">
        <v>17</v>
      </c>
      <c r="E558" s="11">
        <v>4.9800000000000004</v>
      </c>
      <c r="F558" s="11">
        <v>10.119999999999999</v>
      </c>
      <c r="G558" s="15">
        <v>4.01</v>
      </c>
      <c r="H558" s="15">
        <v>0.24</v>
      </c>
      <c r="I558" s="14">
        <v>0.32900000000000001</v>
      </c>
      <c r="J558" s="44">
        <f t="shared" si="24"/>
        <v>0.32900000000000001</v>
      </c>
      <c r="K558" s="38">
        <f t="shared" si="26"/>
        <v>6.0942249240121571</v>
      </c>
      <c r="L558" s="52">
        <f t="shared" si="25"/>
        <v>39.424999999999997</v>
      </c>
      <c r="M558" s="196">
        <v>81.8</v>
      </c>
      <c r="N558" s="52">
        <v>18.603924792192053</v>
      </c>
      <c r="O558" s="196">
        <v>16.2</v>
      </c>
      <c r="P558" s="14">
        <v>4.05</v>
      </c>
      <c r="Q558" s="14">
        <v>3.45</v>
      </c>
      <c r="R558" s="52">
        <v>2.8166992500000001</v>
      </c>
      <c r="S558" s="14">
        <v>1.72</v>
      </c>
      <c r="T558" s="11">
        <v>0.83</v>
      </c>
      <c r="U558" s="44">
        <f t="shared" si="27"/>
        <v>0.13880174192666667</v>
      </c>
      <c r="V558" s="52">
        <f t="shared" si="28"/>
        <v>82.682424862499985</v>
      </c>
      <c r="W558" s="188">
        <f t="shared" si="29"/>
        <v>1.0210583652197289</v>
      </c>
      <c r="X558" s="192">
        <f t="shared" si="30"/>
        <v>9.7909999999999986</v>
      </c>
      <c r="AA558" s="39" t="str">
        <f t="shared" si="23"/>
        <v>B</v>
      </c>
    </row>
    <row r="559" spans="1:27" x14ac:dyDescent="0.2">
      <c r="A559" s="14" t="s">
        <v>5</v>
      </c>
      <c r="B559" s="2" t="s">
        <v>789</v>
      </c>
      <c r="C559" s="2" t="s">
        <v>393</v>
      </c>
      <c r="D559" s="14">
        <v>15</v>
      </c>
      <c r="E559" s="11">
        <v>4.4000000000000004</v>
      </c>
      <c r="F559" s="11">
        <v>10</v>
      </c>
      <c r="G559" s="15">
        <v>4</v>
      </c>
      <c r="H559" s="15">
        <v>0.23</v>
      </c>
      <c r="I559" s="14">
        <v>0.26900000000000002</v>
      </c>
      <c r="J559" s="44">
        <f t="shared" si="24"/>
        <v>0.26900000000000002</v>
      </c>
      <c r="K559" s="38">
        <f t="shared" si="26"/>
        <v>7.4349442379182156</v>
      </c>
      <c r="L559" s="52">
        <f t="shared" si="25"/>
        <v>41.139130434782608</v>
      </c>
      <c r="M559" s="196">
        <v>68.8</v>
      </c>
      <c r="N559" s="52">
        <v>15.938685896124941</v>
      </c>
      <c r="O559" s="196">
        <v>13.8</v>
      </c>
      <c r="P559" s="14">
        <v>3.95</v>
      </c>
      <c r="Q559" s="14">
        <v>2.79</v>
      </c>
      <c r="R559" s="52">
        <v>2.3130049500000003</v>
      </c>
      <c r="S559" s="14">
        <v>1.39</v>
      </c>
      <c r="T559" s="11">
        <v>0.8</v>
      </c>
      <c r="U559" s="44">
        <f t="shared" si="27"/>
        <v>9.0281675333333339E-2</v>
      </c>
      <c r="V559" s="52">
        <f t="shared" si="28"/>
        <v>66.047921797499995</v>
      </c>
      <c r="W559" s="188">
        <f t="shared" si="29"/>
        <v>0.99180500800966087</v>
      </c>
      <c r="X559" s="192">
        <f t="shared" si="30"/>
        <v>9.7309999999999999</v>
      </c>
      <c r="AA559" s="39" t="str">
        <f t="shared" si="23"/>
        <v>B</v>
      </c>
    </row>
    <row r="560" spans="1:27" x14ac:dyDescent="0.2">
      <c r="A560" s="14" t="s">
        <v>5</v>
      </c>
      <c r="B560" s="2" t="s">
        <v>790</v>
      </c>
      <c r="C560" s="2" t="s">
        <v>393</v>
      </c>
      <c r="D560" s="14">
        <v>11.5</v>
      </c>
      <c r="E560" s="11">
        <v>3.39</v>
      </c>
      <c r="F560" s="11">
        <v>9.8699999999999992</v>
      </c>
      <c r="G560" s="15">
        <v>3.95</v>
      </c>
      <c r="H560" s="15">
        <v>0.18</v>
      </c>
      <c r="I560" s="14">
        <v>0.20399999999999999</v>
      </c>
      <c r="J560" s="44">
        <f t="shared" si="24"/>
        <v>0.20399999999999999</v>
      </c>
      <c r="K560" s="38">
        <f t="shared" si="26"/>
        <v>9.6813725490196081</v>
      </c>
      <c r="L560" s="52">
        <f t="shared" si="25"/>
        <v>52.56666666666667</v>
      </c>
      <c r="M560" s="196">
        <v>51.9</v>
      </c>
      <c r="N560" s="52">
        <v>12.153009955203173</v>
      </c>
      <c r="O560" s="196">
        <v>10.5</v>
      </c>
      <c r="P560" s="14">
        <v>3.92</v>
      </c>
      <c r="Q560" s="14">
        <v>2.0099999999999998</v>
      </c>
      <c r="R560" s="52">
        <v>1.7057172000000003</v>
      </c>
      <c r="S560" s="14">
        <v>1.02</v>
      </c>
      <c r="T560" s="11">
        <v>0.77</v>
      </c>
      <c r="U560" s="44">
        <f t="shared" si="27"/>
        <v>4.0750243199999994E-2</v>
      </c>
      <c r="V560" s="52">
        <f t="shared" si="28"/>
        <v>46.949356889999983</v>
      </c>
      <c r="W560" s="188">
        <f t="shared" si="29"/>
        <v>0.96185980564440132</v>
      </c>
      <c r="X560" s="192">
        <f t="shared" si="30"/>
        <v>9.6659999999999986</v>
      </c>
      <c r="AA560" s="39" t="str">
        <f t="shared" si="23"/>
        <v>B</v>
      </c>
    </row>
    <row r="561" spans="1:27" x14ac:dyDescent="0.2">
      <c r="A561" s="14" t="s">
        <v>291</v>
      </c>
      <c r="B561" s="2" t="s">
        <v>791</v>
      </c>
      <c r="C561" s="2" t="s">
        <v>393</v>
      </c>
      <c r="D561" s="14">
        <v>28</v>
      </c>
      <c r="E561" s="11">
        <v>8.23</v>
      </c>
      <c r="F561" s="11">
        <v>8</v>
      </c>
      <c r="G561" s="15">
        <v>6.65</v>
      </c>
      <c r="H561" s="15">
        <v>0.39</v>
      </c>
      <c r="I561" s="14">
        <v>0.39800000000000002</v>
      </c>
      <c r="J561" s="44">
        <f t="shared" si="24"/>
        <v>0.39800000000000002</v>
      </c>
      <c r="K561" s="38">
        <f t="shared" si="26"/>
        <v>8.3542713567839204</v>
      </c>
      <c r="L561" s="52">
        <f t="shared" si="25"/>
        <v>18.47179487179487</v>
      </c>
      <c r="M561" s="196">
        <v>90.1</v>
      </c>
      <c r="N561" s="52">
        <v>25.592548590690569</v>
      </c>
      <c r="O561" s="196">
        <v>22.5</v>
      </c>
      <c r="P561" s="14">
        <v>3.31</v>
      </c>
      <c r="Q561" s="14">
        <v>17.73</v>
      </c>
      <c r="R561" s="52">
        <v>9.1377296000000019</v>
      </c>
      <c r="S561" s="14">
        <v>5.33</v>
      </c>
      <c r="T561" s="11">
        <v>1.47</v>
      </c>
      <c r="U561" s="44">
        <f t="shared" si="27"/>
        <v>0.42194326986666675</v>
      </c>
      <c r="V561" s="52">
        <f t="shared" si="28"/>
        <v>256.15596572999999</v>
      </c>
      <c r="W561" s="188">
        <f t="shared" si="29"/>
        <v>1.7306611453430163</v>
      </c>
      <c r="X561" s="192">
        <f t="shared" si="30"/>
        <v>7.6020000000000003</v>
      </c>
      <c r="AA561" s="39" t="str">
        <f t="shared" si="23"/>
        <v>M</v>
      </c>
    </row>
    <row r="562" spans="1:27" x14ac:dyDescent="0.2">
      <c r="A562" s="14" t="s">
        <v>291</v>
      </c>
      <c r="B562" s="2" t="s">
        <v>792</v>
      </c>
      <c r="C562" s="2" t="s">
        <v>393</v>
      </c>
      <c r="D562" s="14">
        <v>24</v>
      </c>
      <c r="E562" s="11">
        <v>7.06</v>
      </c>
      <c r="F562" s="11">
        <v>8</v>
      </c>
      <c r="G562" s="15">
        <v>6.5</v>
      </c>
      <c r="H562" s="15">
        <v>0.24</v>
      </c>
      <c r="I562" s="14">
        <v>0.39800000000000002</v>
      </c>
      <c r="J562" s="44">
        <f t="shared" si="24"/>
        <v>0.39800000000000002</v>
      </c>
      <c r="K562" s="38">
        <f t="shared" si="26"/>
        <v>8.165829145728642</v>
      </c>
      <c r="L562" s="52">
        <f t="shared" si="25"/>
        <v>30.016666666666666</v>
      </c>
      <c r="M562" s="196">
        <v>83.8</v>
      </c>
      <c r="N562" s="52">
        <v>23.283656800496153</v>
      </c>
      <c r="O562" s="196">
        <v>21</v>
      </c>
      <c r="P562" s="14">
        <v>3.45</v>
      </c>
      <c r="Q562" s="14">
        <v>16.52</v>
      </c>
      <c r="R562" s="52">
        <v>8.5900075999999981</v>
      </c>
      <c r="S562" s="14">
        <v>5.08</v>
      </c>
      <c r="T562" s="11">
        <v>1.53</v>
      </c>
      <c r="U562" s="44">
        <f t="shared" si="27"/>
        <v>0.3063901306666667</v>
      </c>
      <c r="V562" s="52">
        <f t="shared" si="28"/>
        <v>238.67436852</v>
      </c>
      <c r="W562" s="188">
        <f t="shared" si="29"/>
        <v>1.7291963451268337</v>
      </c>
      <c r="X562" s="192">
        <f t="shared" si="30"/>
        <v>7.6020000000000003</v>
      </c>
      <c r="AA562" s="39" t="str">
        <f t="shared" si="23"/>
        <v>M</v>
      </c>
    </row>
    <row r="563" spans="1:27" x14ac:dyDescent="0.2">
      <c r="A563" s="14" t="s">
        <v>291</v>
      </c>
      <c r="B563" s="2" t="s">
        <v>793</v>
      </c>
      <c r="C563" s="2" t="s">
        <v>393</v>
      </c>
      <c r="D563" s="14">
        <v>20</v>
      </c>
      <c r="E563" s="11">
        <v>5.88</v>
      </c>
      <c r="F563" s="11">
        <v>8</v>
      </c>
      <c r="G563" s="15">
        <v>5.36</v>
      </c>
      <c r="H563" s="15">
        <v>0.35</v>
      </c>
      <c r="I563" s="14">
        <v>0.30499999999999999</v>
      </c>
      <c r="J563" s="44">
        <f t="shared" si="24"/>
        <v>0.30499999999999999</v>
      </c>
      <c r="K563" s="38">
        <f t="shared" si="26"/>
        <v>8.7868852459016402</v>
      </c>
      <c r="L563" s="52">
        <f t="shared" si="25"/>
        <v>21.114285714285714</v>
      </c>
      <c r="M563" s="196">
        <v>60.7</v>
      </c>
      <c r="N563" s="52">
        <v>17.442960399664742</v>
      </c>
      <c r="O563" s="196">
        <v>15.2</v>
      </c>
      <c r="P563" s="14">
        <v>3.22</v>
      </c>
      <c r="Q563" s="14">
        <v>6.6</v>
      </c>
      <c r="R563" s="52">
        <v>4.6195327500000012</v>
      </c>
      <c r="S563" s="14">
        <v>2.46</v>
      </c>
      <c r="T563" s="11">
        <v>1.06</v>
      </c>
      <c r="U563" s="44">
        <f t="shared" si="27"/>
        <v>0.20700026333333332</v>
      </c>
      <c r="V563" s="52">
        <f t="shared" si="28"/>
        <v>97.701491250000004</v>
      </c>
      <c r="W563" s="188">
        <f t="shared" si="29"/>
        <v>1.2925265954710565</v>
      </c>
      <c r="X563" s="192">
        <f t="shared" si="30"/>
        <v>7.6950000000000003</v>
      </c>
      <c r="AA563" s="39" t="str">
        <f t="shared" si="23"/>
        <v>M</v>
      </c>
    </row>
    <row r="564" spans="1:27" x14ac:dyDescent="0.2">
      <c r="A564" s="14" t="s">
        <v>291</v>
      </c>
      <c r="B564" s="2" t="s">
        <v>794</v>
      </c>
      <c r="C564" s="2" t="s">
        <v>393</v>
      </c>
      <c r="D564" s="14">
        <v>17</v>
      </c>
      <c r="E564" s="11">
        <v>5</v>
      </c>
      <c r="F564" s="11">
        <v>8</v>
      </c>
      <c r="G564" s="15">
        <v>5.25</v>
      </c>
      <c r="H564" s="15">
        <v>0.24</v>
      </c>
      <c r="I564" s="14">
        <v>0.30499999999999999</v>
      </c>
      <c r="J564" s="44">
        <f t="shared" si="24"/>
        <v>0.30499999999999999</v>
      </c>
      <c r="K564" s="38">
        <f t="shared" si="26"/>
        <v>8.6065573770491799</v>
      </c>
      <c r="L564" s="52">
        <f t="shared" si="25"/>
        <v>30.791666666666668</v>
      </c>
      <c r="M564" s="196">
        <v>56</v>
      </c>
      <c r="N564" s="52">
        <v>15.682960399664744</v>
      </c>
      <c r="O564" s="196">
        <v>14</v>
      </c>
      <c r="P564" s="14">
        <v>3.35</v>
      </c>
      <c r="Q564" s="14">
        <v>6.16</v>
      </c>
      <c r="R564" s="52">
        <v>4.3216472499999989</v>
      </c>
      <c r="S564" s="14">
        <v>2.35</v>
      </c>
      <c r="T564" s="11">
        <v>1.1100000000000001</v>
      </c>
      <c r="U564" s="44">
        <f t="shared" si="27"/>
        <v>0.13335730749999999</v>
      </c>
      <c r="V564" s="52">
        <f t="shared" si="28"/>
        <v>91.188058500000011</v>
      </c>
      <c r="W564" s="188">
        <f t="shared" si="29"/>
        <v>1.3011149065320864</v>
      </c>
      <c r="X564" s="192">
        <f t="shared" si="30"/>
        <v>7.6950000000000003</v>
      </c>
      <c r="AA564" s="39" t="str">
        <f t="shared" si="23"/>
        <v>M</v>
      </c>
    </row>
    <row r="565" spans="1:27" x14ac:dyDescent="0.2">
      <c r="A565" s="14" t="s">
        <v>5</v>
      </c>
      <c r="B565" s="2" t="s">
        <v>795</v>
      </c>
      <c r="C565" s="2" t="s">
        <v>393</v>
      </c>
      <c r="D565" s="14">
        <v>15</v>
      </c>
      <c r="E565" s="11">
        <v>4.43</v>
      </c>
      <c r="F565" s="11">
        <v>8.1199999999999992</v>
      </c>
      <c r="G565" s="15">
        <v>4.0149999999999997</v>
      </c>
      <c r="H565" s="15">
        <v>0.245</v>
      </c>
      <c r="I565" s="14">
        <v>0.314</v>
      </c>
      <c r="J565" s="44">
        <f t="shared" si="24"/>
        <v>0.314</v>
      </c>
      <c r="K565" s="38">
        <f t="shared" si="26"/>
        <v>6.3933121019108272</v>
      </c>
      <c r="L565" s="52">
        <f t="shared" si="25"/>
        <v>30.579591836734689</v>
      </c>
      <c r="M565" s="196">
        <v>48</v>
      </c>
      <c r="N565" s="52">
        <v>13.532936792786476</v>
      </c>
      <c r="O565" s="14">
        <v>11.8</v>
      </c>
      <c r="P565" s="14">
        <v>3.29</v>
      </c>
      <c r="Q565" s="11">
        <v>3.3</v>
      </c>
      <c r="R565" s="52">
        <v>2.6798221499999997</v>
      </c>
      <c r="S565" s="14">
        <v>1.65</v>
      </c>
      <c r="T565" s="11">
        <v>0.86</v>
      </c>
      <c r="U565" s="44">
        <f t="shared" si="27"/>
        <v>0.11959340493999998</v>
      </c>
      <c r="V565" s="52">
        <f t="shared" si="28"/>
        <v>50.270249699999987</v>
      </c>
      <c r="W565" s="188">
        <f t="shared" si="29"/>
        <v>1.0447568851903022</v>
      </c>
      <c r="X565" s="192">
        <f t="shared" si="30"/>
        <v>7.8059999999999992</v>
      </c>
      <c r="AA565" s="39" t="str">
        <f t="shared" si="23"/>
        <v>B</v>
      </c>
    </row>
    <row r="566" spans="1:27" x14ac:dyDescent="0.2">
      <c r="A566" s="14" t="s">
        <v>5</v>
      </c>
      <c r="B566" s="2" t="s">
        <v>796</v>
      </c>
      <c r="C566" s="2" t="s">
        <v>393</v>
      </c>
      <c r="D566" s="14">
        <v>13</v>
      </c>
      <c r="E566" s="11">
        <v>3.83</v>
      </c>
      <c r="F566" s="11">
        <v>8</v>
      </c>
      <c r="G566" s="15">
        <v>4</v>
      </c>
      <c r="H566" s="15">
        <v>0.23</v>
      </c>
      <c r="I566" s="14">
        <v>0.254</v>
      </c>
      <c r="J566" s="44">
        <f t="shared" si="24"/>
        <v>0.254</v>
      </c>
      <c r="K566" s="38">
        <f t="shared" si="26"/>
        <v>7.8740157480314963</v>
      </c>
      <c r="L566" s="52">
        <f t="shared" si="25"/>
        <v>32.573913043478257</v>
      </c>
      <c r="M566" s="196">
        <v>39.5</v>
      </c>
      <c r="N566" s="52">
        <v>11.357291415733741</v>
      </c>
      <c r="O566" s="14">
        <v>9.8800000000000008</v>
      </c>
      <c r="P566" s="14">
        <v>3.21</v>
      </c>
      <c r="Q566" s="14">
        <v>2.62</v>
      </c>
      <c r="R566" s="52">
        <v>2.1685017000000002</v>
      </c>
      <c r="S566" s="14">
        <v>1.31</v>
      </c>
      <c r="T566" s="11">
        <v>0.83</v>
      </c>
      <c r="U566" s="44">
        <f t="shared" si="27"/>
        <v>7.4083891999999998E-2</v>
      </c>
      <c r="V566" s="52">
        <f t="shared" si="28"/>
        <v>39.300337980000002</v>
      </c>
      <c r="W566" s="188">
        <f t="shared" si="29"/>
        <v>1.0134350533149372</v>
      </c>
      <c r="X566" s="192">
        <f t="shared" si="30"/>
        <v>7.7460000000000004</v>
      </c>
      <c r="AA566" s="39" t="str">
        <f t="shared" si="23"/>
        <v>B</v>
      </c>
    </row>
    <row r="567" spans="1:27" x14ac:dyDescent="0.2">
      <c r="A567" s="14" t="s">
        <v>5</v>
      </c>
      <c r="B567" s="2" t="s">
        <v>797</v>
      </c>
      <c r="C567" s="2" t="s">
        <v>393</v>
      </c>
      <c r="D567" s="14">
        <v>10</v>
      </c>
      <c r="E567" s="11">
        <v>2.95</v>
      </c>
      <c r="F567" s="11">
        <v>7.9</v>
      </c>
      <c r="G567" s="15">
        <v>3.94</v>
      </c>
      <c r="H567" s="15">
        <v>0.17</v>
      </c>
      <c r="I567" s="14">
        <v>0.20399999999999999</v>
      </c>
      <c r="J567" s="44">
        <f t="shared" si="24"/>
        <v>0.20399999999999999</v>
      </c>
      <c r="K567" s="38">
        <f t="shared" si="26"/>
        <v>9.6568627450980404</v>
      </c>
      <c r="L567" s="52">
        <f t="shared" si="25"/>
        <v>44.070588235294117</v>
      </c>
      <c r="M567" s="196">
        <v>30.8</v>
      </c>
      <c r="N567" s="52">
        <v>8.8110775090414108</v>
      </c>
      <c r="O567" s="14">
        <v>7.79</v>
      </c>
      <c r="P567" s="14">
        <v>3.23</v>
      </c>
      <c r="Q567" s="14">
        <v>1.99</v>
      </c>
      <c r="R567" s="52">
        <v>1.6719569000000001</v>
      </c>
      <c r="S567" s="14">
        <v>1.01</v>
      </c>
      <c r="T567" s="11">
        <v>0.82</v>
      </c>
      <c r="U567" s="44">
        <f t="shared" si="27"/>
        <v>3.4568916106666667E-2</v>
      </c>
      <c r="V567" s="52">
        <f t="shared" si="28"/>
        <v>29.466136960000004</v>
      </c>
      <c r="W567" s="188">
        <f t="shared" si="29"/>
        <v>0.99146032775636694</v>
      </c>
      <c r="X567" s="192">
        <f t="shared" si="30"/>
        <v>7.6960000000000006</v>
      </c>
      <c r="AA567" s="39" t="str">
        <f t="shared" si="23"/>
        <v>B</v>
      </c>
    </row>
    <row r="568" spans="1:27" x14ac:dyDescent="0.2">
      <c r="A568" s="14" t="s">
        <v>5</v>
      </c>
      <c r="B568" s="2" t="s">
        <v>798</v>
      </c>
      <c r="C568" s="2" t="s">
        <v>393</v>
      </c>
      <c r="D568" s="14">
        <v>16</v>
      </c>
      <c r="E568" s="11">
        <v>4.72</v>
      </c>
      <c r="F568" s="11">
        <v>6.25</v>
      </c>
      <c r="G568" s="15">
        <v>4.03</v>
      </c>
      <c r="H568" s="15">
        <v>0.26</v>
      </c>
      <c r="I568" s="14">
        <v>0.40400000000000003</v>
      </c>
      <c r="J568" s="44">
        <f t="shared" si="24"/>
        <v>0.40400000000000003</v>
      </c>
      <c r="K568" s="38">
        <f t="shared" si="26"/>
        <v>4.9876237623762378</v>
      </c>
      <c r="L568" s="52">
        <f t="shared" si="25"/>
        <v>20.930769230769229</v>
      </c>
      <c r="M568" s="196">
        <v>31.7</v>
      </c>
      <c r="N568" s="52">
        <v>11.565088290498304</v>
      </c>
      <c r="O568" s="14">
        <v>10.1</v>
      </c>
      <c r="P568" s="14">
        <v>2.59</v>
      </c>
      <c r="Q568" s="14">
        <v>4.32</v>
      </c>
      <c r="R568" s="52">
        <v>3.3970516000000006</v>
      </c>
      <c r="S568" s="14">
        <v>2.14</v>
      </c>
      <c r="T568" s="11">
        <v>0.96</v>
      </c>
      <c r="U568" s="44">
        <f t="shared" si="27"/>
        <v>0.20903968661333336</v>
      </c>
      <c r="V568" s="52">
        <f t="shared" si="28"/>
        <v>36.909773280000003</v>
      </c>
      <c r="W568" s="188">
        <f t="shared" si="29"/>
        <v>1.1181384813011028</v>
      </c>
      <c r="X568" s="192">
        <f t="shared" si="30"/>
        <v>5.8460000000000001</v>
      </c>
      <c r="AA568" s="39" t="str">
        <f t="shared" si="23"/>
        <v>B</v>
      </c>
    </row>
    <row r="569" spans="1:27" x14ac:dyDescent="0.2">
      <c r="A569" s="14" t="s">
        <v>5</v>
      </c>
      <c r="B569" s="2" t="s">
        <v>799</v>
      </c>
      <c r="C569" s="2" t="s">
        <v>393</v>
      </c>
      <c r="D569" s="14">
        <v>12</v>
      </c>
      <c r="E569" s="11">
        <v>3.53</v>
      </c>
      <c r="F569" s="11">
        <v>6</v>
      </c>
      <c r="G569" s="15">
        <v>4</v>
      </c>
      <c r="H569" s="15">
        <v>0.23</v>
      </c>
      <c r="I569" s="14">
        <v>0.27900000000000003</v>
      </c>
      <c r="J569" s="44">
        <f t="shared" si="24"/>
        <v>0.27900000000000003</v>
      </c>
      <c r="K569" s="38">
        <f t="shared" si="26"/>
        <v>7.1684587813620064</v>
      </c>
      <c r="L569" s="52">
        <f t="shared" ref="L569:L605" si="31">(F569-2*J569)/H569</f>
        <v>23.660869565217389</v>
      </c>
      <c r="M569" s="196">
        <v>21.7</v>
      </c>
      <c r="N569" s="52">
        <v>8.2036350844426913</v>
      </c>
      <c r="O569" s="14">
        <v>7.24</v>
      </c>
      <c r="P569" s="14">
        <v>2.48</v>
      </c>
      <c r="Q569" s="14">
        <v>2.89</v>
      </c>
      <c r="R569" s="52">
        <v>2.3271404500000004</v>
      </c>
      <c r="S569" s="14">
        <v>1.44</v>
      </c>
      <c r="T569" s="11">
        <v>0.9</v>
      </c>
      <c r="U569" s="44">
        <f t="shared" si="27"/>
        <v>7.9984642000000022E-2</v>
      </c>
      <c r="V569" s="52">
        <f t="shared" si="28"/>
        <v>23.647310122500002</v>
      </c>
      <c r="W569" s="188">
        <f t="shared" si="29"/>
        <v>1.0685641861346011</v>
      </c>
      <c r="X569" s="192">
        <f t="shared" si="30"/>
        <v>5.7210000000000001</v>
      </c>
      <c r="AA569" s="39" t="str">
        <f t="shared" si="23"/>
        <v>B</v>
      </c>
    </row>
    <row r="570" spans="1:27" x14ac:dyDescent="0.2">
      <c r="A570" s="14" t="s">
        <v>5</v>
      </c>
      <c r="B570" s="2" t="s">
        <v>800</v>
      </c>
      <c r="C570" s="2" t="s">
        <v>393</v>
      </c>
      <c r="D570" s="14">
        <v>8.5</v>
      </c>
      <c r="E570" s="11">
        <v>2.5</v>
      </c>
      <c r="F570" s="11">
        <v>5.83</v>
      </c>
      <c r="G570" s="15">
        <v>3.94</v>
      </c>
      <c r="H570" s="15">
        <v>0.17</v>
      </c>
      <c r="I570" s="14">
        <v>0.19400000000000001</v>
      </c>
      <c r="J570" s="44">
        <f t="shared" si="24"/>
        <v>0.19400000000000001</v>
      </c>
      <c r="K570" s="38">
        <f t="shared" si="26"/>
        <v>10.154639175257731</v>
      </c>
      <c r="L570" s="52">
        <f t="shared" si="31"/>
        <v>32.011764705882349</v>
      </c>
      <c r="M570" s="196">
        <v>14.8</v>
      </c>
      <c r="N570" s="52">
        <v>5.6822218948943908</v>
      </c>
      <c r="O570" s="14">
        <v>5.07</v>
      </c>
      <c r="P570" s="14">
        <v>2.4300000000000002</v>
      </c>
      <c r="Q570" s="14">
        <v>1.89</v>
      </c>
      <c r="R570" s="52">
        <v>1.5681776500000002</v>
      </c>
      <c r="S570" s="14">
        <v>0.96</v>
      </c>
      <c r="T570" s="11">
        <v>0.87</v>
      </c>
      <c r="U570" s="44">
        <f t="shared" si="27"/>
        <v>2.8090483973333337E-2</v>
      </c>
      <c r="V570" s="52">
        <f t="shared" si="28"/>
        <v>15.00872436</v>
      </c>
      <c r="W570" s="188">
        <f t="shared" si="29"/>
        <v>1.0249375792798887</v>
      </c>
      <c r="X570" s="192">
        <f t="shared" si="30"/>
        <v>5.6360000000000001</v>
      </c>
      <c r="AA570" s="39" t="str">
        <f t="shared" si="23"/>
        <v>B</v>
      </c>
    </row>
    <row r="571" spans="1:27" x14ac:dyDescent="0.2">
      <c r="A571" s="14" t="s">
        <v>291</v>
      </c>
      <c r="B571" s="2" t="s">
        <v>801</v>
      </c>
      <c r="C571" s="2" t="s">
        <v>393</v>
      </c>
      <c r="D571" s="14">
        <v>32.6</v>
      </c>
      <c r="E571" s="14">
        <v>9.59</v>
      </c>
      <c r="F571" s="11">
        <v>8</v>
      </c>
      <c r="G571" s="15">
        <v>7.9379999999999997</v>
      </c>
      <c r="H571" s="15">
        <v>0.313</v>
      </c>
      <c r="I571" s="15">
        <v>0.45900000000000002</v>
      </c>
      <c r="J571" s="44">
        <f t="shared" si="24"/>
        <v>0.45900000000000002</v>
      </c>
      <c r="K571" s="38">
        <f t="shared" si="26"/>
        <v>8.6470588235294112</v>
      </c>
      <c r="L571" s="52">
        <f t="shared" si="31"/>
        <v>22.626198083067091</v>
      </c>
      <c r="M571" s="196">
        <v>112.8</v>
      </c>
      <c r="N571" s="52">
        <v>31.68063842285661</v>
      </c>
      <c r="O571" s="14">
        <v>28.2</v>
      </c>
      <c r="P571" s="14">
        <v>3.45</v>
      </c>
      <c r="Q571" s="14">
        <v>34.200000000000003</v>
      </c>
      <c r="R571" s="52">
        <v>14.677797312499997</v>
      </c>
      <c r="S571" s="14">
        <v>8.6</v>
      </c>
      <c r="T571" s="11">
        <v>1.9</v>
      </c>
      <c r="U571" s="44">
        <f t="shared" si="27"/>
        <v>0.58413823185266678</v>
      </c>
      <c r="V571" s="52">
        <f t="shared" si="28"/>
        <v>486.21012255000011</v>
      </c>
      <c r="W571" s="188">
        <f t="shared" si="29"/>
        <v>2.1383952026118074</v>
      </c>
      <c r="X571" s="192">
        <f t="shared" si="30"/>
        <v>7.5410000000000004</v>
      </c>
      <c r="AA571" s="39" t="str">
        <f t="shared" si="23"/>
        <v>M</v>
      </c>
    </row>
    <row r="572" spans="1:27" x14ac:dyDescent="0.2">
      <c r="A572" s="14" t="s">
        <v>394</v>
      </c>
      <c r="B572" s="2" t="s">
        <v>802</v>
      </c>
      <c r="C572" s="2" t="s">
        <v>393</v>
      </c>
      <c r="D572" s="14">
        <v>25</v>
      </c>
      <c r="E572" s="14">
        <v>7.37</v>
      </c>
      <c r="F572" s="11">
        <v>6.37</v>
      </c>
      <c r="G572" s="15">
        <v>6.08</v>
      </c>
      <c r="H572" s="15">
        <v>0.32</v>
      </c>
      <c r="I572" s="15">
        <v>0.45600000000000002</v>
      </c>
      <c r="J572" s="44">
        <f t="shared" si="24"/>
        <v>0.45600000000000002</v>
      </c>
      <c r="K572" s="38">
        <f t="shared" si="26"/>
        <v>6.6666666666666661</v>
      </c>
      <c r="L572" s="52">
        <f t="shared" si="31"/>
        <v>17.056249999999999</v>
      </c>
      <c r="M572" s="196">
        <v>53.5</v>
      </c>
      <c r="N572" s="52">
        <v>18.971814151430024</v>
      </c>
      <c r="O572" s="14">
        <v>16.8</v>
      </c>
      <c r="P572" s="14">
        <v>2.69</v>
      </c>
      <c r="Q572" s="14">
        <v>17.100000000000001</v>
      </c>
      <c r="R572" s="52">
        <v>8.607304000000001</v>
      </c>
      <c r="S572" s="14">
        <v>5.6</v>
      </c>
      <c r="T572" s="11">
        <v>1.52</v>
      </c>
      <c r="U572" s="44">
        <f t="shared" si="27"/>
        <v>0.44394818218666671</v>
      </c>
      <c r="V572" s="52">
        <f t="shared" si="28"/>
        <v>149.51981789999999</v>
      </c>
      <c r="W572" s="188">
        <f t="shared" si="29"/>
        <v>1.7348785465929801</v>
      </c>
      <c r="X572" s="192">
        <f t="shared" si="30"/>
        <v>5.9139999999999997</v>
      </c>
      <c r="AA572" s="39" t="str">
        <f t="shared" si="23"/>
        <v>LWF</v>
      </c>
    </row>
    <row r="573" spans="1:27" x14ac:dyDescent="0.2">
      <c r="A573" s="14" t="s">
        <v>291</v>
      </c>
      <c r="B573" s="2" t="s">
        <v>803</v>
      </c>
      <c r="C573" s="2" t="s">
        <v>393</v>
      </c>
      <c r="D573" s="14">
        <v>25</v>
      </c>
      <c r="E573" s="14">
        <v>7.35</v>
      </c>
      <c r="F573" s="11">
        <v>6</v>
      </c>
      <c r="G573" s="15">
        <v>5.9379999999999997</v>
      </c>
      <c r="H573" s="15">
        <v>0.313</v>
      </c>
      <c r="I573" s="15">
        <v>0.48099999999999998</v>
      </c>
      <c r="J573" s="44">
        <f t="shared" si="24"/>
        <v>0.48099999999999998</v>
      </c>
      <c r="K573" s="38">
        <f t="shared" si="26"/>
        <v>6.1725571725571724</v>
      </c>
      <c r="L573" s="52">
        <f t="shared" si="31"/>
        <v>16.095846645367413</v>
      </c>
      <c r="M573" s="196">
        <v>47</v>
      </c>
      <c r="N573" s="52">
        <v>17.887400259584204</v>
      </c>
      <c r="O573" s="14">
        <v>15.7</v>
      </c>
      <c r="P573" s="14">
        <v>2.5299999999999998</v>
      </c>
      <c r="Q573" s="14">
        <v>14.9</v>
      </c>
      <c r="R573" s="52">
        <v>8.6337594375000002</v>
      </c>
      <c r="S573" s="196">
        <v>5</v>
      </c>
      <c r="T573" s="11">
        <v>1.43</v>
      </c>
      <c r="U573" s="44">
        <f t="shared" si="27"/>
        <v>0.49203437493399993</v>
      </c>
      <c r="V573" s="52">
        <f t="shared" si="28"/>
        <v>113.461119725</v>
      </c>
      <c r="W573" s="188">
        <f t="shared" si="29"/>
        <v>1.6182980365284534</v>
      </c>
      <c r="X573" s="192">
        <f t="shared" si="30"/>
        <v>5.5190000000000001</v>
      </c>
      <c r="AA573" s="39" t="str">
        <f t="shared" si="23"/>
        <v>M</v>
      </c>
    </row>
    <row r="574" spans="1:27" x14ac:dyDescent="0.2">
      <c r="A574" s="14" t="s">
        <v>394</v>
      </c>
      <c r="B574" s="2" t="s">
        <v>804</v>
      </c>
      <c r="C574" s="2" t="s">
        <v>393</v>
      </c>
      <c r="D574" s="14">
        <v>20</v>
      </c>
      <c r="E574" s="11">
        <v>5.9</v>
      </c>
      <c r="F574" s="11">
        <v>6.2</v>
      </c>
      <c r="G574" s="15">
        <v>6.0179999999999998</v>
      </c>
      <c r="H574" s="15">
        <v>0.25800000000000001</v>
      </c>
      <c r="I574" s="15">
        <v>0.36699999999999999</v>
      </c>
      <c r="J574" s="44">
        <f t="shared" si="24"/>
        <v>0.36699999999999999</v>
      </c>
      <c r="K574" s="38">
        <f t="shared" si="26"/>
        <v>8.1989100817438683</v>
      </c>
      <c r="L574" s="52">
        <f t="shared" si="31"/>
        <v>21.186046511627907</v>
      </c>
      <c r="M574" s="196">
        <v>41.7</v>
      </c>
      <c r="N574" s="52">
        <v>14.988636379319423</v>
      </c>
      <c r="O574" s="14">
        <v>13.4</v>
      </c>
      <c r="P574" s="14">
        <v>2.66</v>
      </c>
      <c r="Q574" s="14">
        <v>13.3</v>
      </c>
      <c r="R574" s="52">
        <v>6.7729351600000003</v>
      </c>
      <c r="S574" s="196">
        <v>4.4000000000000004</v>
      </c>
      <c r="T574" s="11">
        <v>1.5</v>
      </c>
      <c r="U574" s="44">
        <f t="shared" si="27"/>
        <v>0.22960676122000001</v>
      </c>
      <c r="V574" s="52">
        <f t="shared" si="28"/>
        <v>113.12943092500002</v>
      </c>
      <c r="W574" s="188">
        <f t="shared" si="29"/>
        <v>1.7013920990256379</v>
      </c>
      <c r="X574" s="192">
        <f t="shared" si="30"/>
        <v>5.8330000000000002</v>
      </c>
      <c r="AA574" s="39" t="str">
        <f t="shared" si="23"/>
        <v>LWF</v>
      </c>
    </row>
    <row r="575" spans="1:27" x14ac:dyDescent="0.2">
      <c r="A575" s="14" t="s">
        <v>394</v>
      </c>
      <c r="B575" s="2" t="s">
        <v>805</v>
      </c>
      <c r="C575" s="2" t="s">
        <v>393</v>
      </c>
      <c r="D575" s="14">
        <v>15.5</v>
      </c>
      <c r="E575" s="11">
        <v>4.62</v>
      </c>
      <c r="F575" s="11">
        <v>6</v>
      </c>
      <c r="G575" s="15">
        <v>6</v>
      </c>
      <c r="H575" s="15">
        <v>0.24</v>
      </c>
      <c r="I575" s="15">
        <v>0.26900000000000002</v>
      </c>
      <c r="J575" s="44">
        <f t="shared" si="24"/>
        <v>0.26900000000000002</v>
      </c>
      <c r="K575" s="38">
        <f t="shared" si="26"/>
        <v>11.152416356877323</v>
      </c>
      <c r="L575" s="52">
        <f t="shared" si="31"/>
        <v>22.758333333333333</v>
      </c>
      <c r="M575" s="196">
        <v>30.3</v>
      </c>
      <c r="N575" s="52">
        <v>11.238275107990294</v>
      </c>
      <c r="O575" s="14">
        <v>10.1</v>
      </c>
      <c r="P575" s="14">
        <v>2.56</v>
      </c>
      <c r="Q575" s="14">
        <v>9.69</v>
      </c>
      <c r="R575" s="52">
        <v>4.9612128000000011</v>
      </c>
      <c r="S575" s="196">
        <v>3.2</v>
      </c>
      <c r="T575" s="11">
        <v>1.45</v>
      </c>
      <c r="U575" s="44">
        <f t="shared" si="27"/>
        <v>0.10302933200000002</v>
      </c>
      <c r="V575" s="52">
        <f t="shared" si="28"/>
        <v>79.565464522499994</v>
      </c>
      <c r="W575" s="188">
        <f t="shared" si="29"/>
        <v>1.6580644507293065</v>
      </c>
      <c r="X575" s="192">
        <f t="shared" si="30"/>
        <v>5.7309999999999999</v>
      </c>
      <c r="AA575" s="39" t="str">
        <f t="shared" si="23"/>
        <v>LWF</v>
      </c>
    </row>
    <row r="576" spans="1:27" x14ac:dyDescent="0.2">
      <c r="A576" s="14" t="s">
        <v>394</v>
      </c>
      <c r="B576" s="2" t="s">
        <v>806</v>
      </c>
      <c r="C576" s="2" t="s">
        <v>393</v>
      </c>
      <c r="D576" s="14">
        <v>18.5</v>
      </c>
      <c r="E576" s="11">
        <v>5.45</v>
      </c>
      <c r="F576" s="11">
        <v>5.12</v>
      </c>
      <c r="G576" s="15">
        <v>5.0250000000000004</v>
      </c>
      <c r="H576" s="15">
        <v>0.26500000000000001</v>
      </c>
      <c r="I576" s="15">
        <v>0.42</v>
      </c>
      <c r="J576" s="44">
        <f t="shared" si="24"/>
        <v>0.42</v>
      </c>
      <c r="K576" s="38">
        <f t="shared" si="26"/>
        <v>5.9821428571428577</v>
      </c>
      <c r="L576" s="52">
        <f t="shared" si="31"/>
        <v>16.150943396226417</v>
      </c>
      <c r="M576" s="196">
        <v>25.4</v>
      </c>
      <c r="N576" s="52">
        <v>11.306627451012428</v>
      </c>
      <c r="O576" s="14">
        <v>9.94</v>
      </c>
      <c r="P576" s="14">
        <v>2.16</v>
      </c>
      <c r="Q576" s="14">
        <v>8.89</v>
      </c>
      <c r="R576" s="52">
        <v>5.4251719999999999</v>
      </c>
      <c r="S576" s="196">
        <v>3.5</v>
      </c>
      <c r="T576" s="14">
        <v>1.28</v>
      </c>
      <c r="U576" s="44">
        <f t="shared" si="27"/>
        <v>0.27474453166666662</v>
      </c>
      <c r="V576" s="52">
        <f t="shared" si="28"/>
        <v>49.095025000000014</v>
      </c>
      <c r="W576" s="188">
        <f t="shared" si="29"/>
        <v>1.449744999432756</v>
      </c>
      <c r="X576" s="192">
        <f t="shared" si="30"/>
        <v>4.7</v>
      </c>
      <c r="AA576" s="39" t="str">
        <f t="shared" si="23"/>
        <v>LWF</v>
      </c>
    </row>
    <row r="577" spans="1:27" x14ac:dyDescent="0.2">
      <c r="A577" s="14" t="s">
        <v>394</v>
      </c>
      <c r="B577" s="2" t="s">
        <v>807</v>
      </c>
      <c r="C577" s="2" t="s">
        <v>393</v>
      </c>
      <c r="D577" s="14">
        <v>16</v>
      </c>
      <c r="E577" s="11">
        <v>4.7</v>
      </c>
      <c r="F577" s="11">
        <v>5</v>
      </c>
      <c r="G577" s="15">
        <v>5</v>
      </c>
      <c r="H577" s="15">
        <v>0.24</v>
      </c>
      <c r="I577" s="15">
        <v>0.36</v>
      </c>
      <c r="J577" s="44">
        <f t="shared" si="24"/>
        <v>0.36</v>
      </c>
      <c r="K577" s="38">
        <f t="shared" si="26"/>
        <v>6.9444444444444446</v>
      </c>
      <c r="L577" s="52">
        <f t="shared" si="31"/>
        <v>17.833333333333336</v>
      </c>
      <c r="M577" s="196">
        <v>21.3</v>
      </c>
      <c r="N577" s="52">
        <v>9.5872534861079277</v>
      </c>
      <c r="O577" s="14">
        <v>8.5299999999999994</v>
      </c>
      <c r="P577" s="14">
        <v>2.13</v>
      </c>
      <c r="Q577" s="14">
        <v>7.51</v>
      </c>
      <c r="R577" s="52">
        <v>4.5980319999999999</v>
      </c>
      <c r="S577" s="196">
        <v>3</v>
      </c>
      <c r="T577" s="14">
        <v>1.26</v>
      </c>
      <c r="U577" s="44">
        <f t="shared" si="27"/>
        <v>0.17524223999999999</v>
      </c>
      <c r="V577" s="52">
        <f t="shared" si="28"/>
        <v>40.421823999999994</v>
      </c>
      <c r="W577" s="188">
        <f t="shared" si="29"/>
        <v>1.4291882774755824</v>
      </c>
      <c r="X577" s="192">
        <f t="shared" si="30"/>
        <v>4.6399999999999997</v>
      </c>
      <c r="AA577" s="39" t="str">
        <f t="shared" si="23"/>
        <v>LWF</v>
      </c>
    </row>
    <row r="578" spans="1:27" x14ac:dyDescent="0.2">
      <c r="A578" s="14" t="s">
        <v>394</v>
      </c>
      <c r="B578" s="2" t="s">
        <v>808</v>
      </c>
      <c r="C578" s="2" t="s">
        <v>393</v>
      </c>
      <c r="D578" s="14">
        <v>13</v>
      </c>
      <c r="E578" s="14">
        <v>3.82</v>
      </c>
      <c r="F578" s="11">
        <v>4.16</v>
      </c>
      <c r="G578" s="15">
        <v>4.0599999999999996</v>
      </c>
      <c r="H578" s="15">
        <v>0.28000000000000003</v>
      </c>
      <c r="I578" s="15">
        <v>0.34499999999999997</v>
      </c>
      <c r="J578" s="44">
        <f t="shared" si="24"/>
        <v>0.34499999999999997</v>
      </c>
      <c r="K578" s="38">
        <f t="shared" si="26"/>
        <v>5.8840579710144922</v>
      </c>
      <c r="L578" s="52">
        <f t="shared" si="31"/>
        <v>12.392857142857142</v>
      </c>
      <c r="M578" s="196">
        <v>11.3</v>
      </c>
      <c r="N578" s="52">
        <v>6.2578891428073211</v>
      </c>
      <c r="O578" s="14">
        <v>5.45</v>
      </c>
      <c r="P578" s="14">
        <v>1.72</v>
      </c>
      <c r="Q578" s="14">
        <v>3.76</v>
      </c>
      <c r="R578" s="52">
        <v>2.9349329999999991</v>
      </c>
      <c r="S578" s="14">
        <v>1.9</v>
      </c>
      <c r="T578" s="14">
        <v>0.99</v>
      </c>
      <c r="U578" s="44">
        <f t="shared" si="27"/>
        <v>0.13653669166666665</v>
      </c>
      <c r="V578" s="52">
        <f t="shared" si="28"/>
        <v>13.680971500000002</v>
      </c>
      <c r="W578" s="188">
        <f t="shared" si="29"/>
        <v>1.147170431975999</v>
      </c>
      <c r="X578" s="192">
        <f t="shared" si="30"/>
        <v>3.8150000000000004</v>
      </c>
      <c r="AA578" s="39" t="str">
        <f t="shared" si="23"/>
        <v>LWF</v>
      </c>
    </row>
    <row r="579" spans="1:27" x14ac:dyDescent="0.2">
      <c r="A579" s="14" t="s">
        <v>395</v>
      </c>
      <c r="B579" s="2" t="s">
        <v>809</v>
      </c>
      <c r="C579" s="2" t="s">
        <v>393</v>
      </c>
      <c r="D579" s="14">
        <v>11.8</v>
      </c>
      <c r="E579" s="14">
        <v>3.45</v>
      </c>
      <c r="F579" s="11">
        <v>12</v>
      </c>
      <c r="G579" s="15">
        <v>3.0630000000000002</v>
      </c>
      <c r="H579" s="15">
        <v>0.17499999999999999</v>
      </c>
      <c r="I579" s="15">
        <v>0.22500000000000001</v>
      </c>
      <c r="J579" s="44">
        <f t="shared" si="24"/>
        <v>0.22500000000000001</v>
      </c>
      <c r="K579" s="38">
        <f t="shared" ref="K579:K605" si="32">G579/(2*I579)</f>
        <v>6.8066666666666666</v>
      </c>
      <c r="L579" s="52">
        <f t="shared" si="31"/>
        <v>66.000000000000014</v>
      </c>
      <c r="M579" s="196">
        <v>72.2</v>
      </c>
      <c r="N579" s="52">
        <v>14.231140228062397</v>
      </c>
      <c r="O579" s="196">
        <v>12</v>
      </c>
      <c r="P579" s="14">
        <v>4.57</v>
      </c>
      <c r="Q579" s="14">
        <v>0.98</v>
      </c>
      <c r="R579" s="52">
        <v>1.1691012000000001</v>
      </c>
      <c r="S579" s="14">
        <v>0.64</v>
      </c>
      <c r="T579" s="14">
        <v>0.53</v>
      </c>
      <c r="U579" s="44">
        <f t="shared" ref="U579:U605" si="33">(((F579-2*I579)*H579^3)/3)+2*((G579*I579^3)/3)</f>
        <v>4.3893250000000002E-2</v>
      </c>
      <c r="V579" s="52">
        <f t="shared" ref="V579:V605" si="34">(Q579*X579^2)/4</f>
        <v>33.969403125000007</v>
      </c>
      <c r="W579" s="188">
        <f t="shared" si="29"/>
        <v>0.69340644646556326</v>
      </c>
      <c r="X579" s="192">
        <f t="shared" si="30"/>
        <v>11.775</v>
      </c>
      <c r="AA579" s="39" t="str">
        <f t="shared" si="23"/>
        <v>JR</v>
      </c>
    </row>
    <row r="580" spans="1:27" x14ac:dyDescent="0.2">
      <c r="A580" s="14" t="s">
        <v>395</v>
      </c>
      <c r="B580" s="2" t="s">
        <v>810</v>
      </c>
      <c r="C580" s="2" t="s">
        <v>393</v>
      </c>
      <c r="D580" s="14">
        <v>9</v>
      </c>
      <c r="E580" s="14">
        <v>2.64</v>
      </c>
      <c r="F580" s="11">
        <v>10</v>
      </c>
      <c r="G580" s="15">
        <v>2.6880000000000002</v>
      </c>
      <c r="H580" s="15">
        <v>0.155</v>
      </c>
      <c r="I580" s="15">
        <v>0.20599999999999999</v>
      </c>
      <c r="J580" s="44">
        <f t="shared" si="24"/>
        <v>0.20599999999999999</v>
      </c>
      <c r="K580" s="38">
        <f t="shared" si="32"/>
        <v>6.5242718446601948</v>
      </c>
      <c r="L580" s="52">
        <f t="shared" si="31"/>
        <v>61.858064516129026</v>
      </c>
      <c r="M580" s="196">
        <v>39</v>
      </c>
      <c r="N580" s="52">
        <v>9.1979542296505539</v>
      </c>
      <c r="O580" s="14">
        <v>7.8</v>
      </c>
      <c r="P580" s="14">
        <v>3.85</v>
      </c>
      <c r="Q580" s="14">
        <v>0.61</v>
      </c>
      <c r="R580" s="52">
        <v>0.82500035700000018</v>
      </c>
      <c r="S580" s="14">
        <v>0.45</v>
      </c>
      <c r="T580" s="14">
        <v>0.48</v>
      </c>
      <c r="U580" s="44">
        <f t="shared" si="33"/>
        <v>2.7566838771999998E-2</v>
      </c>
      <c r="V580" s="52">
        <f t="shared" si="34"/>
        <v>14.62817149</v>
      </c>
      <c r="W580" s="188">
        <f t="shared" si="29"/>
        <v>0.61884611400614997</v>
      </c>
      <c r="X580" s="192">
        <f t="shared" si="30"/>
        <v>9.7940000000000005</v>
      </c>
      <c r="AA580" s="39" t="str">
        <f t="shared" ref="AA580:AA643" si="35">A580</f>
        <v>JR</v>
      </c>
    </row>
    <row r="581" spans="1:27" x14ac:dyDescent="0.2">
      <c r="A581" s="14" t="s">
        <v>395</v>
      </c>
      <c r="B581" s="2" t="s">
        <v>811</v>
      </c>
      <c r="C581" s="2" t="s">
        <v>393</v>
      </c>
      <c r="D581" s="14">
        <v>6.5</v>
      </c>
      <c r="E581" s="14">
        <v>1.92</v>
      </c>
      <c r="F581" s="11">
        <v>8</v>
      </c>
      <c r="G581" s="15">
        <v>2.2810000000000001</v>
      </c>
      <c r="H581" s="15">
        <v>0.13500000000000001</v>
      </c>
      <c r="I581" s="15">
        <v>0.189</v>
      </c>
      <c r="J581" s="44">
        <f t="shared" si="24"/>
        <v>0.189</v>
      </c>
      <c r="K581" s="38">
        <f t="shared" si="32"/>
        <v>6.0343915343915349</v>
      </c>
      <c r="L581" s="52">
        <f t="shared" si="31"/>
        <v>56.459259259259255</v>
      </c>
      <c r="M581" s="196">
        <v>18.7</v>
      </c>
      <c r="N581" s="52">
        <v>5.4330066889089679</v>
      </c>
      <c r="O581" s="14">
        <v>4.7</v>
      </c>
      <c r="P581" s="14">
        <v>3.12</v>
      </c>
      <c r="Q581" s="14">
        <v>0.34</v>
      </c>
      <c r="R581" s="52">
        <v>0.54081355199999992</v>
      </c>
      <c r="S581" s="11">
        <v>0.3</v>
      </c>
      <c r="T581" s="14">
        <v>0.42</v>
      </c>
      <c r="U581" s="44">
        <f t="shared" si="33"/>
        <v>1.6517422476000004E-2</v>
      </c>
      <c r="V581" s="52">
        <f t="shared" si="34"/>
        <v>5.1859962850000008</v>
      </c>
      <c r="W581" s="188">
        <f t="shared" si="29"/>
        <v>0.53153130849922059</v>
      </c>
      <c r="X581" s="192">
        <f t="shared" si="30"/>
        <v>7.8109999999999999</v>
      </c>
      <c r="AA581" s="39" t="str">
        <f t="shared" si="35"/>
        <v>JR</v>
      </c>
    </row>
    <row r="582" spans="1:27" x14ac:dyDescent="0.2">
      <c r="A582" s="14" t="s">
        <v>395</v>
      </c>
      <c r="B582" s="2" t="s">
        <v>812</v>
      </c>
      <c r="C582" s="2" t="s">
        <v>393</v>
      </c>
      <c r="D582" s="14">
        <v>5.5</v>
      </c>
      <c r="E582" s="14">
        <v>1.61</v>
      </c>
      <c r="F582" s="11">
        <v>7</v>
      </c>
      <c r="G582" s="15">
        <v>2.0779999999999998</v>
      </c>
      <c r="H582" s="15">
        <v>0.126</v>
      </c>
      <c r="I582" s="15">
        <v>0.18</v>
      </c>
      <c r="J582" s="44">
        <f t="shared" si="24"/>
        <v>0.18</v>
      </c>
      <c r="K582" s="38">
        <f t="shared" si="32"/>
        <v>5.7722222222222221</v>
      </c>
      <c r="L582" s="52">
        <f t="shared" si="31"/>
        <v>52.698412698412696</v>
      </c>
      <c r="M582" s="196">
        <v>12.1</v>
      </c>
      <c r="N582" s="52">
        <v>4.0196853594976414</v>
      </c>
      <c r="O582" s="14">
        <v>3.5</v>
      </c>
      <c r="P582" s="14">
        <v>2.74</v>
      </c>
      <c r="Q582" s="14">
        <v>0.25</v>
      </c>
      <c r="R582" s="52">
        <v>0.42762171999999993</v>
      </c>
      <c r="S582" s="14">
        <v>0.24</v>
      </c>
      <c r="T582" s="14">
        <v>0.39</v>
      </c>
      <c r="U582" s="44">
        <f t="shared" si="33"/>
        <v>1.2506762880000001E-2</v>
      </c>
      <c r="V582" s="52">
        <f t="shared" si="34"/>
        <v>2.9070250000000004</v>
      </c>
      <c r="W582" s="188">
        <f t="shared" si="29"/>
        <v>0.49352956200356285</v>
      </c>
      <c r="X582" s="192">
        <f t="shared" si="30"/>
        <v>6.82</v>
      </c>
      <c r="AA582" s="39" t="str">
        <f t="shared" si="35"/>
        <v>JR</v>
      </c>
    </row>
    <row r="583" spans="1:27" x14ac:dyDescent="0.2">
      <c r="A583" s="14" t="s">
        <v>395</v>
      </c>
      <c r="B583" s="2" t="s">
        <v>813</v>
      </c>
      <c r="C583" s="2" t="s">
        <v>393</v>
      </c>
      <c r="D583" s="14">
        <v>4.4000000000000004</v>
      </c>
      <c r="E583" s="11">
        <v>1.3</v>
      </c>
      <c r="F583" s="11">
        <v>6</v>
      </c>
      <c r="G583" s="15">
        <v>1.8440000000000001</v>
      </c>
      <c r="H583" s="15">
        <v>0.114</v>
      </c>
      <c r="I583" s="15">
        <v>0.17100000000000001</v>
      </c>
      <c r="J583" s="44">
        <f t="shared" si="24"/>
        <v>0.17100000000000001</v>
      </c>
      <c r="K583" s="38">
        <f t="shared" si="32"/>
        <v>5.3918128654970756</v>
      </c>
      <c r="L583" s="52">
        <f t="shared" si="31"/>
        <v>49.631578947368425</v>
      </c>
      <c r="M583" s="196">
        <v>7.3</v>
      </c>
      <c r="N583" s="52">
        <v>2.8154535779615379</v>
      </c>
      <c r="O583" s="14">
        <v>2.4</v>
      </c>
      <c r="P583" s="14">
        <v>2.37</v>
      </c>
      <c r="Q583" s="14">
        <v>0.17</v>
      </c>
      <c r="R583" s="52">
        <v>0.32128157000000002</v>
      </c>
      <c r="S583" s="14">
        <v>0.18</v>
      </c>
      <c r="T583" s="14">
        <v>0.36</v>
      </c>
      <c r="U583" s="44">
        <f t="shared" si="33"/>
        <v>8.9411180400000012E-3</v>
      </c>
      <c r="V583" s="52">
        <f t="shared" si="34"/>
        <v>1.4440327425000001</v>
      </c>
      <c r="W583" s="188">
        <f t="shared" si="29"/>
        <v>0.4543608147716966</v>
      </c>
      <c r="X583" s="192">
        <f t="shared" si="30"/>
        <v>5.8289999999999997</v>
      </c>
      <c r="AA583" s="39" t="str">
        <f t="shared" si="35"/>
        <v>JR</v>
      </c>
    </row>
    <row r="584" spans="1:27" x14ac:dyDescent="0.2">
      <c r="A584" s="14" t="s">
        <v>397</v>
      </c>
      <c r="B584" s="2" t="s">
        <v>814</v>
      </c>
      <c r="C584" s="14" t="s">
        <v>396</v>
      </c>
      <c r="D584" s="14">
        <v>25</v>
      </c>
      <c r="E584" s="14">
        <v>7.37</v>
      </c>
      <c r="F584" s="14">
        <v>6.37</v>
      </c>
      <c r="G584" s="15">
        <v>6.08</v>
      </c>
      <c r="H584" s="15">
        <v>0.32</v>
      </c>
      <c r="I584" s="14">
        <v>0.45600000000000002</v>
      </c>
      <c r="J584" s="44">
        <f t="shared" si="24"/>
        <v>0.45600000000000002</v>
      </c>
      <c r="K584" s="38">
        <f t="shared" si="32"/>
        <v>6.6666666666666661</v>
      </c>
      <c r="L584" s="52">
        <f t="shared" si="31"/>
        <v>17.056249999999999</v>
      </c>
      <c r="M584" s="14">
        <v>53.5</v>
      </c>
      <c r="N584" s="52">
        <v>18.971814151430024</v>
      </c>
      <c r="O584" s="14">
        <v>16.8</v>
      </c>
      <c r="P584" s="14">
        <v>2.69</v>
      </c>
      <c r="Q584" s="14">
        <v>17.100000000000001</v>
      </c>
      <c r="R584" s="52">
        <v>8.607304000000001</v>
      </c>
      <c r="S584" s="14">
        <v>5.6</v>
      </c>
      <c r="T584" s="14">
        <v>1.52</v>
      </c>
      <c r="U584" s="44">
        <f t="shared" si="33"/>
        <v>0.44394818218666671</v>
      </c>
      <c r="V584" s="52">
        <f t="shared" si="34"/>
        <v>149.51981789999999</v>
      </c>
      <c r="W584" s="188">
        <f t="shared" si="29"/>
        <v>1.7348785465929801</v>
      </c>
      <c r="X584" s="192">
        <f t="shared" si="30"/>
        <v>5.9139999999999997</v>
      </c>
      <c r="AA584" s="39" t="str">
        <f t="shared" si="35"/>
        <v>BWF</v>
      </c>
    </row>
    <row r="585" spans="1:27" x14ac:dyDescent="0.2">
      <c r="A585" s="14" t="s">
        <v>397</v>
      </c>
      <c r="B585" s="2" t="s">
        <v>815</v>
      </c>
      <c r="C585" s="14" t="s">
        <v>396</v>
      </c>
      <c r="D585" s="14">
        <v>20</v>
      </c>
      <c r="E585" s="11">
        <v>5.9</v>
      </c>
      <c r="F585" s="11">
        <v>6.2</v>
      </c>
      <c r="G585" s="15">
        <v>6.0179999999999998</v>
      </c>
      <c r="H585" s="15">
        <v>0.25800000000000001</v>
      </c>
      <c r="I585" s="14">
        <v>0.36699999999999999</v>
      </c>
      <c r="J585" s="44">
        <f t="shared" si="24"/>
        <v>0.36699999999999999</v>
      </c>
      <c r="K585" s="38">
        <f t="shared" si="32"/>
        <v>8.1989100817438683</v>
      </c>
      <c r="L585" s="52">
        <f t="shared" si="31"/>
        <v>21.186046511627907</v>
      </c>
      <c r="M585" s="14">
        <v>41.7</v>
      </c>
      <c r="N585" s="52">
        <v>14.988636379319423</v>
      </c>
      <c r="O585" s="14">
        <v>13.4</v>
      </c>
      <c r="P585" s="14">
        <v>2.66</v>
      </c>
      <c r="Q585" s="14">
        <v>13.3</v>
      </c>
      <c r="R585" s="52">
        <v>6.7729351600000003</v>
      </c>
      <c r="S585" s="14">
        <v>4.4000000000000004</v>
      </c>
      <c r="T585" s="11">
        <v>1.5</v>
      </c>
      <c r="U585" s="44">
        <f t="shared" si="33"/>
        <v>0.22960676122000001</v>
      </c>
      <c r="V585" s="52">
        <f t="shared" si="34"/>
        <v>113.12943092500002</v>
      </c>
      <c r="W585" s="188">
        <f t="shared" si="29"/>
        <v>1.7013920990256379</v>
      </c>
      <c r="X585" s="192">
        <f t="shared" si="30"/>
        <v>5.8330000000000002</v>
      </c>
      <c r="AA585" s="39" t="str">
        <f t="shared" si="35"/>
        <v>BWF</v>
      </c>
    </row>
    <row r="586" spans="1:27" x14ac:dyDescent="0.2">
      <c r="A586" s="14" t="s">
        <v>397</v>
      </c>
      <c r="B586" s="2" t="s">
        <v>816</v>
      </c>
      <c r="C586" s="14" t="s">
        <v>396</v>
      </c>
      <c r="D586" s="14">
        <v>15.5</v>
      </c>
      <c r="E586" s="11">
        <v>4.62</v>
      </c>
      <c r="F586" s="11">
        <v>6</v>
      </c>
      <c r="G586" s="15">
        <v>6</v>
      </c>
      <c r="H586" s="15">
        <v>0.24</v>
      </c>
      <c r="I586" s="14">
        <v>0.26900000000000002</v>
      </c>
      <c r="J586" s="44">
        <f t="shared" si="24"/>
        <v>0.26900000000000002</v>
      </c>
      <c r="K586" s="38">
        <f t="shared" si="32"/>
        <v>11.152416356877323</v>
      </c>
      <c r="L586" s="52">
        <f t="shared" si="31"/>
        <v>22.758333333333333</v>
      </c>
      <c r="M586" s="14">
        <v>30.3</v>
      </c>
      <c r="N586" s="52">
        <v>11.238275107990294</v>
      </c>
      <c r="O586" s="14">
        <v>10.1</v>
      </c>
      <c r="P586" s="14">
        <v>2.56</v>
      </c>
      <c r="Q586" s="14">
        <v>9.69</v>
      </c>
      <c r="R586" s="52">
        <v>4.9612128000000011</v>
      </c>
      <c r="S586" s="14">
        <v>3.2</v>
      </c>
      <c r="T586" s="14">
        <v>1.45</v>
      </c>
      <c r="U586" s="44">
        <f t="shared" si="33"/>
        <v>0.10302933200000002</v>
      </c>
      <c r="V586" s="52">
        <f t="shared" si="34"/>
        <v>79.565464522499994</v>
      </c>
      <c r="W586" s="188">
        <f t="shared" si="29"/>
        <v>1.6580644507293065</v>
      </c>
      <c r="X586" s="192">
        <f t="shared" si="30"/>
        <v>5.7309999999999999</v>
      </c>
      <c r="AA586" s="39" t="str">
        <f t="shared" si="35"/>
        <v>BWF</v>
      </c>
    </row>
    <row r="587" spans="1:27" x14ac:dyDescent="0.2">
      <c r="A587" s="14" t="s">
        <v>397</v>
      </c>
      <c r="B587" s="2" t="s">
        <v>817</v>
      </c>
      <c r="C587" s="14" t="s">
        <v>396</v>
      </c>
      <c r="D587" s="14">
        <v>18.5</v>
      </c>
      <c r="E587" s="11">
        <v>5.45</v>
      </c>
      <c r="F587" s="11">
        <v>5.12</v>
      </c>
      <c r="G587" s="15">
        <v>5.0250000000000004</v>
      </c>
      <c r="H587" s="15">
        <v>0.26500000000000001</v>
      </c>
      <c r="I587" s="15">
        <v>0.42</v>
      </c>
      <c r="J587" s="44">
        <f t="shared" si="24"/>
        <v>0.42</v>
      </c>
      <c r="K587" s="38">
        <f t="shared" si="32"/>
        <v>5.9821428571428577</v>
      </c>
      <c r="L587" s="52">
        <f t="shared" si="31"/>
        <v>16.150943396226417</v>
      </c>
      <c r="M587" s="14">
        <v>25.4</v>
      </c>
      <c r="N587" s="52">
        <v>11.306627451012428</v>
      </c>
      <c r="O587" s="14">
        <v>9.94</v>
      </c>
      <c r="P587" s="14">
        <v>2.16</v>
      </c>
      <c r="Q587" s="14">
        <v>8.89</v>
      </c>
      <c r="R587" s="52">
        <v>5.4251719999999999</v>
      </c>
      <c r="S587" s="14">
        <v>3.54</v>
      </c>
      <c r="T587" s="14">
        <v>1.28</v>
      </c>
      <c r="U587" s="44">
        <f t="shared" si="33"/>
        <v>0.27474453166666662</v>
      </c>
      <c r="V587" s="52">
        <f t="shared" si="34"/>
        <v>49.095025000000014</v>
      </c>
      <c r="W587" s="188">
        <f t="shared" si="29"/>
        <v>1.449744999432756</v>
      </c>
      <c r="X587" s="192">
        <f t="shared" si="30"/>
        <v>4.7</v>
      </c>
      <c r="AA587" s="39" t="str">
        <f t="shared" si="35"/>
        <v>BWF</v>
      </c>
    </row>
    <row r="588" spans="1:27" x14ac:dyDescent="0.2">
      <c r="A588" s="14" t="s">
        <v>397</v>
      </c>
      <c r="B588" s="2" t="s">
        <v>818</v>
      </c>
      <c r="C588" s="14" t="s">
        <v>396</v>
      </c>
      <c r="D588" s="14">
        <v>16</v>
      </c>
      <c r="E588" s="11">
        <v>4.7</v>
      </c>
      <c r="F588" s="11">
        <v>5</v>
      </c>
      <c r="G588" s="15">
        <v>5</v>
      </c>
      <c r="H588" s="15">
        <v>0.24</v>
      </c>
      <c r="I588" s="15">
        <v>0.36</v>
      </c>
      <c r="J588" s="44">
        <f t="shared" si="24"/>
        <v>0.36</v>
      </c>
      <c r="K588" s="38">
        <f t="shared" si="32"/>
        <v>6.9444444444444446</v>
      </c>
      <c r="L588" s="52">
        <f t="shared" si="31"/>
        <v>17.833333333333336</v>
      </c>
      <c r="M588" s="14">
        <v>21.3</v>
      </c>
      <c r="N588" s="52">
        <v>9.5872534861079277</v>
      </c>
      <c r="O588" s="14">
        <v>8.5299999999999994</v>
      </c>
      <c r="P588" s="14">
        <v>2.13</v>
      </c>
      <c r="Q588" s="14">
        <v>7.51</v>
      </c>
      <c r="R588" s="52">
        <v>4.5980319999999999</v>
      </c>
      <c r="S588" s="11">
        <v>3</v>
      </c>
      <c r="T588" s="14">
        <v>1.26</v>
      </c>
      <c r="U588" s="44">
        <f t="shared" si="33"/>
        <v>0.17524223999999999</v>
      </c>
      <c r="V588" s="52">
        <f t="shared" si="34"/>
        <v>40.421823999999994</v>
      </c>
      <c r="W588" s="188">
        <f t="shared" si="29"/>
        <v>1.4291882774755824</v>
      </c>
      <c r="X588" s="192">
        <f t="shared" si="30"/>
        <v>4.6399999999999997</v>
      </c>
      <c r="AA588" s="39" t="str">
        <f t="shared" si="35"/>
        <v>BWF</v>
      </c>
    </row>
    <row r="589" spans="1:27" x14ac:dyDescent="0.2">
      <c r="A589" s="14" t="s">
        <v>397</v>
      </c>
      <c r="B589" s="2" t="s">
        <v>819</v>
      </c>
      <c r="C589" s="14" t="s">
        <v>396</v>
      </c>
      <c r="D589" s="14">
        <v>13</v>
      </c>
      <c r="E589" s="14">
        <v>3.82</v>
      </c>
      <c r="F589" s="14">
        <v>4.16</v>
      </c>
      <c r="G589" s="15">
        <v>4.0599999999999996</v>
      </c>
      <c r="H589" s="15">
        <v>0.28000000000000003</v>
      </c>
      <c r="I589" s="14">
        <v>0.34499999999999997</v>
      </c>
      <c r="J589" s="44">
        <f t="shared" si="24"/>
        <v>0.34499999999999997</v>
      </c>
      <c r="K589" s="38">
        <f t="shared" si="32"/>
        <v>5.8840579710144922</v>
      </c>
      <c r="L589" s="52">
        <f t="shared" si="31"/>
        <v>12.392857142857142</v>
      </c>
      <c r="M589" s="14">
        <v>11.3</v>
      </c>
      <c r="N589" s="52">
        <v>6.2578891428073211</v>
      </c>
      <c r="O589" s="14">
        <v>5.45</v>
      </c>
      <c r="P589" s="14">
        <v>1.72</v>
      </c>
      <c r="Q589" s="14">
        <v>3.76</v>
      </c>
      <c r="R589" s="52">
        <v>2.9349329999999991</v>
      </c>
      <c r="S589" s="14">
        <v>1.85</v>
      </c>
      <c r="T589" s="14">
        <v>0.99</v>
      </c>
      <c r="U589" s="44">
        <f t="shared" si="33"/>
        <v>0.13653669166666665</v>
      </c>
      <c r="V589" s="52">
        <f t="shared" si="34"/>
        <v>13.680971500000002</v>
      </c>
      <c r="W589" s="188">
        <f t="shared" si="29"/>
        <v>1.147170431975999</v>
      </c>
      <c r="X589" s="192">
        <f t="shared" si="30"/>
        <v>3.8150000000000004</v>
      </c>
      <c r="AA589" s="39" t="str">
        <f t="shared" si="35"/>
        <v>BWF</v>
      </c>
    </row>
    <row r="590" spans="1:27" x14ac:dyDescent="0.2">
      <c r="A590" s="14" t="s">
        <v>397</v>
      </c>
      <c r="B590" s="2" t="s">
        <v>820</v>
      </c>
      <c r="C590" s="14" t="s">
        <v>396</v>
      </c>
      <c r="D590" s="14">
        <v>10</v>
      </c>
      <c r="E590" s="14">
        <v>2.93</v>
      </c>
      <c r="F590" s="11">
        <v>4</v>
      </c>
      <c r="G590" s="15">
        <v>4</v>
      </c>
      <c r="H590" s="15">
        <v>0.22</v>
      </c>
      <c r="I590" s="14">
        <v>0.26500000000000001</v>
      </c>
      <c r="J590" s="44">
        <f t="shared" si="24"/>
        <v>0.26500000000000001</v>
      </c>
      <c r="K590" s="38">
        <f t="shared" si="32"/>
        <v>7.5471698113207539</v>
      </c>
      <c r="L590" s="52">
        <f t="shared" si="31"/>
        <v>15.772727272727272</v>
      </c>
      <c r="M590" s="14">
        <v>8.31</v>
      </c>
      <c r="N590" s="52">
        <v>4.6921409425544667</v>
      </c>
      <c r="O590" s="14">
        <v>4.16</v>
      </c>
      <c r="P590" s="14">
        <v>1.68</v>
      </c>
      <c r="Q590" s="14">
        <v>2.74</v>
      </c>
      <c r="R590" s="52">
        <v>2.1852869999999998</v>
      </c>
      <c r="S590" s="14">
        <v>1.37</v>
      </c>
      <c r="T590" s="14">
        <v>0.97</v>
      </c>
      <c r="U590" s="44">
        <f t="shared" si="33"/>
        <v>6.1941853333333345E-2</v>
      </c>
      <c r="V590" s="52">
        <f t="shared" si="34"/>
        <v>9.5559041249999996</v>
      </c>
      <c r="W590" s="188">
        <f t="shared" si="29"/>
        <v>1.109069906584931</v>
      </c>
      <c r="X590" s="192">
        <f t="shared" si="30"/>
        <v>3.7349999999999999</v>
      </c>
      <c r="AA590" s="39" t="str">
        <f t="shared" si="35"/>
        <v>BWF</v>
      </c>
    </row>
    <row r="591" spans="1:27" x14ac:dyDescent="0.2">
      <c r="A591" s="14" t="s">
        <v>398</v>
      </c>
      <c r="B591" s="2" t="s">
        <v>821</v>
      </c>
      <c r="C591" s="14" t="s">
        <v>396</v>
      </c>
      <c r="D591" s="14">
        <v>17.2</v>
      </c>
      <c r="E591" s="14">
        <v>5.05</v>
      </c>
      <c r="F591" s="11">
        <v>14</v>
      </c>
      <c r="G591" s="15">
        <v>4</v>
      </c>
      <c r="H591" s="15">
        <v>0.21</v>
      </c>
      <c r="I591" s="14">
        <v>0.27200000000000002</v>
      </c>
      <c r="J591" s="44">
        <f t="shared" si="24"/>
        <v>0.27200000000000002</v>
      </c>
      <c r="K591" s="38">
        <f t="shared" si="32"/>
        <v>7.3529411764705879</v>
      </c>
      <c r="L591" s="52">
        <f t="shared" si="31"/>
        <v>64.076190476190476</v>
      </c>
      <c r="M591" s="14">
        <v>147.30000000000001</v>
      </c>
      <c r="N591" s="52">
        <v>24.755884116339562</v>
      </c>
      <c r="O591" s="196">
        <v>21</v>
      </c>
      <c r="P591" s="11">
        <v>5.4</v>
      </c>
      <c r="Q591" s="14">
        <v>2.65</v>
      </c>
      <c r="R591" s="52">
        <v>2.3484724000000003</v>
      </c>
      <c r="S591" s="14">
        <v>1.32</v>
      </c>
      <c r="T591" s="14">
        <v>0.72</v>
      </c>
      <c r="U591" s="44">
        <f t="shared" si="33"/>
        <v>9.5201733333333344E-2</v>
      </c>
      <c r="V591" s="52">
        <f t="shared" si="34"/>
        <v>124.85341439999998</v>
      </c>
      <c r="W591" s="188">
        <f t="shared" si="29"/>
        <v>0.930683312717827</v>
      </c>
      <c r="X591" s="192">
        <f t="shared" si="30"/>
        <v>13.728</v>
      </c>
      <c r="AA591" s="39" t="str">
        <f t="shared" si="35"/>
        <v>BLB</v>
      </c>
    </row>
    <row r="592" spans="1:27" x14ac:dyDescent="0.2">
      <c r="A592" s="14" t="s">
        <v>398</v>
      </c>
      <c r="B592" s="2" t="s">
        <v>822</v>
      </c>
      <c r="C592" s="14" t="s">
        <v>396</v>
      </c>
      <c r="D592" s="14">
        <v>22</v>
      </c>
      <c r="E592" s="14">
        <v>6.47</v>
      </c>
      <c r="F592" s="11">
        <v>12.31</v>
      </c>
      <c r="G592" s="15">
        <v>4.03</v>
      </c>
      <c r="H592" s="15">
        <v>0.26</v>
      </c>
      <c r="I592" s="14">
        <v>0.42399999999999999</v>
      </c>
      <c r="J592" s="44">
        <f t="shared" si="24"/>
        <v>0.42399999999999999</v>
      </c>
      <c r="K592" s="38">
        <f t="shared" si="32"/>
        <v>4.7523584905660385</v>
      </c>
      <c r="L592" s="52">
        <f t="shared" si="31"/>
        <v>44.084615384615383</v>
      </c>
      <c r="M592" s="14">
        <v>155.69999999999999</v>
      </c>
      <c r="N592" s="52">
        <v>29.24503642580131</v>
      </c>
      <c r="O592" s="14">
        <v>25.3</v>
      </c>
      <c r="P592" s="14">
        <v>4.91</v>
      </c>
      <c r="Q592" s="14">
        <v>4.55</v>
      </c>
      <c r="R592" s="52">
        <v>3.6729986000000006</v>
      </c>
      <c r="S592" s="14">
        <v>2.2599999999999998</v>
      </c>
      <c r="T592" s="14">
        <v>0.84</v>
      </c>
      <c r="U592" s="44">
        <f t="shared" si="33"/>
        <v>0.27194326848</v>
      </c>
      <c r="V592" s="52">
        <f t="shared" si="34"/>
        <v>160.70258295000002</v>
      </c>
      <c r="W592" s="188">
        <f t="shared" si="29"/>
        <v>1.0338280298274549</v>
      </c>
      <c r="X592" s="192">
        <f t="shared" si="30"/>
        <v>11.886000000000001</v>
      </c>
      <c r="AA592" s="39" t="str">
        <f t="shared" si="35"/>
        <v>BLB</v>
      </c>
    </row>
    <row r="593" spans="1:27" x14ac:dyDescent="0.2">
      <c r="A593" s="14" t="s">
        <v>398</v>
      </c>
      <c r="B593" s="2" t="s">
        <v>823</v>
      </c>
      <c r="C593" s="14" t="s">
        <v>396</v>
      </c>
      <c r="D593" s="14">
        <v>19</v>
      </c>
      <c r="E593" s="14">
        <v>5.62</v>
      </c>
      <c r="F593" s="11">
        <v>12.16</v>
      </c>
      <c r="G593" s="15">
        <v>4.01</v>
      </c>
      <c r="H593" s="15">
        <v>0.24</v>
      </c>
      <c r="I593" s="14">
        <v>0.34899999999999998</v>
      </c>
      <c r="J593" s="44">
        <f t="shared" si="24"/>
        <v>0.34899999999999998</v>
      </c>
      <c r="K593" s="38">
        <f t="shared" si="32"/>
        <v>5.7449856733524358</v>
      </c>
      <c r="L593" s="52">
        <f t="shared" si="31"/>
        <v>47.758333333333333</v>
      </c>
      <c r="M593" s="14">
        <v>130.1</v>
      </c>
      <c r="N593" s="52">
        <v>24.795419522273882</v>
      </c>
      <c r="O593" s="14">
        <v>21.4</v>
      </c>
      <c r="P593" s="14">
        <v>4.8099999999999996</v>
      </c>
      <c r="Q593" s="14">
        <v>3.67</v>
      </c>
      <c r="R593" s="52">
        <v>3.0061002500000003</v>
      </c>
      <c r="S593" s="14">
        <v>1.83</v>
      </c>
      <c r="T593" s="14">
        <v>0.81</v>
      </c>
      <c r="U593" s="44">
        <f t="shared" si="33"/>
        <v>0.1664564169933333</v>
      </c>
      <c r="V593" s="52">
        <f t="shared" si="34"/>
        <v>127.99099401749999</v>
      </c>
      <c r="W593" s="188">
        <f t="shared" si="29"/>
        <v>1.0063625858534326</v>
      </c>
      <c r="X593" s="192">
        <f t="shared" si="30"/>
        <v>11.811</v>
      </c>
      <c r="AA593" s="39" t="str">
        <f t="shared" si="35"/>
        <v>BLB</v>
      </c>
    </row>
    <row r="594" spans="1:27" x14ac:dyDescent="0.2">
      <c r="A594" s="14" t="s">
        <v>398</v>
      </c>
      <c r="B594" s="2" t="s">
        <v>824</v>
      </c>
      <c r="C594" s="14" t="s">
        <v>396</v>
      </c>
      <c r="D594" s="197">
        <v>16.5</v>
      </c>
      <c r="E594" s="14">
        <v>4.8600000000000003</v>
      </c>
      <c r="F594" s="11">
        <v>12</v>
      </c>
      <c r="G594" s="15">
        <v>4</v>
      </c>
      <c r="H594" s="15">
        <v>0.23</v>
      </c>
      <c r="I594" s="14">
        <v>0.26900000000000002</v>
      </c>
      <c r="J594" s="44">
        <f t="shared" ref="J594:J657" si="36">I594</f>
        <v>0.26900000000000002</v>
      </c>
      <c r="K594" s="38">
        <f t="shared" si="32"/>
        <v>7.4349442379182156</v>
      </c>
      <c r="L594" s="52">
        <f t="shared" si="31"/>
        <v>49.834782608695647</v>
      </c>
      <c r="M594" s="14">
        <v>105.3</v>
      </c>
      <c r="N594" s="52">
        <v>20.568685896124943</v>
      </c>
      <c r="O594" s="14">
        <v>17.5</v>
      </c>
      <c r="P594" s="14">
        <v>4.6500000000000004</v>
      </c>
      <c r="Q594" s="14">
        <v>2.79</v>
      </c>
      <c r="R594" s="52">
        <v>2.3394549500000004</v>
      </c>
      <c r="S594" s="14">
        <v>1.39</v>
      </c>
      <c r="T594" s="14">
        <v>0.76</v>
      </c>
      <c r="U594" s="44">
        <f t="shared" si="33"/>
        <v>9.839300866666667E-2</v>
      </c>
      <c r="V594" s="52">
        <f t="shared" si="34"/>
        <v>95.987411797499988</v>
      </c>
      <c r="W594" s="188">
        <f t="shared" si="29"/>
        <v>0.96702031297914604</v>
      </c>
      <c r="X594" s="192">
        <f t="shared" si="30"/>
        <v>11.731</v>
      </c>
      <c r="AA594" s="39" t="str">
        <f t="shared" si="35"/>
        <v>BLB</v>
      </c>
    </row>
    <row r="595" spans="1:27" x14ac:dyDescent="0.2">
      <c r="A595" s="14" t="s">
        <v>398</v>
      </c>
      <c r="B595" s="2" t="s">
        <v>825</v>
      </c>
      <c r="C595" s="14" t="s">
        <v>396</v>
      </c>
      <c r="D595" s="14">
        <v>19</v>
      </c>
      <c r="E595" s="14">
        <v>5.61</v>
      </c>
      <c r="F595" s="11">
        <v>10.25</v>
      </c>
      <c r="G595" s="15">
        <v>4.0199999999999996</v>
      </c>
      <c r="H595" s="15">
        <v>0.25</v>
      </c>
      <c r="I595" s="14">
        <v>0.39400000000000002</v>
      </c>
      <c r="J595" s="44">
        <f t="shared" si="36"/>
        <v>0.39400000000000002</v>
      </c>
      <c r="K595" s="38">
        <f t="shared" si="32"/>
        <v>5.1015228426395929</v>
      </c>
      <c r="L595" s="52">
        <f t="shared" si="31"/>
        <v>37.847999999999999</v>
      </c>
      <c r="M595" s="14">
        <v>96.2</v>
      </c>
      <c r="N595" s="52">
        <v>21.548109966336185</v>
      </c>
      <c r="O595" s="14">
        <v>18.8</v>
      </c>
      <c r="P595" s="14">
        <v>4.1399999999999997</v>
      </c>
      <c r="Q595" s="14">
        <v>4.1900000000000004</v>
      </c>
      <c r="R595" s="52">
        <v>3.3698125499999998</v>
      </c>
      <c r="S595" s="14">
        <v>2.08</v>
      </c>
      <c r="T595" s="14">
        <v>0.86</v>
      </c>
      <c r="U595" s="44">
        <f t="shared" si="33"/>
        <v>0.21319804712000001</v>
      </c>
      <c r="V595" s="52">
        <f t="shared" si="34"/>
        <v>101.75492096000001</v>
      </c>
      <c r="W595" s="188">
        <f t="shared" si="29"/>
        <v>1.0480051973234776</v>
      </c>
      <c r="X595" s="192">
        <f t="shared" si="30"/>
        <v>9.8559999999999999</v>
      </c>
      <c r="AA595" s="39" t="str">
        <f t="shared" si="35"/>
        <v>BLB</v>
      </c>
    </row>
    <row r="596" spans="1:27" x14ac:dyDescent="0.2">
      <c r="A596" s="14" t="s">
        <v>398</v>
      </c>
      <c r="B596" s="2" t="s">
        <v>826</v>
      </c>
      <c r="C596" s="14" t="s">
        <v>396</v>
      </c>
      <c r="D596" s="14">
        <v>17</v>
      </c>
      <c r="E596" s="14">
        <v>4.9800000000000004</v>
      </c>
      <c r="F596" s="11">
        <v>10.119999999999999</v>
      </c>
      <c r="G596" s="15">
        <v>4.01</v>
      </c>
      <c r="H596" s="15">
        <v>0.24</v>
      </c>
      <c r="I596" s="14">
        <v>0.32900000000000001</v>
      </c>
      <c r="J596" s="44">
        <f t="shared" si="36"/>
        <v>0.32900000000000001</v>
      </c>
      <c r="K596" s="38">
        <f t="shared" si="32"/>
        <v>6.0942249240121571</v>
      </c>
      <c r="L596" s="52">
        <f t="shared" si="31"/>
        <v>39.424999999999997</v>
      </c>
      <c r="M596" s="14">
        <v>81.8</v>
      </c>
      <c r="N596" s="52">
        <v>18.603924792192053</v>
      </c>
      <c r="O596" s="14">
        <v>16.2</v>
      </c>
      <c r="P596" s="14">
        <v>4.05</v>
      </c>
      <c r="Q596" s="14">
        <v>3.45</v>
      </c>
      <c r="R596" s="52">
        <v>2.8166992500000001</v>
      </c>
      <c r="S596" s="14">
        <v>1.72</v>
      </c>
      <c r="T596" s="14">
        <v>0.83</v>
      </c>
      <c r="U596" s="44">
        <f t="shared" si="33"/>
        <v>0.13880174192666667</v>
      </c>
      <c r="V596" s="52">
        <f t="shared" si="34"/>
        <v>82.682424862499985</v>
      </c>
      <c r="W596" s="188">
        <f t="shared" si="29"/>
        <v>1.0210583652197289</v>
      </c>
      <c r="X596" s="192">
        <f t="shared" si="30"/>
        <v>9.7909999999999986</v>
      </c>
      <c r="AA596" s="39" t="str">
        <f t="shared" si="35"/>
        <v>BLB</v>
      </c>
    </row>
    <row r="597" spans="1:27" x14ac:dyDescent="0.2">
      <c r="A597" s="14" t="s">
        <v>398</v>
      </c>
      <c r="B597" s="2" t="s">
        <v>827</v>
      </c>
      <c r="C597" s="14" t="s">
        <v>396</v>
      </c>
      <c r="D597" s="14">
        <v>15</v>
      </c>
      <c r="E597" s="11">
        <v>4.4000000000000004</v>
      </c>
      <c r="F597" s="11">
        <v>10</v>
      </c>
      <c r="G597" s="15">
        <v>4</v>
      </c>
      <c r="H597" s="15">
        <v>0.23</v>
      </c>
      <c r="I597" s="14">
        <v>0.26900000000000002</v>
      </c>
      <c r="J597" s="44">
        <f t="shared" si="36"/>
        <v>0.26900000000000002</v>
      </c>
      <c r="K597" s="38">
        <f t="shared" si="32"/>
        <v>7.4349442379182156</v>
      </c>
      <c r="L597" s="52">
        <f t="shared" si="31"/>
        <v>41.139130434782608</v>
      </c>
      <c r="M597" s="14">
        <v>68.8</v>
      </c>
      <c r="N597" s="52">
        <v>15.938685896124941</v>
      </c>
      <c r="O597" s="14">
        <v>13.8</v>
      </c>
      <c r="P597" s="14">
        <v>3.95</v>
      </c>
      <c r="Q597" s="14">
        <v>2.79</v>
      </c>
      <c r="R597" s="52">
        <v>2.3130049500000003</v>
      </c>
      <c r="S597" s="14">
        <v>1.39</v>
      </c>
      <c r="T597" s="11">
        <v>0.8</v>
      </c>
      <c r="U597" s="44">
        <f t="shared" si="33"/>
        <v>9.0281675333333339E-2</v>
      </c>
      <c r="V597" s="52">
        <f t="shared" si="34"/>
        <v>66.047921797499995</v>
      </c>
      <c r="W597" s="188">
        <f t="shared" si="29"/>
        <v>0.99180500800966087</v>
      </c>
      <c r="X597" s="192">
        <f t="shared" si="30"/>
        <v>9.7309999999999999</v>
      </c>
      <c r="AA597" s="39" t="str">
        <f t="shared" si="35"/>
        <v>BLB</v>
      </c>
    </row>
    <row r="598" spans="1:27" x14ac:dyDescent="0.2">
      <c r="A598" s="14" t="s">
        <v>398</v>
      </c>
      <c r="B598" s="2" t="s">
        <v>828</v>
      </c>
      <c r="C598" s="14" t="s">
        <v>396</v>
      </c>
      <c r="D598" s="14">
        <v>15</v>
      </c>
      <c r="E598" s="14">
        <v>4.43</v>
      </c>
      <c r="F598" s="11">
        <v>8.1199999999999992</v>
      </c>
      <c r="G598" s="15">
        <v>4.0149999999999997</v>
      </c>
      <c r="H598" s="15">
        <v>0.245</v>
      </c>
      <c r="I598" s="14">
        <v>0.314</v>
      </c>
      <c r="J598" s="44">
        <f t="shared" si="36"/>
        <v>0.314</v>
      </c>
      <c r="K598" s="38">
        <f t="shared" si="32"/>
        <v>6.3933121019108272</v>
      </c>
      <c r="L598" s="52">
        <f t="shared" si="31"/>
        <v>30.579591836734689</v>
      </c>
      <c r="M598" s="196">
        <v>48</v>
      </c>
      <c r="N598" s="52">
        <v>13.532936792786476</v>
      </c>
      <c r="O598" s="14">
        <v>11.8</v>
      </c>
      <c r="P598" s="14">
        <v>3.29</v>
      </c>
      <c r="Q598" s="11">
        <v>3.3</v>
      </c>
      <c r="R598" s="52">
        <v>2.6798221499999997</v>
      </c>
      <c r="S598" s="14">
        <v>1.65</v>
      </c>
      <c r="T598" s="11">
        <v>0.86</v>
      </c>
      <c r="U598" s="44">
        <f t="shared" si="33"/>
        <v>0.11959340493999998</v>
      </c>
      <c r="V598" s="52">
        <f t="shared" si="34"/>
        <v>50.270249699999987</v>
      </c>
      <c r="W598" s="188">
        <f t="shared" si="29"/>
        <v>1.0447568851903022</v>
      </c>
      <c r="X598" s="192">
        <f t="shared" si="30"/>
        <v>7.8059999999999992</v>
      </c>
      <c r="AA598" s="39" t="str">
        <f t="shared" si="35"/>
        <v>BLB</v>
      </c>
    </row>
    <row r="599" spans="1:27" x14ac:dyDescent="0.2">
      <c r="A599" s="14" t="s">
        <v>398</v>
      </c>
      <c r="B599" s="2" t="s">
        <v>829</v>
      </c>
      <c r="C599" s="14" t="s">
        <v>396</v>
      </c>
      <c r="D599" s="14">
        <v>13</v>
      </c>
      <c r="E599" s="14">
        <v>3.83</v>
      </c>
      <c r="F599" s="11">
        <v>8</v>
      </c>
      <c r="G599" s="15">
        <v>4</v>
      </c>
      <c r="H599" s="15">
        <v>0.23</v>
      </c>
      <c r="I599" s="14">
        <v>0.254</v>
      </c>
      <c r="J599" s="44">
        <f t="shared" si="36"/>
        <v>0.254</v>
      </c>
      <c r="K599" s="38">
        <f t="shared" si="32"/>
        <v>7.8740157480314963</v>
      </c>
      <c r="L599" s="52">
        <f t="shared" si="31"/>
        <v>32.573913043478257</v>
      </c>
      <c r="M599" s="14">
        <v>39.5</v>
      </c>
      <c r="N599" s="52">
        <v>11.357291415733741</v>
      </c>
      <c r="O599" s="14">
        <v>9.8800000000000008</v>
      </c>
      <c r="P599" s="14">
        <v>3.21</v>
      </c>
      <c r="Q599" s="14">
        <v>2.62</v>
      </c>
      <c r="R599" s="52">
        <v>2.1685017000000002</v>
      </c>
      <c r="S599" s="14">
        <v>1.31</v>
      </c>
      <c r="T599" s="11">
        <v>0.83</v>
      </c>
      <c r="U599" s="44">
        <f t="shared" si="33"/>
        <v>7.4083891999999998E-2</v>
      </c>
      <c r="V599" s="52">
        <f t="shared" si="34"/>
        <v>39.300337980000002</v>
      </c>
      <c r="W599" s="188">
        <f t="shared" si="29"/>
        <v>1.0134350533149372</v>
      </c>
      <c r="X599" s="192">
        <f t="shared" si="30"/>
        <v>7.7460000000000004</v>
      </c>
      <c r="AA599" s="39" t="str">
        <f t="shared" si="35"/>
        <v>BLB</v>
      </c>
    </row>
    <row r="600" spans="1:27" x14ac:dyDescent="0.2">
      <c r="A600" s="14" t="s">
        <v>398</v>
      </c>
      <c r="B600" s="2" t="s">
        <v>830</v>
      </c>
      <c r="C600" s="14" t="s">
        <v>396</v>
      </c>
      <c r="D600" s="14">
        <v>16</v>
      </c>
      <c r="E600" s="14">
        <v>4.72</v>
      </c>
      <c r="F600" s="11">
        <v>6.25</v>
      </c>
      <c r="G600" s="15">
        <v>4.03</v>
      </c>
      <c r="H600" s="15">
        <v>0.26</v>
      </c>
      <c r="I600" s="14">
        <v>0.40400000000000003</v>
      </c>
      <c r="J600" s="44">
        <f t="shared" si="36"/>
        <v>0.40400000000000003</v>
      </c>
      <c r="K600" s="38">
        <f t="shared" si="32"/>
        <v>4.9876237623762378</v>
      </c>
      <c r="L600" s="52">
        <f t="shared" si="31"/>
        <v>20.930769230769229</v>
      </c>
      <c r="M600" s="14">
        <v>31.7</v>
      </c>
      <c r="N600" s="52">
        <v>11.565088290498304</v>
      </c>
      <c r="O600" s="14">
        <v>10.1</v>
      </c>
      <c r="P600" s="14">
        <v>2.59</v>
      </c>
      <c r="Q600" s="14">
        <v>4.32</v>
      </c>
      <c r="R600" s="52">
        <v>3.3970516000000006</v>
      </c>
      <c r="S600" s="14">
        <v>2.14</v>
      </c>
      <c r="T600" s="11">
        <v>0.96</v>
      </c>
      <c r="U600" s="44">
        <f t="shared" si="33"/>
        <v>0.20903968661333336</v>
      </c>
      <c r="V600" s="52">
        <f t="shared" si="34"/>
        <v>36.909773280000003</v>
      </c>
      <c r="W600" s="188">
        <f t="shared" si="29"/>
        <v>1.1181384813011028</v>
      </c>
      <c r="X600" s="192">
        <f t="shared" si="30"/>
        <v>5.8460000000000001</v>
      </c>
      <c r="AA600" s="39" t="str">
        <f t="shared" si="35"/>
        <v>BLB</v>
      </c>
    </row>
    <row r="601" spans="1:27" x14ac:dyDescent="0.2">
      <c r="A601" s="14" t="s">
        <v>398</v>
      </c>
      <c r="B601" s="2" t="s">
        <v>831</v>
      </c>
      <c r="C601" s="14" t="s">
        <v>396</v>
      </c>
      <c r="D601" s="14">
        <v>12</v>
      </c>
      <c r="E601" s="14">
        <v>3.53</v>
      </c>
      <c r="F601" s="11">
        <v>6</v>
      </c>
      <c r="G601" s="15">
        <v>4</v>
      </c>
      <c r="H601" s="15">
        <v>0.23</v>
      </c>
      <c r="I601" s="14">
        <v>0.27900000000000003</v>
      </c>
      <c r="J601" s="44">
        <f t="shared" si="36"/>
        <v>0.27900000000000003</v>
      </c>
      <c r="K601" s="38">
        <f t="shared" si="32"/>
        <v>7.1684587813620064</v>
      </c>
      <c r="L601" s="52">
        <f t="shared" si="31"/>
        <v>23.660869565217389</v>
      </c>
      <c r="M601" s="14">
        <v>21.7</v>
      </c>
      <c r="N601" s="52">
        <v>8.2036350844426913</v>
      </c>
      <c r="O601" s="14">
        <v>7.24</v>
      </c>
      <c r="P601" s="14">
        <v>2.48</v>
      </c>
      <c r="Q601" s="14">
        <v>2.89</v>
      </c>
      <c r="R601" s="52">
        <v>2.3271404500000004</v>
      </c>
      <c r="S601" s="14">
        <v>1.44</v>
      </c>
      <c r="T601" s="11">
        <v>0.9</v>
      </c>
      <c r="U601" s="44">
        <f t="shared" si="33"/>
        <v>7.9984642000000022E-2</v>
      </c>
      <c r="V601" s="52">
        <f t="shared" si="34"/>
        <v>23.647310122500002</v>
      </c>
      <c r="W601" s="188">
        <f t="shared" si="29"/>
        <v>1.0685641861346011</v>
      </c>
      <c r="X601" s="192">
        <f t="shared" si="30"/>
        <v>5.7210000000000001</v>
      </c>
      <c r="AA601" s="39" t="str">
        <f t="shared" si="35"/>
        <v>BLB</v>
      </c>
    </row>
    <row r="602" spans="1:27" x14ac:dyDescent="0.2">
      <c r="A602" s="14" t="s">
        <v>399</v>
      </c>
      <c r="B602" s="2" t="s">
        <v>832</v>
      </c>
      <c r="C602" s="14" t="s">
        <v>396</v>
      </c>
      <c r="D602" s="14">
        <v>14</v>
      </c>
      <c r="E602" s="14">
        <v>4.1399999999999997</v>
      </c>
      <c r="F602" s="14">
        <v>11.91</v>
      </c>
      <c r="G602" s="15">
        <v>3.97</v>
      </c>
      <c r="H602" s="15">
        <v>0.2</v>
      </c>
      <c r="I602" s="14">
        <v>0.224</v>
      </c>
      <c r="J602" s="44">
        <f t="shared" si="36"/>
        <v>0.224</v>
      </c>
      <c r="K602" s="38">
        <f t="shared" si="32"/>
        <v>8.8616071428571423</v>
      </c>
      <c r="L602" s="52">
        <f t="shared" si="31"/>
        <v>57.309999999999995</v>
      </c>
      <c r="M602" s="14">
        <v>88.2</v>
      </c>
      <c r="N602" s="52">
        <v>17.338525939764956</v>
      </c>
      <c r="O602" s="14">
        <v>14.8</v>
      </c>
      <c r="P602" s="14">
        <v>4.6100000000000003</v>
      </c>
      <c r="Q602" s="14">
        <v>2.25</v>
      </c>
      <c r="R602" s="52">
        <v>1.9143607999999999</v>
      </c>
      <c r="S602" s="14">
        <v>1.1299999999999999</v>
      </c>
      <c r="T602" s="14">
        <v>0.74</v>
      </c>
      <c r="U602" s="44">
        <f t="shared" si="33"/>
        <v>6.0312342186666673E-2</v>
      </c>
      <c r="V602" s="52">
        <f t="shared" si="34"/>
        <v>76.816460249999992</v>
      </c>
      <c r="W602" s="188">
        <f t="shared" si="29"/>
        <v>0.94249345828972153</v>
      </c>
      <c r="X602" s="192">
        <f t="shared" si="30"/>
        <v>11.686</v>
      </c>
      <c r="AA602" s="39" t="str">
        <f t="shared" si="35"/>
        <v>BJ</v>
      </c>
    </row>
    <row r="603" spans="1:27" x14ac:dyDescent="0.2">
      <c r="A603" s="14" t="s">
        <v>399</v>
      </c>
      <c r="B603" s="2" t="s">
        <v>833</v>
      </c>
      <c r="C603" s="14" t="s">
        <v>396</v>
      </c>
      <c r="D603" s="197">
        <v>11.5</v>
      </c>
      <c r="E603" s="14">
        <v>3.39</v>
      </c>
      <c r="F603" s="14">
        <v>9.8699999999999992</v>
      </c>
      <c r="G603" s="15">
        <v>3.95</v>
      </c>
      <c r="H603" s="15">
        <v>0.18</v>
      </c>
      <c r="I603" s="14">
        <v>0.20399999999999999</v>
      </c>
      <c r="J603" s="44">
        <f t="shared" si="36"/>
        <v>0.20399999999999999</v>
      </c>
      <c r="K603" s="38">
        <f t="shared" si="32"/>
        <v>9.6813725490196081</v>
      </c>
      <c r="L603" s="52">
        <f t="shared" si="31"/>
        <v>52.56666666666667</v>
      </c>
      <c r="M603" s="14">
        <v>51.9</v>
      </c>
      <c r="N603" s="52">
        <v>12.153009955203173</v>
      </c>
      <c r="O603" s="14">
        <v>10.5</v>
      </c>
      <c r="P603" s="14">
        <v>3.92</v>
      </c>
      <c r="Q603" s="14">
        <v>2.0099999999999998</v>
      </c>
      <c r="R603" s="52">
        <v>1.7057172000000003</v>
      </c>
      <c r="S603" s="14">
        <v>1.02</v>
      </c>
      <c r="T603" s="14">
        <v>0.77</v>
      </c>
      <c r="U603" s="44">
        <f t="shared" si="33"/>
        <v>4.0750243199999994E-2</v>
      </c>
      <c r="V603" s="52">
        <f t="shared" si="34"/>
        <v>46.949356889999983</v>
      </c>
      <c r="W603" s="188">
        <f t="shared" si="29"/>
        <v>0.96185980564440132</v>
      </c>
      <c r="X603" s="192">
        <f t="shared" si="30"/>
        <v>9.6659999999999986</v>
      </c>
      <c r="AA603" s="39" t="str">
        <f t="shared" si="35"/>
        <v>BJ</v>
      </c>
    </row>
    <row r="604" spans="1:27" x14ac:dyDescent="0.2">
      <c r="A604" s="14" t="s">
        <v>399</v>
      </c>
      <c r="B604" s="2" t="s">
        <v>834</v>
      </c>
      <c r="C604" s="14" t="s">
        <v>396</v>
      </c>
      <c r="D604" s="14">
        <v>10</v>
      </c>
      <c r="E604" s="14">
        <v>2.95</v>
      </c>
      <c r="F604" s="11">
        <v>7.9</v>
      </c>
      <c r="G604" s="15">
        <v>3.94</v>
      </c>
      <c r="H604" s="15">
        <v>0.17</v>
      </c>
      <c r="I604" s="14">
        <v>0.20399999999999999</v>
      </c>
      <c r="J604" s="44">
        <f t="shared" si="36"/>
        <v>0.20399999999999999</v>
      </c>
      <c r="K604" s="38">
        <f t="shared" si="32"/>
        <v>9.6568627450980404</v>
      </c>
      <c r="L604" s="52">
        <f t="shared" si="31"/>
        <v>44.070588235294117</v>
      </c>
      <c r="M604" s="14">
        <v>30.8</v>
      </c>
      <c r="N604" s="52">
        <v>8.8110775090414108</v>
      </c>
      <c r="O604" s="14">
        <v>7.79</v>
      </c>
      <c r="P604" s="14">
        <v>3.23</v>
      </c>
      <c r="Q604" s="14">
        <v>1.99</v>
      </c>
      <c r="R604" s="52">
        <v>1.6719569000000001</v>
      </c>
      <c r="S604" s="14">
        <v>1.01</v>
      </c>
      <c r="T604" s="14">
        <v>0.82</v>
      </c>
      <c r="U604" s="44">
        <f t="shared" si="33"/>
        <v>3.4568916106666667E-2</v>
      </c>
      <c r="V604" s="52">
        <f t="shared" si="34"/>
        <v>29.466136960000004</v>
      </c>
      <c r="W604" s="188">
        <f t="shared" si="29"/>
        <v>0.99146032775636694</v>
      </c>
      <c r="X604" s="192">
        <f t="shared" si="30"/>
        <v>7.6960000000000006</v>
      </c>
      <c r="AA604" s="39" t="str">
        <f t="shared" si="35"/>
        <v>BJ</v>
      </c>
    </row>
    <row r="605" spans="1:27" x14ac:dyDescent="0.2">
      <c r="A605" s="14" t="s">
        <v>399</v>
      </c>
      <c r="B605" s="2" t="s">
        <v>835</v>
      </c>
      <c r="C605" s="14" t="s">
        <v>396</v>
      </c>
      <c r="D605" s="197">
        <v>8.5</v>
      </c>
      <c r="E605" s="11">
        <v>2.5</v>
      </c>
      <c r="F605" s="14">
        <v>5.83</v>
      </c>
      <c r="G605" s="15">
        <v>3.94</v>
      </c>
      <c r="H605" s="15">
        <v>0.17</v>
      </c>
      <c r="I605" s="14">
        <v>0.19400000000000001</v>
      </c>
      <c r="J605" s="44">
        <f t="shared" si="36"/>
        <v>0.19400000000000001</v>
      </c>
      <c r="K605" s="38">
        <f t="shared" si="32"/>
        <v>10.154639175257731</v>
      </c>
      <c r="L605" s="52">
        <f t="shared" si="31"/>
        <v>32.011764705882349</v>
      </c>
      <c r="M605" s="14">
        <v>14.8</v>
      </c>
      <c r="N605" s="52">
        <v>5.6822218948943908</v>
      </c>
      <c r="O605" s="14">
        <v>5.07</v>
      </c>
      <c r="P605" s="14">
        <v>2.4300000000000002</v>
      </c>
      <c r="Q605" s="14">
        <v>1.89</v>
      </c>
      <c r="R605" s="52">
        <v>1.5681776500000002</v>
      </c>
      <c r="S605" s="14">
        <v>0.96</v>
      </c>
      <c r="T605" s="14">
        <v>0.87</v>
      </c>
      <c r="U605" s="44">
        <f t="shared" si="33"/>
        <v>2.8090483973333337E-2</v>
      </c>
      <c r="V605" s="52">
        <f t="shared" si="34"/>
        <v>15.00872436</v>
      </c>
      <c r="W605" s="188">
        <f t="shared" si="29"/>
        <v>1.0249375792798887</v>
      </c>
      <c r="X605" s="192">
        <f t="shared" si="30"/>
        <v>5.6360000000000001</v>
      </c>
      <c r="AA605" s="39" t="str">
        <f t="shared" si="35"/>
        <v>BJ</v>
      </c>
    </row>
    <row r="606" spans="1:27" x14ac:dyDescent="0.2">
      <c r="A606" s="2" t="s">
        <v>310</v>
      </c>
      <c r="B606" s="2" t="s">
        <v>437</v>
      </c>
      <c r="C606" s="2" t="s">
        <v>400</v>
      </c>
      <c r="D606" s="9">
        <v>115</v>
      </c>
      <c r="E606" s="10">
        <v>33.979999999999997</v>
      </c>
      <c r="F606" s="10">
        <v>24</v>
      </c>
      <c r="G606" s="12">
        <v>8</v>
      </c>
      <c r="H606" s="12">
        <v>0.75</v>
      </c>
      <c r="I606" s="12">
        <v>1.1019999999999999</v>
      </c>
      <c r="J606" s="44">
        <f t="shared" si="36"/>
        <v>1.1019999999999999</v>
      </c>
      <c r="K606" s="10">
        <v>3.6297640653357535</v>
      </c>
      <c r="L606" s="9">
        <v>26.751733333333334</v>
      </c>
      <c r="M606" s="9">
        <v>2955.5</v>
      </c>
      <c r="N606" s="9">
        <v>290.72316133333351</v>
      </c>
      <c r="O606" s="9">
        <v>246.3</v>
      </c>
      <c r="P606" s="10">
        <v>9.33</v>
      </c>
      <c r="Q606" s="9">
        <v>83.2</v>
      </c>
      <c r="R606" s="9">
        <v>35.683416666666666</v>
      </c>
      <c r="S606" s="9">
        <v>20.8</v>
      </c>
      <c r="T606" s="10">
        <v>1.57</v>
      </c>
      <c r="U606" s="9">
        <v>12.151801385074696</v>
      </c>
      <c r="V606" s="22">
        <v>10905.822803200001</v>
      </c>
      <c r="W606" s="188">
        <f t="shared" si="29"/>
        <v>1.9665873212866063</v>
      </c>
      <c r="X606" s="192">
        <f t="shared" si="30"/>
        <v>22.898</v>
      </c>
      <c r="AA606" s="39" t="str">
        <f t="shared" si="35"/>
        <v>S</v>
      </c>
    </row>
    <row r="607" spans="1:27" x14ac:dyDescent="0.2">
      <c r="A607" s="2" t="s">
        <v>310</v>
      </c>
      <c r="B607" s="2" t="s">
        <v>438</v>
      </c>
      <c r="C607" s="2" t="s">
        <v>400</v>
      </c>
      <c r="D607" s="9">
        <v>110</v>
      </c>
      <c r="E607" s="10">
        <v>32.479999999999997</v>
      </c>
      <c r="F607" s="10">
        <v>24</v>
      </c>
      <c r="G607" s="12">
        <v>7.9379999999999997</v>
      </c>
      <c r="H607" s="12">
        <v>0.68800000000000006</v>
      </c>
      <c r="I607" s="12">
        <v>1.1019999999999999</v>
      </c>
      <c r="J607" s="44">
        <f t="shared" si="36"/>
        <v>1.1019999999999999</v>
      </c>
      <c r="K607" s="10">
        <v>3.6016333938294012</v>
      </c>
      <c r="L607" s="9">
        <v>29.162500000000001</v>
      </c>
      <c r="M607" s="9">
        <v>2883.5</v>
      </c>
      <c r="N607" s="9">
        <v>281.7951613333334</v>
      </c>
      <c r="O607" s="9">
        <v>240.3</v>
      </c>
      <c r="P607" s="10">
        <v>9.42</v>
      </c>
      <c r="Q607" s="9">
        <v>81</v>
      </c>
      <c r="R607" s="9">
        <v>34.653131666666646</v>
      </c>
      <c r="S607" s="9">
        <v>20.399999999999999</v>
      </c>
      <c r="T607" s="10">
        <v>1.58</v>
      </c>
      <c r="U607" s="9">
        <v>11.211005578089855</v>
      </c>
      <c r="V607" s="22">
        <v>10617.447681</v>
      </c>
      <c r="W607" s="188">
        <f t="shared" si="29"/>
        <v>1.9644880969723555</v>
      </c>
      <c r="X607" s="192">
        <f t="shared" si="30"/>
        <v>22.898</v>
      </c>
      <c r="AA607" s="39" t="str">
        <f t="shared" si="35"/>
        <v>S</v>
      </c>
    </row>
    <row r="608" spans="1:27" x14ac:dyDescent="0.2">
      <c r="A608" s="2" t="s">
        <v>310</v>
      </c>
      <c r="B608" s="2" t="s">
        <v>440</v>
      </c>
      <c r="C608" s="2" t="s">
        <v>400</v>
      </c>
      <c r="D608" s="9">
        <v>105</v>
      </c>
      <c r="E608" s="10">
        <v>30.98</v>
      </c>
      <c r="F608" s="10">
        <v>24</v>
      </c>
      <c r="G608" s="12">
        <v>7.875</v>
      </c>
      <c r="H608" s="12">
        <v>0.625</v>
      </c>
      <c r="I608" s="12">
        <v>1.1019999999999999</v>
      </c>
      <c r="J608" s="44">
        <f t="shared" si="36"/>
        <v>1.1019999999999999</v>
      </c>
      <c r="K608" s="10">
        <v>3.5730490018148826</v>
      </c>
      <c r="L608" s="9">
        <v>32.102080000000001</v>
      </c>
      <c r="M608" s="9">
        <v>2811.5</v>
      </c>
      <c r="N608" s="9">
        <v>272.72316133333351</v>
      </c>
      <c r="O608" s="9">
        <v>234.3</v>
      </c>
      <c r="P608" s="10">
        <v>9.5299999999999994</v>
      </c>
      <c r="Q608" s="9">
        <v>78.900000000000006</v>
      </c>
      <c r="R608" s="9">
        <v>33.653479166666699</v>
      </c>
      <c r="S608" s="9">
        <v>20</v>
      </c>
      <c r="T608" s="10">
        <v>1.6</v>
      </c>
      <c r="U608" s="9">
        <v>10.378894819509428</v>
      </c>
      <c r="V608" s="22">
        <v>10342.180518900001</v>
      </c>
      <c r="W608" s="188">
        <f t="shared" si="29"/>
        <v>1.9635236428499478</v>
      </c>
      <c r="X608" s="192">
        <f t="shared" si="30"/>
        <v>22.898</v>
      </c>
      <c r="AA608" s="39" t="str">
        <f t="shared" si="35"/>
        <v>S</v>
      </c>
    </row>
    <row r="609" spans="1:27" x14ac:dyDescent="0.2">
      <c r="A609" s="2" t="s">
        <v>310</v>
      </c>
      <c r="B609" s="2" t="s">
        <v>441</v>
      </c>
      <c r="C609" s="2" t="s">
        <v>400</v>
      </c>
      <c r="D609" s="9">
        <v>95</v>
      </c>
      <c r="E609" s="10">
        <v>27.94</v>
      </c>
      <c r="F609" s="10">
        <v>24</v>
      </c>
      <c r="G609" s="12">
        <v>7.1920000000000002</v>
      </c>
      <c r="H609" s="12">
        <v>0.69200000000000006</v>
      </c>
      <c r="I609" s="12">
        <v>0.871</v>
      </c>
      <c r="J609" s="44">
        <f t="shared" si="36"/>
        <v>0.871</v>
      </c>
      <c r="K609" s="10">
        <v>4.1285878300803676</v>
      </c>
      <c r="L609" s="9">
        <v>29.751156069364161</v>
      </c>
      <c r="M609" s="9">
        <v>2309.6</v>
      </c>
      <c r="N609" s="9">
        <v>230.43371133333346</v>
      </c>
      <c r="O609" s="9">
        <v>192.5</v>
      </c>
      <c r="P609" s="10">
        <v>9.09</v>
      </c>
      <c r="Q609" s="9">
        <v>47.1</v>
      </c>
      <c r="R609" s="9">
        <v>23.282525333333332</v>
      </c>
      <c r="S609" s="9">
        <v>13.1</v>
      </c>
      <c r="T609" s="10">
        <v>1.3</v>
      </c>
      <c r="U609" s="10">
        <v>6.8635599326497756</v>
      </c>
      <c r="V609" s="22">
        <v>6299.0437977750007</v>
      </c>
      <c r="W609" s="188">
        <f t="shared" si="29"/>
        <v>1.682125973941248</v>
      </c>
      <c r="X609" s="192">
        <f t="shared" si="30"/>
        <v>23.129000000000001</v>
      </c>
      <c r="AA609" s="39" t="str">
        <f t="shared" si="35"/>
        <v>S</v>
      </c>
    </row>
    <row r="610" spans="1:27" x14ac:dyDescent="0.2">
      <c r="A610" s="2" t="s">
        <v>310</v>
      </c>
      <c r="B610" s="2" t="s">
        <v>442</v>
      </c>
      <c r="C610" s="2" t="s">
        <v>400</v>
      </c>
      <c r="D610" s="9">
        <v>85</v>
      </c>
      <c r="E610" s="10">
        <v>25</v>
      </c>
      <c r="F610" s="10">
        <v>24</v>
      </c>
      <c r="G610" s="12">
        <v>7.22</v>
      </c>
      <c r="H610" s="12">
        <v>0.54</v>
      </c>
      <c r="I610" s="12">
        <v>0.87</v>
      </c>
      <c r="J610" s="44">
        <f t="shared" si="36"/>
        <v>0.87</v>
      </c>
      <c r="K610" s="10">
        <v>4.1494252873563227</v>
      </c>
      <c r="L610" s="9">
        <v>38.132962962962957</v>
      </c>
      <c r="M610" s="9">
        <v>2181.6999999999998</v>
      </c>
      <c r="N610" s="9">
        <v>212.01998400000008</v>
      </c>
      <c r="O610" s="9">
        <v>181.8</v>
      </c>
      <c r="P610" s="10">
        <v>9.34</v>
      </c>
      <c r="Q610" s="9">
        <v>44.14</v>
      </c>
      <c r="R610" s="9">
        <v>22.290599999999987</v>
      </c>
      <c r="S610" s="9">
        <v>12.2</v>
      </c>
      <c r="T610" s="10">
        <v>1.33</v>
      </c>
      <c r="U610" s="10">
        <v>5.3129711857471014</v>
      </c>
      <c r="V610" s="22">
        <v>5903.6907915000002</v>
      </c>
      <c r="W610" s="188">
        <f t="shared" si="29"/>
        <v>1.6756836937752178</v>
      </c>
      <c r="X610" s="192">
        <f t="shared" si="30"/>
        <v>23.13</v>
      </c>
      <c r="AA610" s="39" t="str">
        <f t="shared" si="35"/>
        <v>S</v>
      </c>
    </row>
    <row r="611" spans="1:27" x14ac:dyDescent="0.2">
      <c r="A611" s="2" t="s">
        <v>310</v>
      </c>
      <c r="B611" s="2" t="s">
        <v>444</v>
      </c>
      <c r="C611" s="2" t="s">
        <v>400</v>
      </c>
      <c r="D611" s="9">
        <v>100</v>
      </c>
      <c r="E611" s="10">
        <v>29.62</v>
      </c>
      <c r="F611" s="10">
        <v>20</v>
      </c>
      <c r="G611" s="12">
        <v>7.2939999999999996</v>
      </c>
      <c r="H611" s="12">
        <v>0.89400000000000002</v>
      </c>
      <c r="I611" s="12">
        <v>0.91500000000000004</v>
      </c>
      <c r="J611" s="44">
        <f t="shared" si="36"/>
        <v>0.91500000000000004</v>
      </c>
      <c r="K611" s="10">
        <v>3.9857923497267755</v>
      </c>
      <c r="L611" s="9">
        <v>18.28255033557047</v>
      </c>
      <c r="M611" s="9">
        <v>1662.3</v>
      </c>
      <c r="N611" s="9">
        <v>201.01194666666674</v>
      </c>
      <c r="O611" s="9">
        <v>166.2</v>
      </c>
      <c r="P611" s="10">
        <v>7.49</v>
      </c>
      <c r="Q611" s="9">
        <v>52.92</v>
      </c>
      <c r="R611" s="9">
        <v>26.161577333333334</v>
      </c>
      <c r="S611" s="9">
        <v>14.5</v>
      </c>
      <c r="T611" s="10">
        <v>1.34</v>
      </c>
      <c r="U611" s="10">
        <v>9.9529577006435606</v>
      </c>
      <c r="V611" s="22">
        <v>4818.8584867500003</v>
      </c>
      <c r="W611" s="188">
        <f t="shared" si="29"/>
        <v>1.7431128013605857</v>
      </c>
      <c r="X611" s="192">
        <f t="shared" si="30"/>
        <v>19.085000000000001</v>
      </c>
      <c r="AA611" s="39" t="str">
        <f t="shared" si="35"/>
        <v>S</v>
      </c>
    </row>
    <row r="612" spans="1:27" x14ac:dyDescent="0.2">
      <c r="A612" s="2" t="s">
        <v>310</v>
      </c>
      <c r="B612" s="2" t="s">
        <v>445</v>
      </c>
      <c r="C612" s="2" t="s">
        <v>400</v>
      </c>
      <c r="D612" s="2">
        <v>98.4</v>
      </c>
      <c r="E612" s="10">
        <v>28.94</v>
      </c>
      <c r="F612" s="10">
        <v>20</v>
      </c>
      <c r="G612" s="12">
        <v>7.06</v>
      </c>
      <c r="H612" s="12">
        <v>0.91</v>
      </c>
      <c r="I612" s="12">
        <v>0.86</v>
      </c>
      <c r="J612" s="44">
        <f t="shared" si="36"/>
        <v>0.86</v>
      </c>
      <c r="K612" s="10">
        <v>4.104651162790697</v>
      </c>
      <c r="L612" s="9">
        <v>18.158901098901097</v>
      </c>
      <c r="M612" s="9">
        <v>1567.4</v>
      </c>
      <c r="N612" s="9">
        <v>192.12301500000015</v>
      </c>
      <c r="O612" s="9">
        <v>156.69999999999999</v>
      </c>
      <c r="P612" s="10">
        <v>7.36</v>
      </c>
      <c r="Q612" s="9">
        <v>45.53</v>
      </c>
      <c r="R612" s="9">
        <v>23.767302500000014</v>
      </c>
      <c r="S612" s="9">
        <v>12.9</v>
      </c>
      <c r="T612" s="10">
        <v>1.25</v>
      </c>
      <c r="U612" s="10">
        <v>9.0424512755016906</v>
      </c>
      <c r="V612" s="22">
        <v>4169.8604970000006</v>
      </c>
      <c r="W612" s="188">
        <f t="shared" si="29"/>
        <v>1.6675170984945067</v>
      </c>
      <c r="X612" s="192">
        <f t="shared" si="30"/>
        <v>19.14</v>
      </c>
      <c r="AA612" s="39" t="str">
        <f t="shared" si="35"/>
        <v>S</v>
      </c>
    </row>
    <row r="613" spans="1:27" x14ac:dyDescent="0.2">
      <c r="A613" s="2" t="s">
        <v>310</v>
      </c>
      <c r="B613" s="2" t="s">
        <v>447</v>
      </c>
      <c r="C613" s="2" t="s">
        <v>400</v>
      </c>
      <c r="D613" s="9">
        <v>90</v>
      </c>
      <c r="E613" s="10">
        <v>26.66</v>
      </c>
      <c r="F613" s="10">
        <v>20</v>
      </c>
      <c r="G613" s="12">
        <v>7.1470000000000002</v>
      </c>
      <c r="H613" s="12">
        <v>0.747</v>
      </c>
      <c r="I613" s="12">
        <v>0.91500000000000004</v>
      </c>
      <c r="J613" s="44">
        <f t="shared" si="36"/>
        <v>0.91500000000000004</v>
      </c>
      <c r="K613" s="10">
        <v>3.9054644808743171</v>
      </c>
      <c r="L613" s="9">
        <v>21.88032128514056</v>
      </c>
      <c r="M613" s="9">
        <v>1563.8</v>
      </c>
      <c r="N613" s="9">
        <v>186.3119466666667</v>
      </c>
      <c r="O613" s="9">
        <v>156.4</v>
      </c>
      <c r="P613" s="10">
        <v>7.66</v>
      </c>
      <c r="Q613" s="9">
        <v>49.24</v>
      </c>
      <c r="R613" s="9">
        <v>24.094610333333332</v>
      </c>
      <c r="S613" s="9">
        <v>13.8</v>
      </c>
      <c r="T613" s="10">
        <v>1.36</v>
      </c>
      <c r="U613" s="10">
        <v>7.7160146629582949</v>
      </c>
      <c r="V613" s="22">
        <v>4483.7602397500004</v>
      </c>
      <c r="W613" s="188">
        <f t="shared" si="29"/>
        <v>1.7332919981627855</v>
      </c>
      <c r="X613" s="192">
        <f t="shared" si="30"/>
        <v>19.085000000000001</v>
      </c>
      <c r="AA613" s="39" t="str">
        <f t="shared" si="35"/>
        <v>S</v>
      </c>
    </row>
    <row r="614" spans="1:27" x14ac:dyDescent="0.2">
      <c r="A614" s="2" t="s">
        <v>310</v>
      </c>
      <c r="B614" s="2" t="s">
        <v>449</v>
      </c>
      <c r="C614" s="2" t="s">
        <v>400</v>
      </c>
      <c r="D614" s="2">
        <v>81.7</v>
      </c>
      <c r="E614" s="10">
        <v>24.04</v>
      </c>
      <c r="F614" s="10">
        <v>20</v>
      </c>
      <c r="G614" s="12">
        <v>6.5</v>
      </c>
      <c r="H614" s="12">
        <v>0.75</v>
      </c>
      <c r="I614" s="12">
        <v>0.76500000000000001</v>
      </c>
      <c r="J614" s="44">
        <f t="shared" si="36"/>
        <v>0.76500000000000001</v>
      </c>
      <c r="K614" s="10">
        <v>4.2483660130718954</v>
      </c>
      <c r="L614" s="9">
        <v>22.326133333333331</v>
      </c>
      <c r="M614" s="9">
        <v>1312.5</v>
      </c>
      <c r="N614" s="9">
        <v>159.52135833333344</v>
      </c>
      <c r="O614" s="9">
        <v>131.19999999999999</v>
      </c>
      <c r="P614" s="10">
        <v>7.39</v>
      </c>
      <c r="Q614" s="9">
        <v>31.37</v>
      </c>
      <c r="R614" s="9">
        <v>17.573229166666678</v>
      </c>
      <c r="S614" s="9">
        <v>9.6999999999999993</v>
      </c>
      <c r="T614" s="10">
        <v>1.1399999999999999</v>
      </c>
      <c r="U614" s="10">
        <v>5.6474344189004615</v>
      </c>
      <c r="V614" s="22">
        <v>2901.6091270624997</v>
      </c>
      <c r="W614" s="188">
        <f t="shared" si="29"/>
        <v>1.5164267586432485</v>
      </c>
      <c r="X614" s="192">
        <f t="shared" si="30"/>
        <v>19.234999999999999</v>
      </c>
      <c r="AA614" s="39" t="str">
        <f t="shared" si="35"/>
        <v>S</v>
      </c>
    </row>
    <row r="615" spans="1:27" x14ac:dyDescent="0.2">
      <c r="A615" s="2" t="s">
        <v>310</v>
      </c>
      <c r="B615" s="2" t="s">
        <v>450</v>
      </c>
      <c r="C615" s="2" t="s">
        <v>400</v>
      </c>
      <c r="D615" s="2">
        <v>81.400000000000006</v>
      </c>
      <c r="E615" s="10">
        <v>23.94</v>
      </c>
      <c r="F615" s="10">
        <v>20</v>
      </c>
      <c r="G615" s="12">
        <v>6.75</v>
      </c>
      <c r="H615" s="12">
        <v>0.6</v>
      </c>
      <c r="I615" s="12">
        <v>0.95</v>
      </c>
      <c r="J615" s="44">
        <f t="shared" si="36"/>
        <v>0.95</v>
      </c>
      <c r="K615" s="10">
        <v>3.5526315789473686</v>
      </c>
      <c r="L615" s="9">
        <v>27.007666666666665</v>
      </c>
      <c r="M615" s="9">
        <v>1466.2</v>
      </c>
      <c r="N615" s="9">
        <v>171.11512500000001</v>
      </c>
      <c r="O615" s="9">
        <v>146.6</v>
      </c>
      <c r="P615" s="10">
        <v>7.83</v>
      </c>
      <c r="Q615" s="9">
        <v>42.35</v>
      </c>
      <c r="R615" s="9">
        <v>21.380062500000005</v>
      </c>
      <c r="S615" s="9">
        <v>12.55</v>
      </c>
      <c r="T615" s="10">
        <v>1.33</v>
      </c>
      <c r="U615" s="10">
        <v>6.4361098094866156</v>
      </c>
      <c r="V615" s="22">
        <v>3842.2302187500004</v>
      </c>
      <c r="W615" s="188">
        <f t="shared" si="29"/>
        <v>1.6587930777409385</v>
      </c>
      <c r="X615" s="192">
        <f t="shared" si="30"/>
        <v>19.05</v>
      </c>
      <c r="AA615" s="39" t="str">
        <f t="shared" si="35"/>
        <v>S</v>
      </c>
    </row>
    <row r="616" spans="1:27" x14ac:dyDescent="0.2">
      <c r="A616" s="2" t="s">
        <v>310</v>
      </c>
      <c r="B616" s="2" t="s">
        <v>451</v>
      </c>
      <c r="C616" s="2" t="s">
        <v>400</v>
      </c>
      <c r="D616" s="9">
        <v>80</v>
      </c>
      <c r="E616" s="10">
        <v>23.79</v>
      </c>
      <c r="F616" s="10">
        <v>20</v>
      </c>
      <c r="G616" s="12">
        <v>6.4850000000000003</v>
      </c>
      <c r="H616" s="12">
        <v>0.73499999999999999</v>
      </c>
      <c r="I616" s="12">
        <v>0.79</v>
      </c>
      <c r="J616" s="44">
        <f t="shared" si="36"/>
        <v>0.79</v>
      </c>
      <c r="K616" s="10">
        <v>4.1044303797468356</v>
      </c>
      <c r="L616" s="9">
        <v>22.873197278911569</v>
      </c>
      <c r="M616" s="9">
        <v>1326.4</v>
      </c>
      <c r="N616" s="9">
        <v>160.65102500000012</v>
      </c>
      <c r="O616" s="9">
        <v>132.6</v>
      </c>
      <c r="P616" s="10">
        <v>7.46</v>
      </c>
      <c r="Q616" s="9">
        <v>31.74</v>
      </c>
      <c r="R616" s="9">
        <v>17.777049999999999</v>
      </c>
      <c r="S616" s="9">
        <v>9.8000000000000007</v>
      </c>
      <c r="T616" s="10">
        <v>1.1499999999999999</v>
      </c>
      <c r="U616" s="10">
        <v>5.6046549307857996</v>
      </c>
      <c r="V616" s="22">
        <v>2928.2062335000001</v>
      </c>
      <c r="W616" s="188">
        <f t="shared" si="29"/>
        <v>1.5162834117061972</v>
      </c>
      <c r="X616" s="192">
        <f t="shared" si="30"/>
        <v>19.21</v>
      </c>
      <c r="AA616" s="39" t="str">
        <f t="shared" si="35"/>
        <v>S</v>
      </c>
    </row>
    <row r="617" spans="1:27" x14ac:dyDescent="0.2">
      <c r="A617" s="2" t="s">
        <v>310</v>
      </c>
      <c r="B617" s="2" t="s">
        <v>452</v>
      </c>
      <c r="C617" s="2" t="s">
        <v>400</v>
      </c>
      <c r="D617" s="9">
        <v>78</v>
      </c>
      <c r="E617" s="10">
        <v>22.94</v>
      </c>
      <c r="F617" s="10">
        <v>20</v>
      </c>
      <c r="G617" s="12">
        <v>6.75</v>
      </c>
      <c r="H617" s="12">
        <v>0.6</v>
      </c>
      <c r="I617" s="12">
        <v>0.86</v>
      </c>
      <c r="J617" s="44">
        <f t="shared" si="36"/>
        <v>0.86</v>
      </c>
      <c r="K617" s="10">
        <v>3.9244186046511622</v>
      </c>
      <c r="L617" s="9">
        <v>27.541</v>
      </c>
      <c r="M617" s="9">
        <v>1367.4</v>
      </c>
      <c r="N617" s="9">
        <v>161.12301500000004</v>
      </c>
      <c r="O617" s="9">
        <v>136.69999999999999</v>
      </c>
      <c r="P617" s="10">
        <v>7.72</v>
      </c>
      <c r="Q617" s="9">
        <v>37.86</v>
      </c>
      <c r="R617" s="9">
        <v>19.787212500000013</v>
      </c>
      <c r="S617" s="9">
        <v>11.2</v>
      </c>
      <c r="T617" s="10">
        <v>1.28</v>
      </c>
      <c r="U617" s="10">
        <v>5.2234383717328825</v>
      </c>
      <c r="V617" s="22">
        <v>3467.4043140000003</v>
      </c>
      <c r="W617" s="188">
        <f t="shared" ref="W617:W680" si="37">SQRT((Q617*X617)/(2*O617))</f>
        <v>1.6280285491476478</v>
      </c>
      <c r="X617" s="192">
        <f t="shared" ref="X617:X680" si="38">F617-I617</f>
        <v>19.14</v>
      </c>
      <c r="AA617" s="39" t="str">
        <f t="shared" si="35"/>
        <v>S</v>
      </c>
    </row>
    <row r="618" spans="1:27" x14ac:dyDescent="0.2">
      <c r="A618" s="2" t="s">
        <v>310</v>
      </c>
      <c r="B618" s="2" t="s">
        <v>453</v>
      </c>
      <c r="C618" s="2" t="s">
        <v>400</v>
      </c>
      <c r="D618" s="9">
        <v>70</v>
      </c>
      <c r="E618" s="10">
        <v>20.84</v>
      </c>
      <c r="F618" s="10">
        <v>20</v>
      </c>
      <c r="G618" s="12">
        <v>6.3380000000000001</v>
      </c>
      <c r="H618" s="12">
        <v>0.58799999999999997</v>
      </c>
      <c r="I618" s="12">
        <v>0.79</v>
      </c>
      <c r="J618" s="44">
        <f t="shared" si="36"/>
        <v>0.79</v>
      </c>
      <c r="K618" s="10">
        <v>4.0113924050632912</v>
      </c>
      <c r="L618" s="9">
        <v>28.591496598639459</v>
      </c>
      <c r="M618" s="9">
        <v>1229.3</v>
      </c>
      <c r="N618" s="9">
        <v>145.95102500000007</v>
      </c>
      <c r="O618" s="9">
        <v>122.9</v>
      </c>
      <c r="P618" s="10">
        <v>7.68</v>
      </c>
      <c r="Q618" s="9">
        <v>29.26</v>
      </c>
      <c r="R618" s="9">
        <v>16.136897500000018</v>
      </c>
      <c r="S618" s="9">
        <v>9.1999999999999993</v>
      </c>
      <c r="T618" s="10">
        <v>1.18</v>
      </c>
      <c r="U618" s="10">
        <v>4.1397817926074021</v>
      </c>
      <c r="V618" s="22">
        <v>2699.4112915000005</v>
      </c>
      <c r="W618" s="188">
        <f t="shared" si="37"/>
        <v>1.5122023340495687</v>
      </c>
      <c r="X618" s="192">
        <f t="shared" si="38"/>
        <v>19.21</v>
      </c>
      <c r="AA618" s="39" t="str">
        <f t="shared" si="35"/>
        <v>S</v>
      </c>
    </row>
    <row r="619" spans="1:27" x14ac:dyDescent="0.2">
      <c r="A619" s="2" t="s">
        <v>310</v>
      </c>
      <c r="B619" s="2" t="s">
        <v>454</v>
      </c>
      <c r="C619" s="2" t="s">
        <v>400</v>
      </c>
      <c r="D619" s="10">
        <v>66.666700000000006</v>
      </c>
      <c r="E619" s="10">
        <v>19.600000000000001</v>
      </c>
      <c r="F619" s="10">
        <v>20</v>
      </c>
      <c r="G619" s="12">
        <v>6.29</v>
      </c>
      <c r="H619" s="12">
        <v>0.54</v>
      </c>
      <c r="I619" s="12">
        <v>0.76500000000000001</v>
      </c>
      <c r="J619" s="44">
        <f t="shared" si="36"/>
        <v>0.76500000000000001</v>
      </c>
      <c r="K619" s="10">
        <v>4.1111111111111107</v>
      </c>
      <c r="L619" s="9">
        <v>31.318148148148143</v>
      </c>
      <c r="M619" s="9">
        <v>1172.7</v>
      </c>
      <c r="N619" s="9">
        <v>138.52135833333344</v>
      </c>
      <c r="O619" s="9">
        <v>117.3</v>
      </c>
      <c r="P619" s="10">
        <v>7.73</v>
      </c>
      <c r="Q619" s="9">
        <v>27.9</v>
      </c>
      <c r="R619" s="9">
        <v>15.294991666666691</v>
      </c>
      <c r="S619" s="9">
        <v>8.8699999999999992</v>
      </c>
      <c r="T619" s="10">
        <v>1.19</v>
      </c>
      <c r="U619" s="10">
        <v>3.5264282820738106</v>
      </c>
      <c r="V619" s="22">
        <v>2580.6469443749997</v>
      </c>
      <c r="W619" s="188">
        <f t="shared" si="37"/>
        <v>1.5124610286454838</v>
      </c>
      <c r="X619" s="192">
        <f t="shared" si="38"/>
        <v>19.234999999999999</v>
      </c>
      <c r="AA619" s="39" t="str">
        <f t="shared" si="35"/>
        <v>S</v>
      </c>
    </row>
    <row r="620" spans="1:27" x14ac:dyDescent="0.2">
      <c r="A620" s="2" t="s">
        <v>310</v>
      </c>
      <c r="B620" s="2" t="s">
        <v>456</v>
      </c>
      <c r="C620" s="2" t="s">
        <v>400</v>
      </c>
      <c r="D620" s="9">
        <v>65</v>
      </c>
      <c r="E620" s="10">
        <v>19.12</v>
      </c>
      <c r="F620" s="10">
        <v>20</v>
      </c>
      <c r="G620" s="12">
        <v>6.25</v>
      </c>
      <c r="H620" s="12">
        <v>0.5</v>
      </c>
      <c r="I620" s="12">
        <v>0.79</v>
      </c>
      <c r="J620" s="44">
        <f t="shared" si="36"/>
        <v>0.79</v>
      </c>
      <c r="K620" s="10">
        <v>3.9556962025316453</v>
      </c>
      <c r="L620" s="9">
        <v>33.623600000000003</v>
      </c>
      <c r="M620" s="9">
        <v>1179.7</v>
      </c>
      <c r="N620" s="9">
        <v>137.15102500000012</v>
      </c>
      <c r="O620" s="9">
        <v>118</v>
      </c>
      <c r="P620" s="10">
        <v>7.86</v>
      </c>
      <c r="Q620" s="9">
        <v>27.72</v>
      </c>
      <c r="R620" s="9">
        <v>15.258437499999999</v>
      </c>
      <c r="S620" s="9">
        <v>8.9</v>
      </c>
      <c r="T620" s="10">
        <v>1.2</v>
      </c>
      <c r="U620" s="10">
        <v>3.5047007351457022</v>
      </c>
      <c r="V620" s="22">
        <v>2557.3370130000003</v>
      </c>
      <c r="W620" s="188">
        <f t="shared" si="37"/>
        <v>1.5021188424852252</v>
      </c>
      <c r="X620" s="192">
        <f t="shared" si="38"/>
        <v>19.21</v>
      </c>
      <c r="AA620" s="39" t="str">
        <f t="shared" si="35"/>
        <v>S</v>
      </c>
    </row>
    <row r="621" spans="1:27" x14ac:dyDescent="0.2">
      <c r="A621" s="2" t="s">
        <v>310</v>
      </c>
      <c r="B621" s="2" t="s">
        <v>457</v>
      </c>
      <c r="C621" s="2" t="s">
        <v>400</v>
      </c>
      <c r="D621" s="9">
        <v>64.8</v>
      </c>
      <c r="E621" s="10">
        <v>19.04</v>
      </c>
      <c r="F621" s="10">
        <v>20</v>
      </c>
      <c r="G621" s="12">
        <v>6.25</v>
      </c>
      <c r="H621" s="12">
        <v>0.5</v>
      </c>
      <c r="I621" s="12">
        <v>0.76500000000000001</v>
      </c>
      <c r="J621" s="44">
        <f t="shared" si="36"/>
        <v>0.76500000000000001</v>
      </c>
      <c r="K621" s="10">
        <v>4.0849673202614376</v>
      </c>
      <c r="L621" s="9">
        <v>33.823599999999999</v>
      </c>
      <c r="M621" s="9">
        <v>1145.8</v>
      </c>
      <c r="N621" s="9">
        <v>134.52135833333344</v>
      </c>
      <c r="O621" s="9">
        <v>114.6</v>
      </c>
      <c r="P621" s="10">
        <v>7.76</v>
      </c>
      <c r="Q621" s="9">
        <v>26.7</v>
      </c>
      <c r="R621" s="9">
        <v>14.911041666666673</v>
      </c>
      <c r="S621" s="9">
        <v>8.5</v>
      </c>
      <c r="T621" s="10">
        <v>1.18</v>
      </c>
      <c r="U621" s="10">
        <v>3.2627357622343429</v>
      </c>
      <c r="V621" s="22">
        <v>2469.6513768749996</v>
      </c>
      <c r="W621" s="188">
        <f t="shared" si="37"/>
        <v>1.4969056215375023</v>
      </c>
      <c r="X621" s="192">
        <f t="shared" si="38"/>
        <v>19.234999999999999</v>
      </c>
      <c r="AA621" s="39" t="str">
        <f t="shared" si="35"/>
        <v>S</v>
      </c>
    </row>
    <row r="622" spans="1:27" x14ac:dyDescent="0.2">
      <c r="A622" s="2" t="s">
        <v>310</v>
      </c>
      <c r="B622" s="2" t="s">
        <v>458</v>
      </c>
      <c r="C622" s="2" t="s">
        <v>400</v>
      </c>
      <c r="D622" s="9">
        <v>64</v>
      </c>
      <c r="E622" s="10">
        <v>18.8</v>
      </c>
      <c r="F622" s="10">
        <v>20</v>
      </c>
      <c r="G622" s="12">
        <v>6.25</v>
      </c>
      <c r="H622" s="12">
        <v>0.5</v>
      </c>
      <c r="I622" s="12">
        <v>0.76500000000000001</v>
      </c>
      <c r="J622" s="44">
        <f t="shared" si="36"/>
        <v>0.76500000000000001</v>
      </c>
      <c r="K622" s="10">
        <v>4.0849673202614376</v>
      </c>
      <c r="L622" s="9">
        <v>33.823599999999999</v>
      </c>
      <c r="M622" s="9">
        <v>1146</v>
      </c>
      <c r="N622" s="9">
        <v>134.52135833333344</v>
      </c>
      <c r="O622" s="9">
        <v>114.6</v>
      </c>
      <c r="P622" s="10">
        <v>7.8</v>
      </c>
      <c r="Q622" s="9">
        <v>27.3</v>
      </c>
      <c r="R622" s="9">
        <v>14.911041666666673</v>
      </c>
      <c r="S622" s="9">
        <v>8.6999999999999993</v>
      </c>
      <c r="T622" s="10">
        <v>1.2</v>
      </c>
      <c r="U622" s="10">
        <v>3.2627357622343429</v>
      </c>
      <c r="V622" s="22">
        <v>2525.1491606249997</v>
      </c>
      <c r="W622" s="188">
        <f t="shared" si="37"/>
        <v>1.5136313431387238</v>
      </c>
      <c r="X622" s="192">
        <f t="shared" si="38"/>
        <v>19.234999999999999</v>
      </c>
      <c r="AA622" s="39" t="str">
        <f t="shared" si="35"/>
        <v>S</v>
      </c>
    </row>
    <row r="623" spans="1:27" x14ac:dyDescent="0.2">
      <c r="A623" s="2" t="s">
        <v>310</v>
      </c>
      <c r="B623" s="2" t="s">
        <v>459</v>
      </c>
      <c r="C623" s="2" t="s">
        <v>400</v>
      </c>
      <c r="D623" s="9">
        <v>90</v>
      </c>
      <c r="E623" s="10">
        <v>26.47</v>
      </c>
      <c r="F623" s="10">
        <v>18</v>
      </c>
      <c r="G623" s="12">
        <v>7.2450000000000001</v>
      </c>
      <c r="H623" s="12">
        <v>0.80700000000000005</v>
      </c>
      <c r="I623" s="12">
        <v>0.92700000000000005</v>
      </c>
      <c r="J623" s="44">
        <f t="shared" si="36"/>
        <v>0.92700000000000005</v>
      </c>
      <c r="K623" s="10">
        <v>3.907766990291262</v>
      </c>
      <c r="L623" s="9">
        <v>17.820916976456008</v>
      </c>
      <c r="M623" s="9">
        <v>1260.4000000000001</v>
      </c>
      <c r="N623" s="9">
        <v>167.10497359400011</v>
      </c>
      <c r="O623" s="9">
        <v>140</v>
      </c>
      <c r="P623" s="10">
        <v>6.9</v>
      </c>
      <c r="Q623" s="9">
        <v>52</v>
      </c>
      <c r="R623" s="9">
        <v>25.10655614400001</v>
      </c>
      <c r="S623" s="9">
        <v>14.4</v>
      </c>
      <c r="T623" s="10">
        <v>1.4</v>
      </c>
      <c r="U623" s="10">
        <v>8.324639866776149</v>
      </c>
      <c r="V623" s="22">
        <v>3789.3352769999997</v>
      </c>
      <c r="W623" s="188">
        <f t="shared" si="37"/>
        <v>1.7806459502102039</v>
      </c>
      <c r="X623" s="192">
        <f t="shared" si="38"/>
        <v>17.073</v>
      </c>
      <c r="AA623" s="39" t="str">
        <f t="shared" si="35"/>
        <v>S</v>
      </c>
    </row>
    <row r="624" spans="1:27" x14ac:dyDescent="0.2">
      <c r="A624" s="2" t="s">
        <v>310</v>
      </c>
      <c r="B624" s="2" t="s">
        <v>460</v>
      </c>
      <c r="C624" s="2" t="s">
        <v>400</v>
      </c>
      <c r="D624" s="9">
        <v>85</v>
      </c>
      <c r="E624" s="10">
        <v>25</v>
      </c>
      <c r="F624" s="10">
        <v>18</v>
      </c>
      <c r="G624" s="12">
        <v>7.1630000000000003</v>
      </c>
      <c r="H624" s="12">
        <v>0.72499999999999998</v>
      </c>
      <c r="I624" s="12">
        <v>0.92700000000000005</v>
      </c>
      <c r="J624" s="44">
        <f t="shared" si="36"/>
        <v>0.92700000000000005</v>
      </c>
      <c r="K624" s="10">
        <v>3.8635382955771305</v>
      </c>
      <c r="L624" s="9">
        <v>19.836524137931036</v>
      </c>
      <c r="M624" s="9">
        <v>1220.7</v>
      </c>
      <c r="N624" s="9">
        <v>160.462973594</v>
      </c>
      <c r="O624" s="9">
        <v>135.6</v>
      </c>
      <c r="P624" s="10">
        <v>6.99</v>
      </c>
      <c r="Q624" s="9">
        <v>50</v>
      </c>
      <c r="R624" s="9">
        <v>24.051870012000016</v>
      </c>
      <c r="S624" s="9">
        <v>14</v>
      </c>
      <c r="T624" s="10">
        <v>1.42</v>
      </c>
      <c r="U624" s="10">
        <v>7.3122738510891008</v>
      </c>
      <c r="V624" s="22">
        <v>3643.5916124999999</v>
      </c>
      <c r="W624" s="188">
        <f t="shared" si="37"/>
        <v>1.7741693806258867</v>
      </c>
      <c r="X624" s="192">
        <f t="shared" si="38"/>
        <v>17.073</v>
      </c>
      <c r="AA624" s="39" t="str">
        <f t="shared" si="35"/>
        <v>S</v>
      </c>
    </row>
    <row r="625" spans="1:27" x14ac:dyDescent="0.2">
      <c r="A625" s="2" t="s">
        <v>310</v>
      </c>
      <c r="B625" s="2" t="s">
        <v>461</v>
      </c>
      <c r="C625" s="2" t="s">
        <v>400</v>
      </c>
      <c r="D625" s="9">
        <v>80</v>
      </c>
      <c r="E625" s="10">
        <v>23.53</v>
      </c>
      <c r="F625" s="10">
        <v>18</v>
      </c>
      <c r="G625" s="12">
        <v>7.0819999999999999</v>
      </c>
      <c r="H625" s="12">
        <v>0.64400000000000002</v>
      </c>
      <c r="I625" s="12">
        <v>0.92700000000000005</v>
      </c>
      <c r="J625" s="44">
        <f t="shared" si="36"/>
        <v>0.92700000000000005</v>
      </c>
      <c r="K625" s="10">
        <v>3.8198489751887807</v>
      </c>
      <c r="L625" s="9">
        <v>22.331490683229813</v>
      </c>
      <c r="M625" s="9">
        <v>1181</v>
      </c>
      <c r="N625" s="9">
        <v>153.90197359400003</v>
      </c>
      <c r="O625" s="9">
        <v>131.19999999999999</v>
      </c>
      <c r="P625" s="10">
        <v>7.09</v>
      </c>
      <c r="Q625" s="9">
        <v>48.1</v>
      </c>
      <c r="R625" s="9">
        <v>23.069459406</v>
      </c>
      <c r="S625" s="9">
        <v>13.6</v>
      </c>
      <c r="T625" s="10">
        <v>1.43</v>
      </c>
      <c r="U625" s="10">
        <v>6.475798193632988</v>
      </c>
      <c r="V625" s="22">
        <v>3505.1351312249999</v>
      </c>
      <c r="W625" s="188">
        <f t="shared" si="37"/>
        <v>1.76907213950028</v>
      </c>
      <c r="X625" s="192">
        <f t="shared" si="38"/>
        <v>17.073</v>
      </c>
      <c r="AA625" s="39" t="str">
        <f t="shared" si="35"/>
        <v>S</v>
      </c>
    </row>
    <row r="626" spans="1:27" x14ac:dyDescent="0.2">
      <c r="A626" s="2" t="s">
        <v>310</v>
      </c>
      <c r="B626" s="2" t="s">
        <v>462</v>
      </c>
      <c r="C626" s="2" t="s">
        <v>400</v>
      </c>
      <c r="D626" s="9">
        <v>75.599999999999994</v>
      </c>
      <c r="E626" s="10">
        <v>22.04</v>
      </c>
      <c r="F626" s="10">
        <v>18</v>
      </c>
      <c r="G626" s="12">
        <v>7</v>
      </c>
      <c r="H626" s="12">
        <v>0.56000000000000005</v>
      </c>
      <c r="I626" s="12">
        <v>0.92700000000000005</v>
      </c>
      <c r="J626" s="44">
        <f t="shared" si="36"/>
        <v>0.92700000000000005</v>
      </c>
      <c r="K626" s="10">
        <v>3.7756202804746493</v>
      </c>
      <c r="L626" s="9">
        <v>25.681214285714283</v>
      </c>
      <c r="M626" s="9">
        <v>1141.8</v>
      </c>
      <c r="N626" s="9">
        <v>147.12957905333343</v>
      </c>
      <c r="O626" s="9">
        <v>126.9</v>
      </c>
      <c r="P626" s="10">
        <v>7.2</v>
      </c>
      <c r="Q626" s="9">
        <v>46.3</v>
      </c>
      <c r="R626" s="9">
        <v>22.124858933333357</v>
      </c>
      <c r="S626" s="9">
        <v>13.2</v>
      </c>
      <c r="T626" s="10">
        <v>1.45</v>
      </c>
      <c r="U626" s="10">
        <v>5.7626774184163283</v>
      </c>
      <c r="V626" s="22">
        <v>3373.9658331749997</v>
      </c>
      <c r="W626" s="188">
        <f t="shared" si="37"/>
        <v>1.7648167083820339</v>
      </c>
      <c r="X626" s="192">
        <f t="shared" si="38"/>
        <v>17.073</v>
      </c>
      <c r="AA626" s="39" t="str">
        <f t="shared" si="35"/>
        <v>S</v>
      </c>
    </row>
    <row r="627" spans="1:27" x14ac:dyDescent="0.2">
      <c r="A627" s="2" t="s">
        <v>310</v>
      </c>
      <c r="B627" s="2" t="s">
        <v>463</v>
      </c>
      <c r="C627" s="2" t="s">
        <v>400</v>
      </c>
      <c r="D627" s="9">
        <v>75</v>
      </c>
      <c r="E627" s="10">
        <v>22.05</v>
      </c>
      <c r="F627" s="10">
        <v>18</v>
      </c>
      <c r="G627" s="12">
        <v>7</v>
      </c>
      <c r="H627" s="12">
        <v>0.56200000000000006</v>
      </c>
      <c r="I627" s="12">
        <v>0.92700000000000005</v>
      </c>
      <c r="J627" s="44">
        <f t="shared" si="36"/>
        <v>0.92700000000000005</v>
      </c>
      <c r="K627" s="10">
        <v>3.7756202804746493</v>
      </c>
      <c r="L627" s="9">
        <v>25.589822064056936</v>
      </c>
      <c r="M627" s="9">
        <v>1141.3</v>
      </c>
      <c r="N627" s="9">
        <v>147.25997359400009</v>
      </c>
      <c r="O627" s="9">
        <v>126.8</v>
      </c>
      <c r="P627" s="10">
        <v>7.19</v>
      </c>
      <c r="Q627" s="9">
        <v>46.2</v>
      </c>
      <c r="R627" s="9">
        <v>22.135067274000015</v>
      </c>
      <c r="S627" s="9">
        <v>13.2</v>
      </c>
      <c r="T627" s="10">
        <v>1.45</v>
      </c>
      <c r="U627" s="10">
        <v>5.7766431867049377</v>
      </c>
      <c r="V627" s="22">
        <v>3366.6786499499999</v>
      </c>
      <c r="W627" s="188">
        <f t="shared" si="37"/>
        <v>1.7636048453304913</v>
      </c>
      <c r="X627" s="192">
        <f t="shared" si="38"/>
        <v>17.073</v>
      </c>
      <c r="AA627" s="39" t="str">
        <f t="shared" si="35"/>
        <v>S</v>
      </c>
    </row>
    <row r="628" spans="1:27" x14ac:dyDescent="0.2">
      <c r="A628" s="2" t="s">
        <v>310</v>
      </c>
      <c r="B628" s="2" t="s">
        <v>464</v>
      </c>
      <c r="C628" s="2" t="s">
        <v>400</v>
      </c>
      <c r="D628" s="9">
        <v>67</v>
      </c>
      <c r="E628" s="10">
        <v>19.7</v>
      </c>
      <c r="F628" s="10">
        <v>18</v>
      </c>
      <c r="G628" s="12">
        <v>6.5</v>
      </c>
      <c r="H628" s="12">
        <v>0.56000000000000005</v>
      </c>
      <c r="I628" s="12">
        <v>0.77500000000000002</v>
      </c>
      <c r="J628" s="44">
        <f t="shared" si="36"/>
        <v>0.77500000000000002</v>
      </c>
      <c r="K628" s="10">
        <v>4.193548387096774</v>
      </c>
      <c r="L628" s="9">
        <v>26.306214285714287</v>
      </c>
      <c r="M628" s="9">
        <v>973.5</v>
      </c>
      <c r="N628" s="9">
        <v>124.53643799999995</v>
      </c>
      <c r="O628" s="9">
        <v>108.2</v>
      </c>
      <c r="P628" s="10">
        <v>7.03</v>
      </c>
      <c r="Q628" s="9">
        <v>30.29</v>
      </c>
      <c r="R628" s="9">
        <v>16.22080799999998</v>
      </c>
      <c r="S628" s="9">
        <v>9.32</v>
      </c>
      <c r="T628" s="10">
        <v>1.24</v>
      </c>
      <c r="U628" s="10">
        <v>3.8202099095432298</v>
      </c>
      <c r="V628" s="22">
        <v>2246.7654828125005</v>
      </c>
      <c r="W628" s="188">
        <f t="shared" si="37"/>
        <v>1.5527467315050547</v>
      </c>
      <c r="X628" s="192">
        <f t="shared" si="38"/>
        <v>17.225000000000001</v>
      </c>
      <c r="AA628" s="39" t="str">
        <f t="shared" si="35"/>
        <v>S</v>
      </c>
    </row>
    <row r="629" spans="1:27" x14ac:dyDescent="0.2">
      <c r="A629" s="2" t="s">
        <v>310</v>
      </c>
      <c r="B629" s="2" t="s">
        <v>465</v>
      </c>
      <c r="C629" s="2" t="s">
        <v>400</v>
      </c>
      <c r="D629" s="9">
        <v>65</v>
      </c>
      <c r="E629" s="10">
        <v>19.12</v>
      </c>
      <c r="F629" s="10">
        <v>18</v>
      </c>
      <c r="G629" s="12">
        <v>6.1769999999999996</v>
      </c>
      <c r="H629" s="12">
        <v>0.63700000000000001</v>
      </c>
      <c r="I629" s="12">
        <v>0.69100000000000006</v>
      </c>
      <c r="J629" s="44">
        <f t="shared" si="36"/>
        <v>0.69100000000000006</v>
      </c>
      <c r="K629" s="10">
        <v>4.469609261939218</v>
      </c>
      <c r="L629" s="9">
        <v>23.696514913657769</v>
      </c>
      <c r="M629" s="9">
        <v>881.5</v>
      </c>
      <c r="N629" s="9">
        <v>117.75973528000009</v>
      </c>
      <c r="O629" s="9">
        <v>97.9</v>
      </c>
      <c r="P629" s="10">
        <v>6.79</v>
      </c>
      <c r="Q629" s="9">
        <v>23.47</v>
      </c>
      <c r="R629" s="9">
        <v>13.686806880000022</v>
      </c>
      <c r="S629" s="9">
        <v>7.6</v>
      </c>
      <c r="T629" s="10">
        <v>1.1100000000000001</v>
      </c>
      <c r="U629" s="10">
        <v>3.4895899290207866</v>
      </c>
      <c r="V629" s="22">
        <v>1757.9116897675001</v>
      </c>
      <c r="W629" s="188">
        <f t="shared" si="37"/>
        <v>1.4404102064409301</v>
      </c>
      <c r="X629" s="192">
        <f t="shared" si="38"/>
        <v>17.309000000000001</v>
      </c>
      <c r="AA629" s="39" t="str">
        <f t="shared" si="35"/>
        <v>S</v>
      </c>
    </row>
    <row r="630" spans="1:27" x14ac:dyDescent="0.2">
      <c r="A630" s="2" t="s">
        <v>310</v>
      </c>
      <c r="B630" s="2" t="s">
        <v>466</v>
      </c>
      <c r="C630" s="2" t="s">
        <v>400</v>
      </c>
      <c r="D630" s="9">
        <v>60</v>
      </c>
      <c r="E630" s="10">
        <v>17.649999999999999</v>
      </c>
      <c r="F630" s="10">
        <v>18</v>
      </c>
      <c r="G630" s="12">
        <v>6.0949999999999998</v>
      </c>
      <c r="H630" s="12">
        <v>0.55000000000000004</v>
      </c>
      <c r="I630" s="12">
        <v>0.69100000000000006</v>
      </c>
      <c r="J630" s="44">
        <f t="shared" si="36"/>
        <v>0.69100000000000006</v>
      </c>
      <c r="K630" s="10">
        <v>4.410274963820549</v>
      </c>
      <c r="L630" s="9">
        <v>27.444872727272724</v>
      </c>
      <c r="M630" s="9">
        <v>841.8</v>
      </c>
      <c r="N630" s="9">
        <v>110.77244894000009</v>
      </c>
      <c r="O630" s="9">
        <v>93.5</v>
      </c>
      <c r="P630" s="10">
        <v>6.91</v>
      </c>
      <c r="Q630" s="9">
        <v>22.38</v>
      </c>
      <c r="R630" s="9">
        <v>12.907963925000024</v>
      </c>
      <c r="S630" s="9">
        <v>7.3</v>
      </c>
      <c r="T630" s="10">
        <v>1.1299999999999999</v>
      </c>
      <c r="U630" s="10">
        <v>2.8625552482254695</v>
      </c>
      <c r="V630" s="22">
        <v>1676.2702861950002</v>
      </c>
      <c r="W630" s="188">
        <f t="shared" si="37"/>
        <v>1.4392797887000386</v>
      </c>
      <c r="X630" s="192">
        <f t="shared" si="38"/>
        <v>17.309000000000001</v>
      </c>
      <c r="AA630" s="39" t="str">
        <f t="shared" si="35"/>
        <v>S</v>
      </c>
    </row>
    <row r="631" spans="1:27" x14ac:dyDescent="0.2">
      <c r="A631" s="2" t="s">
        <v>310</v>
      </c>
      <c r="B631" s="2" t="s">
        <v>467</v>
      </c>
      <c r="C631" s="2" t="s">
        <v>400</v>
      </c>
      <c r="D631" s="9">
        <v>55</v>
      </c>
      <c r="E631" s="10">
        <v>16.2</v>
      </c>
      <c r="F631" s="10">
        <v>18</v>
      </c>
      <c r="G631" s="12">
        <v>6</v>
      </c>
      <c r="H631" s="12">
        <v>0.47</v>
      </c>
      <c r="I631" s="12">
        <v>0.70499999999999996</v>
      </c>
      <c r="J631" s="44">
        <f t="shared" si="36"/>
        <v>0.70499999999999996</v>
      </c>
      <c r="K631" s="10">
        <v>4.2553191489361701</v>
      </c>
      <c r="L631" s="9">
        <v>32.039744680851065</v>
      </c>
      <c r="M631" s="9">
        <v>806.8</v>
      </c>
      <c r="N631" s="9">
        <v>105.39535366666668</v>
      </c>
      <c r="O631" s="9">
        <v>89.6</v>
      </c>
      <c r="P631" s="10">
        <v>7.08</v>
      </c>
      <c r="Q631" s="9">
        <v>21.6</v>
      </c>
      <c r="R631" s="9">
        <v>12.408430833333341</v>
      </c>
      <c r="S631" s="9">
        <v>7.2</v>
      </c>
      <c r="T631" s="10">
        <v>1.1599999999999999</v>
      </c>
      <c r="U631" s="10">
        <v>2.5033990422649519</v>
      </c>
      <c r="V631" s="22">
        <v>1615.2319350000005</v>
      </c>
      <c r="W631" s="188">
        <f t="shared" si="37"/>
        <v>1.4438369639856949</v>
      </c>
      <c r="X631" s="192">
        <f t="shared" si="38"/>
        <v>17.295000000000002</v>
      </c>
      <c r="AA631" s="39" t="str">
        <f t="shared" si="35"/>
        <v>S</v>
      </c>
    </row>
    <row r="632" spans="1:27" x14ac:dyDescent="0.2">
      <c r="A632" s="2" t="s">
        <v>310</v>
      </c>
      <c r="B632" s="2" t="s">
        <v>468</v>
      </c>
      <c r="C632" s="2" t="s">
        <v>400</v>
      </c>
      <c r="D632" s="9">
        <v>48.2</v>
      </c>
      <c r="E632" s="10">
        <v>14.09</v>
      </c>
      <c r="F632" s="10">
        <v>18</v>
      </c>
      <c r="G632" s="12">
        <v>7.5</v>
      </c>
      <c r="H632" s="12">
        <v>0.38</v>
      </c>
      <c r="I632" s="12">
        <v>0.502</v>
      </c>
      <c r="J632" s="44">
        <f t="shared" si="36"/>
        <v>0.502</v>
      </c>
      <c r="K632" s="10">
        <v>7.4701195219123502</v>
      </c>
      <c r="L632" s="9">
        <v>42.048736842105264</v>
      </c>
      <c r="M632" s="9">
        <v>737.1</v>
      </c>
      <c r="N632" s="9">
        <v>93.259765760000022</v>
      </c>
      <c r="O632" s="9">
        <v>81.900000000000006</v>
      </c>
      <c r="P632" s="10">
        <v>7.23</v>
      </c>
      <c r="Q632" s="9">
        <v>30</v>
      </c>
      <c r="R632" s="9">
        <v>13.363556799999989</v>
      </c>
      <c r="S632" s="9">
        <v>8</v>
      </c>
      <c r="T632" s="10">
        <v>1.46</v>
      </c>
      <c r="U632" s="10">
        <v>1.1398343805193638</v>
      </c>
      <c r="V632" s="22">
        <v>2296.3500300000005</v>
      </c>
      <c r="W632" s="188">
        <f t="shared" si="37"/>
        <v>1.7901848800506346</v>
      </c>
      <c r="X632" s="192">
        <f t="shared" si="38"/>
        <v>17.498000000000001</v>
      </c>
      <c r="AA632" s="39" t="str">
        <f t="shared" si="35"/>
        <v>S</v>
      </c>
    </row>
    <row r="633" spans="1:27" x14ac:dyDescent="0.2">
      <c r="A633" s="2" t="s">
        <v>310</v>
      </c>
      <c r="B633" s="2" t="s">
        <v>469</v>
      </c>
      <c r="C633" s="2" t="s">
        <v>400</v>
      </c>
      <c r="D633" s="9">
        <v>48</v>
      </c>
      <c r="E633" s="10">
        <v>14.08</v>
      </c>
      <c r="F633" s="10">
        <v>18</v>
      </c>
      <c r="G633" s="12">
        <v>7.5</v>
      </c>
      <c r="H633" s="12">
        <v>0.38</v>
      </c>
      <c r="I633" s="12">
        <v>0.502</v>
      </c>
      <c r="J633" s="44">
        <f t="shared" si="36"/>
        <v>0.502</v>
      </c>
      <c r="K633" s="10">
        <v>7.4701195219123502</v>
      </c>
      <c r="L633" s="9">
        <v>42.048736842105264</v>
      </c>
      <c r="M633" s="9">
        <v>737.1</v>
      </c>
      <c r="N633" s="9">
        <v>93.259765760000022</v>
      </c>
      <c r="O633" s="9">
        <v>81.900000000000006</v>
      </c>
      <c r="P633" s="10">
        <v>7.23</v>
      </c>
      <c r="Q633" s="9">
        <v>30</v>
      </c>
      <c r="R633" s="9">
        <v>13.363556799999989</v>
      </c>
      <c r="S633" s="9">
        <v>8</v>
      </c>
      <c r="T633" s="10">
        <v>1.46</v>
      </c>
      <c r="U633" s="10">
        <v>1.1398343805193638</v>
      </c>
      <c r="V633" s="22">
        <v>2296.3500300000005</v>
      </c>
      <c r="W633" s="188">
        <f t="shared" si="37"/>
        <v>1.7901848800506346</v>
      </c>
      <c r="X633" s="192">
        <f t="shared" si="38"/>
        <v>17.498000000000001</v>
      </c>
      <c r="AA633" s="39" t="str">
        <f t="shared" si="35"/>
        <v>S</v>
      </c>
    </row>
    <row r="634" spans="1:27" x14ac:dyDescent="0.2">
      <c r="A634" s="2" t="s">
        <v>310</v>
      </c>
      <c r="B634" s="2" t="s">
        <v>470</v>
      </c>
      <c r="C634" s="2" t="s">
        <v>400</v>
      </c>
      <c r="D634" s="9">
        <v>46</v>
      </c>
      <c r="E634" s="10">
        <v>13.53</v>
      </c>
      <c r="F634" s="10">
        <v>18</v>
      </c>
      <c r="G634" s="12">
        <v>6</v>
      </c>
      <c r="H634" s="12">
        <v>0.32200000000000001</v>
      </c>
      <c r="I634" s="12">
        <v>0.66349999999999998</v>
      </c>
      <c r="J634" s="44">
        <f t="shared" si="36"/>
        <v>0.66349999999999998</v>
      </c>
      <c r="K634" s="10">
        <v>4.5214770158251696</v>
      </c>
      <c r="L634" s="9">
        <v>47.326086956521735</v>
      </c>
      <c r="M634" s="9">
        <v>733.2</v>
      </c>
      <c r="N634" s="9">
        <v>91.288854179333356</v>
      </c>
      <c r="O634" s="9">
        <v>81.5</v>
      </c>
      <c r="P634" s="10">
        <v>7.36</v>
      </c>
      <c r="Q634" s="9">
        <v>19.899999999999999</v>
      </c>
      <c r="R634" s="9">
        <v>11.104399955333342</v>
      </c>
      <c r="S634" s="9">
        <v>6.6</v>
      </c>
      <c r="T634" s="10">
        <v>1.21</v>
      </c>
      <c r="U634" s="10">
        <v>1.6963399182559349</v>
      </c>
      <c r="V634" s="22">
        <v>1495.2573054437501</v>
      </c>
      <c r="W634" s="188">
        <f t="shared" si="37"/>
        <v>1.4548340195843226</v>
      </c>
      <c r="X634" s="192">
        <f t="shared" si="38"/>
        <v>17.336500000000001</v>
      </c>
      <c r="AA634" s="39" t="str">
        <f t="shared" si="35"/>
        <v>S</v>
      </c>
    </row>
    <row r="635" spans="1:27" x14ac:dyDescent="0.2">
      <c r="A635" s="2" t="s">
        <v>310</v>
      </c>
      <c r="B635" s="2" t="s">
        <v>471</v>
      </c>
      <c r="C635" s="2" t="s">
        <v>400</v>
      </c>
      <c r="D635" s="9">
        <v>100</v>
      </c>
      <c r="E635" s="10">
        <v>29.5</v>
      </c>
      <c r="F635" s="10">
        <v>15</v>
      </c>
      <c r="G635" s="12">
        <v>6.81</v>
      </c>
      <c r="H635" s="12">
        <v>1.17</v>
      </c>
      <c r="I635" s="12">
        <v>1.0349999999999999</v>
      </c>
      <c r="J635" s="44">
        <f t="shared" si="36"/>
        <v>1.0349999999999999</v>
      </c>
      <c r="K635" s="10">
        <v>3.2898550724637681</v>
      </c>
      <c r="L635" s="9">
        <v>9.5821880341880341</v>
      </c>
      <c r="M635" s="9">
        <v>898.4</v>
      </c>
      <c r="N635" s="9">
        <v>147.26030399999999</v>
      </c>
      <c r="O635" s="9">
        <v>119.8</v>
      </c>
      <c r="P635" s="10">
        <v>5.52</v>
      </c>
      <c r="Q635" s="9">
        <v>52.03</v>
      </c>
      <c r="R635" s="9">
        <v>27.390788999999987</v>
      </c>
      <c r="S635" s="9">
        <v>15.3</v>
      </c>
      <c r="T635" s="10">
        <v>1.33</v>
      </c>
      <c r="U635" s="9">
        <v>14.627093438781666</v>
      </c>
      <c r="V635" s="22">
        <v>2536.7385841874998</v>
      </c>
      <c r="W635" s="188">
        <f t="shared" si="37"/>
        <v>1.7414217969209296</v>
      </c>
      <c r="X635" s="192">
        <f t="shared" si="38"/>
        <v>13.965</v>
      </c>
      <c r="AA635" s="39" t="str">
        <f t="shared" si="35"/>
        <v>S</v>
      </c>
    </row>
    <row r="636" spans="1:27" x14ac:dyDescent="0.2">
      <c r="A636" s="2" t="s">
        <v>310</v>
      </c>
      <c r="B636" s="2" t="s">
        <v>472</v>
      </c>
      <c r="C636" s="2" t="s">
        <v>400</v>
      </c>
      <c r="D636" s="9">
        <v>95</v>
      </c>
      <c r="E636" s="10">
        <v>28</v>
      </c>
      <c r="F636" s="10">
        <v>15</v>
      </c>
      <c r="G636" s="12">
        <v>6.71</v>
      </c>
      <c r="H636" s="12">
        <v>1.07</v>
      </c>
      <c r="I636" s="12">
        <v>1.0349999999999999</v>
      </c>
      <c r="J636" s="44">
        <f t="shared" si="36"/>
        <v>1.0349999999999999</v>
      </c>
      <c r="K636" s="10">
        <v>3.2415458937198069</v>
      </c>
      <c r="L636" s="9">
        <v>10.477719626168223</v>
      </c>
      <c r="M636" s="9">
        <v>870.3</v>
      </c>
      <c r="N636" s="9">
        <v>141.63530399999999</v>
      </c>
      <c r="O636" s="9">
        <v>116</v>
      </c>
      <c r="P636" s="10">
        <v>5.58</v>
      </c>
      <c r="Q636" s="9">
        <v>49.36</v>
      </c>
      <c r="R636" s="9">
        <v>25.967048999999985</v>
      </c>
      <c r="S636" s="9">
        <v>14.7</v>
      </c>
      <c r="T636" s="10">
        <v>1.33</v>
      </c>
      <c r="U636" s="9">
        <v>12.609560341740876</v>
      </c>
      <c r="V636" s="22">
        <v>2406.5619164999998</v>
      </c>
      <c r="W636" s="188">
        <f t="shared" si="37"/>
        <v>1.7237094122650241</v>
      </c>
      <c r="X636" s="192">
        <f t="shared" si="38"/>
        <v>13.965</v>
      </c>
      <c r="AA636" s="39" t="str">
        <f t="shared" si="35"/>
        <v>S</v>
      </c>
    </row>
    <row r="637" spans="1:27" x14ac:dyDescent="0.2">
      <c r="A637" s="2" t="s">
        <v>310</v>
      </c>
      <c r="B637" s="2" t="s">
        <v>473</v>
      </c>
      <c r="C637" s="2" t="s">
        <v>400</v>
      </c>
      <c r="D637" s="9">
        <v>90</v>
      </c>
      <c r="E637" s="10">
        <v>26.51</v>
      </c>
      <c r="F637" s="10">
        <v>15</v>
      </c>
      <c r="G637" s="12">
        <v>6.5960000000000001</v>
      </c>
      <c r="H637" s="12">
        <v>0.96599999999999997</v>
      </c>
      <c r="I637" s="12">
        <v>1.0349999999999999</v>
      </c>
      <c r="J637" s="44">
        <f t="shared" si="36"/>
        <v>1.0349999999999999</v>
      </c>
      <c r="K637" s="10">
        <v>3.1864734299516906</v>
      </c>
      <c r="L637" s="9">
        <v>11.211387163561078</v>
      </c>
      <c r="M637" s="9">
        <v>844.1</v>
      </c>
      <c r="N637" s="9">
        <v>135.60861433333332</v>
      </c>
      <c r="O637" s="9">
        <v>112.5</v>
      </c>
      <c r="P637" s="10">
        <v>5.64</v>
      </c>
      <c r="Q637" s="9">
        <v>45.8</v>
      </c>
      <c r="R637" s="9">
        <v>24.28994913333332</v>
      </c>
      <c r="S637" s="9">
        <v>13.9</v>
      </c>
      <c r="T637" s="10">
        <v>1.32</v>
      </c>
      <c r="U637" s="9">
        <v>11.393194230434601</v>
      </c>
      <c r="V637" s="22">
        <v>2232.9930262499997</v>
      </c>
      <c r="W637" s="188">
        <f t="shared" si="37"/>
        <v>1.6860170026821595</v>
      </c>
      <c r="X637" s="192">
        <f t="shared" si="38"/>
        <v>13.965</v>
      </c>
      <c r="AA637" s="39" t="str">
        <f t="shared" si="35"/>
        <v>S</v>
      </c>
    </row>
    <row r="638" spans="1:27" x14ac:dyDescent="0.2">
      <c r="A638" s="2" t="s">
        <v>310</v>
      </c>
      <c r="B638" s="2" t="s">
        <v>474</v>
      </c>
      <c r="C638" s="2" t="s">
        <v>400</v>
      </c>
      <c r="D638" s="9">
        <v>85.1</v>
      </c>
      <c r="E638" s="10">
        <v>25.03</v>
      </c>
      <c r="F638" s="10">
        <v>15</v>
      </c>
      <c r="G638" s="12">
        <v>6.71</v>
      </c>
      <c r="H638" s="12">
        <v>0.91</v>
      </c>
      <c r="I638" s="12">
        <v>0.92500000000000004</v>
      </c>
      <c r="J638" s="44">
        <f t="shared" si="36"/>
        <v>0.92500000000000004</v>
      </c>
      <c r="K638" s="10">
        <v>3.6270270270270273</v>
      </c>
      <c r="L638" s="9">
        <v>12.187032967032968</v>
      </c>
      <c r="M638" s="9">
        <v>789.24</v>
      </c>
      <c r="N638" s="9">
        <v>126.61050666666668</v>
      </c>
      <c r="O638" s="9">
        <v>105.23</v>
      </c>
      <c r="P638" s="10">
        <v>5.61</v>
      </c>
      <c r="Q638" s="9">
        <v>42.56</v>
      </c>
      <c r="R638" s="9">
        <v>22.340591666666654</v>
      </c>
      <c r="S638" s="9">
        <v>12.69</v>
      </c>
      <c r="T638" s="10">
        <v>1.3</v>
      </c>
      <c r="U638" s="10">
        <v>9.0282274546834795</v>
      </c>
      <c r="V638" s="22">
        <v>2107.8438499999997</v>
      </c>
      <c r="W638" s="188">
        <f t="shared" si="37"/>
        <v>1.6870976806498126</v>
      </c>
      <c r="X638" s="192">
        <f t="shared" si="38"/>
        <v>14.074999999999999</v>
      </c>
      <c r="AA638" s="39" t="str">
        <f t="shared" si="35"/>
        <v>S</v>
      </c>
    </row>
    <row r="639" spans="1:27" x14ac:dyDescent="0.2">
      <c r="A639" s="2" t="s">
        <v>310</v>
      </c>
      <c r="B639" s="2" t="s">
        <v>475</v>
      </c>
      <c r="C639" s="2" t="s">
        <v>400</v>
      </c>
      <c r="D639" s="9">
        <v>85</v>
      </c>
      <c r="E639" s="10">
        <v>25</v>
      </c>
      <c r="F639" s="10">
        <v>15</v>
      </c>
      <c r="G639" s="12">
        <v>6.51</v>
      </c>
      <c r="H639" s="12">
        <v>0.87</v>
      </c>
      <c r="I639" s="12">
        <v>1.0349999999999999</v>
      </c>
      <c r="J639" s="44">
        <f t="shared" si="36"/>
        <v>1.0349999999999999</v>
      </c>
      <c r="K639" s="10">
        <v>3.1449275362318843</v>
      </c>
      <c r="L639" s="9">
        <v>12.886390804597701</v>
      </c>
      <c r="M639" s="9">
        <v>814</v>
      </c>
      <c r="N639" s="9">
        <v>130.38530399999999</v>
      </c>
      <c r="O639" s="9">
        <v>108.5</v>
      </c>
      <c r="P639" s="10">
        <v>5.71</v>
      </c>
      <c r="Q639" s="9">
        <v>44.56</v>
      </c>
      <c r="R639" s="9">
        <v>23.344569000000007</v>
      </c>
      <c r="S639" s="9">
        <v>13.7</v>
      </c>
      <c r="T639" s="10">
        <v>1.34</v>
      </c>
      <c r="U639" s="10">
        <v>9.4254829243125702</v>
      </c>
      <c r="V639" s="22">
        <v>2172.5364464999998</v>
      </c>
      <c r="W639" s="188">
        <f t="shared" si="37"/>
        <v>1.6934141882313452</v>
      </c>
      <c r="X639" s="192">
        <f t="shared" si="38"/>
        <v>13.965</v>
      </c>
      <c r="AA639" s="39" t="str">
        <f t="shared" si="35"/>
        <v>S</v>
      </c>
    </row>
    <row r="640" spans="1:27" x14ac:dyDescent="0.2">
      <c r="A640" s="2" t="s">
        <v>310</v>
      </c>
      <c r="B640" s="2" t="s">
        <v>476</v>
      </c>
      <c r="C640" s="2" t="s">
        <v>400</v>
      </c>
      <c r="D640" s="9">
        <v>81.3</v>
      </c>
      <c r="E640" s="10">
        <v>23.91</v>
      </c>
      <c r="F640" s="10">
        <v>15</v>
      </c>
      <c r="G640" s="12">
        <v>6.4</v>
      </c>
      <c r="H640" s="12">
        <v>0.8</v>
      </c>
      <c r="I640" s="12">
        <v>1.0335000000000001</v>
      </c>
      <c r="J640" s="44">
        <f t="shared" si="36"/>
        <v>1.0335000000000001</v>
      </c>
      <c r="K640" s="10">
        <v>3.0962747943880018</v>
      </c>
      <c r="L640" s="9">
        <v>13.545250000000001</v>
      </c>
      <c r="M640" s="9">
        <v>795.5</v>
      </c>
      <c r="N640" s="9">
        <v>125.73074053333332</v>
      </c>
      <c r="O640" s="9">
        <v>106.1</v>
      </c>
      <c r="P640" s="10">
        <v>5.78</v>
      </c>
      <c r="Q640" s="9">
        <v>41.76</v>
      </c>
      <c r="R640" s="9">
        <v>22.014933333333325</v>
      </c>
      <c r="S640" s="9">
        <v>12.91</v>
      </c>
      <c r="T640" s="10">
        <v>1.32</v>
      </c>
      <c r="U640" s="10">
        <v>8.9774494342834643</v>
      </c>
      <c r="V640" s="22">
        <v>2036.4589962899997</v>
      </c>
      <c r="W640" s="188">
        <f t="shared" si="37"/>
        <v>1.6578733410849313</v>
      </c>
      <c r="X640" s="192">
        <f t="shared" si="38"/>
        <v>13.9665</v>
      </c>
      <c r="AA640" s="39" t="str">
        <f t="shared" si="35"/>
        <v>S</v>
      </c>
    </row>
    <row r="641" spans="1:27" x14ac:dyDescent="0.2">
      <c r="A641" s="2" t="s">
        <v>310</v>
      </c>
      <c r="B641" s="2" t="s">
        <v>477</v>
      </c>
      <c r="C641" s="2" t="s">
        <v>400</v>
      </c>
      <c r="D641" s="9">
        <v>80</v>
      </c>
      <c r="E641" s="10">
        <v>23.81</v>
      </c>
      <c r="F641" s="10">
        <v>15</v>
      </c>
      <c r="G641" s="12">
        <v>6.4</v>
      </c>
      <c r="H641" s="12">
        <v>0.81</v>
      </c>
      <c r="I641" s="12">
        <v>1.0430000000000001</v>
      </c>
      <c r="J641" s="44">
        <f t="shared" si="36"/>
        <v>1.0430000000000001</v>
      </c>
      <c r="K641" s="10">
        <v>3.0680728667305845</v>
      </c>
      <c r="L641" s="9">
        <v>13.335160493827159</v>
      </c>
      <c r="M641" s="9">
        <v>795.5</v>
      </c>
      <c r="N641" s="9">
        <v>126.83581558666668</v>
      </c>
      <c r="O641" s="9">
        <v>106.1</v>
      </c>
      <c r="P641" s="10">
        <v>5.78</v>
      </c>
      <c r="Q641" s="9">
        <v>41.76</v>
      </c>
      <c r="R641" s="9">
        <v>22.265390966666672</v>
      </c>
      <c r="S641" s="9">
        <v>13.1</v>
      </c>
      <c r="T641" s="10">
        <v>1.32</v>
      </c>
      <c r="U641" s="10">
        <v>9.2589398067169011</v>
      </c>
      <c r="V641" s="22">
        <v>2033.6895435599999</v>
      </c>
      <c r="W641" s="188">
        <f t="shared" si="37"/>
        <v>1.6573094032371976</v>
      </c>
      <c r="X641" s="192">
        <f t="shared" si="38"/>
        <v>13.957000000000001</v>
      </c>
      <c r="AA641" s="39" t="str">
        <f t="shared" si="35"/>
        <v>S</v>
      </c>
    </row>
    <row r="642" spans="1:27" x14ac:dyDescent="0.2">
      <c r="A642" s="2" t="s">
        <v>310</v>
      </c>
      <c r="B642" s="2" t="s">
        <v>478</v>
      </c>
      <c r="C642" s="2" t="s">
        <v>400</v>
      </c>
      <c r="D642" s="9">
        <v>75</v>
      </c>
      <c r="E642" s="10">
        <v>22.1</v>
      </c>
      <c r="F642" s="10">
        <v>15</v>
      </c>
      <c r="G642" s="12">
        <v>6.34</v>
      </c>
      <c r="H642" s="12">
        <v>0.84</v>
      </c>
      <c r="I642" s="12">
        <v>0.9</v>
      </c>
      <c r="J642" s="44">
        <f t="shared" si="36"/>
        <v>0.9</v>
      </c>
      <c r="K642" s="10">
        <v>3.5222222222222221</v>
      </c>
      <c r="L642" s="9">
        <v>13.926619047619047</v>
      </c>
      <c r="M642" s="9">
        <v>728.4</v>
      </c>
      <c r="N642" s="9">
        <v>116.9920166666667</v>
      </c>
      <c r="O642" s="9">
        <v>97.1</v>
      </c>
      <c r="P642" s="10">
        <v>5.74</v>
      </c>
      <c r="Q642" s="9">
        <v>35.840000000000003</v>
      </c>
      <c r="R642" s="9">
        <v>19.55941666666665</v>
      </c>
      <c r="S642" s="9">
        <v>11.3</v>
      </c>
      <c r="T642" s="10">
        <v>1.27</v>
      </c>
      <c r="U642" s="10">
        <v>6.9181883333774623</v>
      </c>
      <c r="V642" s="22">
        <v>1781.3376000000003</v>
      </c>
      <c r="W642" s="188">
        <f t="shared" si="37"/>
        <v>1.6131284251940075</v>
      </c>
      <c r="X642" s="192">
        <f t="shared" si="38"/>
        <v>14.1</v>
      </c>
      <c r="AA642" s="39" t="str">
        <f t="shared" si="35"/>
        <v>S</v>
      </c>
    </row>
    <row r="643" spans="1:27" x14ac:dyDescent="0.2">
      <c r="A643" s="2" t="s">
        <v>310</v>
      </c>
      <c r="B643" s="2" t="s">
        <v>479</v>
      </c>
      <c r="C643" s="2" t="s">
        <v>400</v>
      </c>
      <c r="D643" s="9">
        <v>70.400000000000006</v>
      </c>
      <c r="E643" s="10">
        <v>20.7</v>
      </c>
      <c r="F643" s="10">
        <v>15</v>
      </c>
      <c r="G643" s="12">
        <v>6.36</v>
      </c>
      <c r="H643" s="12">
        <v>0.76</v>
      </c>
      <c r="I643" s="12">
        <v>0.80500000000000005</v>
      </c>
      <c r="J643" s="44">
        <f t="shared" si="36"/>
        <v>0.80500000000000005</v>
      </c>
      <c r="K643" s="10">
        <v>3.9503105590062115</v>
      </c>
      <c r="L643" s="9">
        <v>15.374473684210527</v>
      </c>
      <c r="M643" s="9">
        <v>654.09</v>
      </c>
      <c r="N643" s="9">
        <v>106.6626133333333</v>
      </c>
      <c r="O643" s="9">
        <v>87.21</v>
      </c>
      <c r="P643" s="10">
        <v>5.62</v>
      </c>
      <c r="Q643" s="9">
        <v>30.9</v>
      </c>
      <c r="R643" s="9">
        <v>17.143013333333307</v>
      </c>
      <c r="S643" s="9">
        <v>9.6999999999999993</v>
      </c>
      <c r="T643" s="10">
        <v>1.22</v>
      </c>
      <c r="U643" s="10">
        <v>5.3242977498151092</v>
      </c>
      <c r="V643" s="22">
        <v>1556.5722431250001</v>
      </c>
      <c r="W643" s="188">
        <f t="shared" si="37"/>
        <v>1.5858014005137417</v>
      </c>
      <c r="X643" s="192">
        <f t="shared" si="38"/>
        <v>14.195</v>
      </c>
      <c r="AA643" s="39" t="str">
        <f t="shared" si="35"/>
        <v>S</v>
      </c>
    </row>
    <row r="644" spans="1:27" x14ac:dyDescent="0.2">
      <c r="A644" s="2" t="s">
        <v>310</v>
      </c>
      <c r="B644" s="2" t="s">
        <v>480</v>
      </c>
      <c r="C644" s="2" t="s">
        <v>400</v>
      </c>
      <c r="D644" s="9">
        <v>70</v>
      </c>
      <c r="E644" s="10">
        <v>20.61</v>
      </c>
      <c r="F644" s="10">
        <v>15</v>
      </c>
      <c r="G644" s="12">
        <v>6.1959999999999997</v>
      </c>
      <c r="H644" s="12">
        <v>0.78600000000000003</v>
      </c>
      <c r="I644" s="12">
        <v>0.81499999999999995</v>
      </c>
      <c r="J644" s="44">
        <f t="shared" si="36"/>
        <v>0.81499999999999995</v>
      </c>
      <c r="K644" s="10">
        <v>3.8012269938650309</v>
      </c>
      <c r="L644" s="9">
        <v>14.810839694656488</v>
      </c>
      <c r="M644" s="9">
        <v>664.2</v>
      </c>
      <c r="N644" s="9">
        <v>106.66499899999997</v>
      </c>
      <c r="O644" s="9">
        <v>88.6</v>
      </c>
      <c r="P644" s="10">
        <v>5.68</v>
      </c>
      <c r="Q644" s="9">
        <v>29.03</v>
      </c>
      <c r="R644" s="9">
        <v>16.611523899999998</v>
      </c>
      <c r="S644" s="9">
        <v>9.4</v>
      </c>
      <c r="T644" s="10">
        <v>1.19</v>
      </c>
      <c r="U644" s="10">
        <v>5.6139212521577093</v>
      </c>
      <c r="V644" s="22">
        <v>1460.3122379375002</v>
      </c>
      <c r="W644" s="188">
        <f t="shared" si="37"/>
        <v>1.5244259364317816</v>
      </c>
      <c r="X644" s="192">
        <f t="shared" si="38"/>
        <v>14.185</v>
      </c>
      <c r="AA644" s="39" t="str">
        <f t="shared" ref="AA644:AA707" si="39">A644</f>
        <v>S</v>
      </c>
    </row>
    <row r="645" spans="1:27" x14ac:dyDescent="0.2">
      <c r="A645" s="2" t="s">
        <v>310</v>
      </c>
      <c r="B645" s="2" t="s">
        <v>481</v>
      </c>
      <c r="C645" s="2" t="s">
        <v>400</v>
      </c>
      <c r="D645" s="2">
        <v>69.2</v>
      </c>
      <c r="E645" s="10">
        <v>20.38</v>
      </c>
      <c r="F645" s="10">
        <v>15</v>
      </c>
      <c r="G645" s="12">
        <v>6.4</v>
      </c>
      <c r="H645" s="12">
        <v>0.6</v>
      </c>
      <c r="I645" s="12">
        <v>0.92500000000000004</v>
      </c>
      <c r="J645" s="44">
        <f t="shared" si="36"/>
        <v>0.92500000000000004</v>
      </c>
      <c r="K645" s="10">
        <v>3.4594594594594601</v>
      </c>
      <c r="L645" s="9">
        <v>19.041000000000004</v>
      </c>
      <c r="M645" s="9">
        <v>710</v>
      </c>
      <c r="N645" s="9">
        <v>109.17300666666662</v>
      </c>
      <c r="O645" s="9">
        <v>94.67</v>
      </c>
      <c r="P645" s="10">
        <v>5.9</v>
      </c>
      <c r="Q645" s="9">
        <v>36.229999999999997</v>
      </c>
      <c r="R645" s="9">
        <v>18.922066666666673</v>
      </c>
      <c r="S645" s="9">
        <v>11.3</v>
      </c>
      <c r="T645" s="10">
        <v>1.33</v>
      </c>
      <c r="U645" s="10">
        <v>5.3590711244552356</v>
      </c>
      <c r="V645" s="22">
        <v>1794.3416984374996</v>
      </c>
      <c r="W645" s="188">
        <f t="shared" si="37"/>
        <v>1.6411080749089053</v>
      </c>
      <c r="X645" s="192">
        <f t="shared" si="38"/>
        <v>14.074999999999999</v>
      </c>
      <c r="AA645" s="39" t="str">
        <f t="shared" si="39"/>
        <v>S</v>
      </c>
    </row>
    <row r="646" spans="1:27" x14ac:dyDescent="0.2">
      <c r="A646" s="2" t="s">
        <v>310</v>
      </c>
      <c r="B646" s="2" t="s">
        <v>482</v>
      </c>
      <c r="C646" s="2" t="s">
        <v>400</v>
      </c>
      <c r="D646" s="10">
        <v>66.666700000000006</v>
      </c>
      <c r="E646" s="10">
        <v>19.7</v>
      </c>
      <c r="F646" s="10">
        <v>15</v>
      </c>
      <c r="G646" s="12">
        <v>6.13</v>
      </c>
      <c r="H646" s="12">
        <v>0.65</v>
      </c>
      <c r="I646" s="12">
        <v>0.9</v>
      </c>
      <c r="J646" s="44">
        <f t="shared" si="36"/>
        <v>0.9</v>
      </c>
      <c r="K646" s="10">
        <v>3.4055555555555554</v>
      </c>
      <c r="L646" s="9">
        <v>17.874399999999998</v>
      </c>
      <c r="M646" s="9">
        <v>676.3</v>
      </c>
      <c r="N646" s="9">
        <v>106.02314399999997</v>
      </c>
      <c r="O646" s="9">
        <v>90.1</v>
      </c>
      <c r="P646" s="10">
        <v>5.87</v>
      </c>
      <c r="Q646" s="9">
        <v>31.7</v>
      </c>
      <c r="R646" s="9">
        <v>17.252790999999984</v>
      </c>
      <c r="S646" s="9">
        <v>10.3</v>
      </c>
      <c r="T646" s="10">
        <v>1.27</v>
      </c>
      <c r="U646" s="10">
        <v>5.1387344334443581</v>
      </c>
      <c r="V646" s="22">
        <v>1575.56925</v>
      </c>
      <c r="W646" s="188">
        <f t="shared" si="37"/>
        <v>1.5749319524436505</v>
      </c>
      <c r="X646" s="192">
        <f t="shared" si="38"/>
        <v>14.1</v>
      </c>
      <c r="AA646" s="39" t="str">
        <f t="shared" si="39"/>
        <v>S</v>
      </c>
    </row>
    <row r="647" spans="1:27" x14ac:dyDescent="0.2">
      <c r="A647" s="2" t="s">
        <v>310</v>
      </c>
      <c r="B647" s="2" t="s">
        <v>483</v>
      </c>
      <c r="C647" s="2" t="s">
        <v>400</v>
      </c>
      <c r="D647" s="9">
        <v>65</v>
      </c>
      <c r="E647" s="10">
        <v>19.14</v>
      </c>
      <c r="F647" s="10">
        <v>15</v>
      </c>
      <c r="G647" s="12">
        <v>6.0979999999999999</v>
      </c>
      <c r="H647" s="12">
        <v>0.68800000000000006</v>
      </c>
      <c r="I647" s="12">
        <v>0.81499999999999995</v>
      </c>
      <c r="J647" s="44">
        <f t="shared" si="36"/>
        <v>0.81499999999999995</v>
      </c>
      <c r="K647" s="10">
        <v>3.7411042944785278</v>
      </c>
      <c r="L647" s="9">
        <v>16.920523255813954</v>
      </c>
      <c r="M647" s="9">
        <v>636.6</v>
      </c>
      <c r="N647" s="9">
        <v>101.15249899999998</v>
      </c>
      <c r="O647" s="9">
        <v>84.9</v>
      </c>
      <c r="P647" s="10">
        <v>5.77</v>
      </c>
      <c r="Q647" s="9">
        <v>27.44</v>
      </c>
      <c r="R647" s="9">
        <v>15.637732199999981</v>
      </c>
      <c r="S647" s="9">
        <v>9</v>
      </c>
      <c r="T647" s="10">
        <v>1.2</v>
      </c>
      <c r="U647" s="10">
        <v>4.6891778617012285</v>
      </c>
      <c r="V647" s="22">
        <v>1380.3295835000004</v>
      </c>
      <c r="W647" s="188">
        <f t="shared" si="37"/>
        <v>1.5140418529970101</v>
      </c>
      <c r="X647" s="192">
        <f t="shared" si="38"/>
        <v>14.185</v>
      </c>
      <c r="AA647" s="39" t="str">
        <f t="shared" si="39"/>
        <v>S</v>
      </c>
    </row>
    <row r="648" spans="1:27" x14ac:dyDescent="0.2">
      <c r="A648" s="2" t="s">
        <v>310</v>
      </c>
      <c r="B648" s="2" t="s">
        <v>484</v>
      </c>
      <c r="C648" s="2" t="s">
        <v>400</v>
      </c>
      <c r="D648" s="9">
        <v>60.8</v>
      </c>
      <c r="E648" s="10">
        <v>17.88</v>
      </c>
      <c r="F648" s="10">
        <v>15</v>
      </c>
      <c r="G648" s="12">
        <v>6</v>
      </c>
      <c r="H648" s="12">
        <v>0.59</v>
      </c>
      <c r="I648" s="12">
        <v>0.81549999999999989</v>
      </c>
      <c r="J648" s="44">
        <f t="shared" si="36"/>
        <v>0.81549999999999989</v>
      </c>
      <c r="K648" s="10">
        <v>3.6787247087676276</v>
      </c>
      <c r="L648" s="9">
        <v>19.727661016949153</v>
      </c>
      <c r="M648" s="9">
        <v>612.9</v>
      </c>
      <c r="N648" s="9">
        <v>95.675757296666646</v>
      </c>
      <c r="O648" s="9">
        <v>81.7</v>
      </c>
      <c r="P648" s="10">
        <v>5.86</v>
      </c>
      <c r="Q648" s="9">
        <v>25.96</v>
      </c>
      <c r="R648" s="9">
        <v>14.742444466666672</v>
      </c>
      <c r="S648" s="9">
        <v>8.65</v>
      </c>
      <c r="T648" s="10">
        <v>1.21</v>
      </c>
      <c r="U648" s="10">
        <v>3.9568739964720745</v>
      </c>
      <c r="V648" s="22">
        <v>1305.7882612225001</v>
      </c>
      <c r="W648" s="188">
        <f t="shared" si="37"/>
        <v>1.5011819496723346</v>
      </c>
      <c r="X648" s="192">
        <f t="shared" si="38"/>
        <v>14.1845</v>
      </c>
      <c r="AA648" s="39" t="str">
        <f t="shared" si="39"/>
        <v>S</v>
      </c>
    </row>
    <row r="649" spans="1:27" x14ac:dyDescent="0.2">
      <c r="A649" s="2" t="s">
        <v>310</v>
      </c>
      <c r="B649" s="2" t="s">
        <v>485</v>
      </c>
      <c r="C649" s="2" t="s">
        <v>400</v>
      </c>
      <c r="D649" s="9">
        <v>60</v>
      </c>
      <c r="E649" s="10">
        <v>17.670000000000002</v>
      </c>
      <c r="F649" s="10">
        <v>15</v>
      </c>
      <c r="G649" s="12">
        <v>6</v>
      </c>
      <c r="H649" s="12">
        <v>0.59</v>
      </c>
      <c r="I649" s="12">
        <v>0.81549999999999989</v>
      </c>
      <c r="J649" s="44">
        <f t="shared" si="36"/>
        <v>0.81549999999999989</v>
      </c>
      <c r="K649" s="10">
        <v>3.6787247087676276</v>
      </c>
      <c r="L649" s="9">
        <v>19.727661016949153</v>
      </c>
      <c r="M649" s="9">
        <v>609</v>
      </c>
      <c r="N649" s="9">
        <v>95.675757296666646</v>
      </c>
      <c r="O649" s="9">
        <v>81.2</v>
      </c>
      <c r="P649" s="10">
        <v>5.87</v>
      </c>
      <c r="Q649" s="9">
        <v>25.96</v>
      </c>
      <c r="R649" s="9">
        <v>14.742444466666672</v>
      </c>
      <c r="S649" s="9">
        <v>8.65</v>
      </c>
      <c r="T649" s="10">
        <v>1.21</v>
      </c>
      <c r="U649" s="10">
        <v>3.9568739964720745</v>
      </c>
      <c r="V649" s="22">
        <v>1305.7882612225001</v>
      </c>
      <c r="W649" s="188">
        <f t="shared" si="37"/>
        <v>1.5057967221616955</v>
      </c>
      <c r="X649" s="192">
        <f t="shared" si="38"/>
        <v>14.1845</v>
      </c>
      <c r="AA649" s="39" t="str">
        <f t="shared" si="39"/>
        <v>S</v>
      </c>
    </row>
    <row r="650" spans="1:27" x14ac:dyDescent="0.2">
      <c r="A650" s="2" t="s">
        <v>310</v>
      </c>
      <c r="B650" s="2" t="s">
        <v>486</v>
      </c>
      <c r="C650" s="2" t="s">
        <v>400</v>
      </c>
      <c r="D650" s="9">
        <v>59</v>
      </c>
      <c r="E650" s="10">
        <v>17.3</v>
      </c>
      <c r="F650" s="10">
        <v>15</v>
      </c>
      <c r="G650" s="12">
        <v>5.968</v>
      </c>
      <c r="H650" s="12">
        <v>0.46800000000000003</v>
      </c>
      <c r="I650" s="12">
        <v>0.9375</v>
      </c>
      <c r="J650" s="44">
        <f t="shared" si="36"/>
        <v>0.9375</v>
      </c>
      <c r="K650" s="10">
        <v>3.1829333333333332</v>
      </c>
      <c r="L650" s="9">
        <v>24.297008547008545</v>
      </c>
      <c r="M650" s="9">
        <v>640.9</v>
      </c>
      <c r="N650" s="9">
        <v>98.770312500000003</v>
      </c>
      <c r="O650" s="9">
        <v>85.3</v>
      </c>
      <c r="P650" s="10">
        <v>6.08</v>
      </c>
      <c r="Q650" s="9">
        <v>30.3</v>
      </c>
      <c r="R650" s="9">
        <v>16.468839999999986</v>
      </c>
      <c r="S650" s="9">
        <v>10.199999999999999</v>
      </c>
      <c r="T650" s="10">
        <v>1.32</v>
      </c>
      <c r="U650" s="10">
        <v>4.5017091340102011</v>
      </c>
      <c r="V650" s="22">
        <v>1497.98583984375</v>
      </c>
      <c r="W650" s="188">
        <f t="shared" si="37"/>
        <v>1.5803856170917381</v>
      </c>
      <c r="X650" s="192">
        <f t="shared" si="38"/>
        <v>14.0625</v>
      </c>
      <c r="AA650" s="39" t="str">
        <f t="shared" si="39"/>
        <v>S</v>
      </c>
    </row>
    <row r="651" spans="1:27" x14ac:dyDescent="0.2">
      <c r="A651" s="2" t="s">
        <v>310</v>
      </c>
      <c r="B651" s="2" t="s">
        <v>487</v>
      </c>
      <c r="C651" s="2" t="s">
        <v>400</v>
      </c>
      <c r="D651" s="9">
        <v>57.6</v>
      </c>
      <c r="E651" s="10">
        <v>16.95</v>
      </c>
      <c r="F651" s="10">
        <v>15</v>
      </c>
      <c r="G651" s="12">
        <v>6.1</v>
      </c>
      <c r="H651" s="12">
        <v>0.5</v>
      </c>
      <c r="I651" s="12">
        <v>0.80500000000000005</v>
      </c>
      <c r="J651" s="44">
        <f t="shared" si="36"/>
        <v>0.80500000000000005</v>
      </c>
      <c r="K651" s="10">
        <v>3.7888198757763978</v>
      </c>
      <c r="L651" s="9">
        <v>23.369199999999999</v>
      </c>
      <c r="M651" s="9">
        <v>583.78</v>
      </c>
      <c r="N651" s="9">
        <v>92.037613333333297</v>
      </c>
      <c r="O651" s="9">
        <v>77.84</v>
      </c>
      <c r="P651" s="10">
        <v>5.87</v>
      </c>
      <c r="Q651" s="9">
        <v>26.95</v>
      </c>
      <c r="R651" s="9">
        <v>14.742433333333313</v>
      </c>
      <c r="S651" s="9">
        <v>8.8000000000000007</v>
      </c>
      <c r="T651" s="10">
        <v>1.26</v>
      </c>
      <c r="U651" s="10">
        <v>3.4069739547939744</v>
      </c>
      <c r="V651" s="22">
        <v>1357.5929434375</v>
      </c>
      <c r="W651" s="188">
        <f t="shared" si="37"/>
        <v>1.5675834573264202</v>
      </c>
      <c r="X651" s="192">
        <f t="shared" si="38"/>
        <v>14.195</v>
      </c>
      <c r="AA651" s="39" t="str">
        <f t="shared" si="39"/>
        <v>S</v>
      </c>
    </row>
    <row r="652" spans="1:27" x14ac:dyDescent="0.2">
      <c r="A652" s="2" t="s">
        <v>310</v>
      </c>
      <c r="B652" s="2" t="s">
        <v>488</v>
      </c>
      <c r="C652" s="2" t="s">
        <v>400</v>
      </c>
      <c r="D652" s="9">
        <v>56.9</v>
      </c>
      <c r="E652" s="10">
        <v>16.739999999999998</v>
      </c>
      <c r="F652" s="10">
        <v>15</v>
      </c>
      <c r="G652" s="12">
        <v>5.95</v>
      </c>
      <c r="H652" s="12">
        <v>0.6</v>
      </c>
      <c r="I652" s="12">
        <v>0.69499999999999995</v>
      </c>
      <c r="J652" s="44">
        <f t="shared" si="36"/>
        <v>0.69499999999999995</v>
      </c>
      <c r="K652" s="10">
        <v>4.2805755395683454</v>
      </c>
      <c r="L652" s="9">
        <v>19.874333333333336</v>
      </c>
      <c r="M652" s="9">
        <v>560.79</v>
      </c>
      <c r="N652" s="9">
        <v>86.871754999999965</v>
      </c>
      <c r="O652" s="9">
        <v>74.77</v>
      </c>
      <c r="P652" s="10">
        <v>5.79</v>
      </c>
      <c r="Q652" s="9">
        <v>21.5</v>
      </c>
      <c r="R652" s="9">
        <v>12.597037499999999</v>
      </c>
      <c r="S652" s="9">
        <v>7.2</v>
      </c>
      <c r="T652" s="10">
        <v>1.1299999999999999</v>
      </c>
      <c r="U652" s="10">
        <v>3.0438593603606297</v>
      </c>
      <c r="V652" s="22">
        <v>1099.9025093749999</v>
      </c>
      <c r="W652" s="188">
        <f t="shared" si="37"/>
        <v>1.4341166331882731</v>
      </c>
      <c r="X652" s="192">
        <f t="shared" si="38"/>
        <v>14.305</v>
      </c>
      <c r="AA652" s="39" t="str">
        <f t="shared" si="39"/>
        <v>S</v>
      </c>
    </row>
    <row r="653" spans="1:27" x14ac:dyDescent="0.2">
      <c r="A653" s="2" t="s">
        <v>310</v>
      </c>
      <c r="B653" s="2" t="s">
        <v>489</v>
      </c>
      <c r="C653" s="2" t="s">
        <v>400</v>
      </c>
      <c r="D653" s="9">
        <v>56.5</v>
      </c>
      <c r="E653" s="10">
        <v>16.7</v>
      </c>
      <c r="F653" s="10">
        <v>15</v>
      </c>
      <c r="G653" s="12">
        <v>5.8920000000000003</v>
      </c>
      <c r="H653" s="12">
        <v>0.57200000000000006</v>
      </c>
      <c r="I653" s="12">
        <v>0.70300000000000007</v>
      </c>
      <c r="J653" s="44">
        <f t="shared" si="36"/>
        <v>0.70300000000000007</v>
      </c>
      <c r="K653" s="10">
        <v>4.1906116642958748</v>
      </c>
      <c r="L653" s="9">
        <v>21.229720279720276</v>
      </c>
      <c r="M653" s="9">
        <v>543.70000000000005</v>
      </c>
      <c r="N653" s="9">
        <v>85.572130826666665</v>
      </c>
      <c r="O653" s="9">
        <v>72.5</v>
      </c>
      <c r="P653" s="10">
        <v>5.71</v>
      </c>
      <c r="Q653" s="9">
        <v>21.1</v>
      </c>
      <c r="R653" s="9">
        <v>12.356926186666669</v>
      </c>
      <c r="S653" s="9">
        <v>7.2</v>
      </c>
      <c r="T653" s="10">
        <v>1.1200000000000001</v>
      </c>
      <c r="U653" s="10">
        <v>2.785485947544597</v>
      </c>
      <c r="V653" s="22">
        <v>1078.2322024750001</v>
      </c>
      <c r="W653" s="188">
        <f t="shared" si="37"/>
        <v>1.4423799776757857</v>
      </c>
      <c r="X653" s="192">
        <f t="shared" si="38"/>
        <v>14.297000000000001</v>
      </c>
      <c r="AA653" s="39" t="str">
        <f t="shared" si="39"/>
        <v>S</v>
      </c>
    </row>
    <row r="654" spans="1:27" x14ac:dyDescent="0.2">
      <c r="A654" s="2" t="s">
        <v>310</v>
      </c>
      <c r="B654" s="2" t="s">
        <v>490</v>
      </c>
      <c r="C654" s="2" t="s">
        <v>400</v>
      </c>
      <c r="D654" s="9">
        <v>55</v>
      </c>
      <c r="E654" s="10">
        <v>16.2</v>
      </c>
      <c r="F654" s="10">
        <v>15</v>
      </c>
      <c r="G654" s="12">
        <v>5.85</v>
      </c>
      <c r="H654" s="12">
        <v>0.55000000000000004</v>
      </c>
      <c r="I654" s="12">
        <v>0.75</v>
      </c>
      <c r="J654" s="44">
        <f t="shared" si="36"/>
        <v>0.75</v>
      </c>
      <c r="K654" s="10">
        <v>3.9</v>
      </c>
      <c r="L654" s="9">
        <v>21.918909090909086</v>
      </c>
      <c r="M654" s="9">
        <v>557.79999999999995</v>
      </c>
      <c r="N654" s="9">
        <v>87.510583333333358</v>
      </c>
      <c r="O654" s="9">
        <v>74.400000000000006</v>
      </c>
      <c r="P654" s="10">
        <v>5.87</v>
      </c>
      <c r="Q654" s="9">
        <v>22.23</v>
      </c>
      <c r="R654" s="9">
        <v>12.918041666666674</v>
      </c>
      <c r="S654" s="9">
        <v>7.6</v>
      </c>
      <c r="T654" s="10">
        <v>1.17</v>
      </c>
      <c r="U654" s="10">
        <v>2.9721495823493904</v>
      </c>
      <c r="V654" s="22">
        <v>1128.5198437500001</v>
      </c>
      <c r="W654" s="188">
        <f t="shared" si="37"/>
        <v>1.4590685550676146</v>
      </c>
      <c r="X654" s="192">
        <f t="shared" si="38"/>
        <v>14.25</v>
      </c>
      <c r="AA654" s="39" t="str">
        <f t="shared" si="39"/>
        <v>S</v>
      </c>
    </row>
    <row r="655" spans="1:27" x14ac:dyDescent="0.2">
      <c r="A655" s="2" t="s">
        <v>310</v>
      </c>
      <c r="B655" s="2" t="s">
        <v>491</v>
      </c>
      <c r="C655" s="2" t="s">
        <v>400</v>
      </c>
      <c r="D655" s="9">
        <v>52.9</v>
      </c>
      <c r="E655" s="10">
        <v>15.56</v>
      </c>
      <c r="F655" s="10">
        <v>15</v>
      </c>
      <c r="G655" s="12">
        <v>5.79</v>
      </c>
      <c r="H655" s="12">
        <v>0.6</v>
      </c>
      <c r="I655" s="12">
        <v>0.6</v>
      </c>
      <c r="J655" s="44">
        <f t="shared" si="36"/>
        <v>0.6</v>
      </c>
      <c r="K655" s="10">
        <v>4.8250000000000002</v>
      </c>
      <c r="L655" s="9">
        <v>20.486333333333334</v>
      </c>
      <c r="M655" s="9">
        <v>497.68</v>
      </c>
      <c r="N655" s="9">
        <v>78.529147000000009</v>
      </c>
      <c r="O655" s="9">
        <v>66.36</v>
      </c>
      <c r="P655" s="10">
        <v>5.65</v>
      </c>
      <c r="Q655" s="9">
        <v>17.079999999999998</v>
      </c>
      <c r="R655" s="9">
        <v>10.446253499999999</v>
      </c>
      <c r="S655" s="9">
        <v>5.9</v>
      </c>
      <c r="T655" s="10">
        <v>1.05</v>
      </c>
      <c r="U655" s="10">
        <v>2.3512860101821982</v>
      </c>
      <c r="V655" s="22">
        <v>885.42719999999997</v>
      </c>
      <c r="W655" s="188">
        <f t="shared" si="37"/>
        <v>1.3613098680910329</v>
      </c>
      <c r="X655" s="192">
        <f t="shared" si="38"/>
        <v>14.4</v>
      </c>
      <c r="AA655" s="39" t="str">
        <f t="shared" si="39"/>
        <v>S</v>
      </c>
    </row>
    <row r="656" spans="1:27" x14ac:dyDescent="0.2">
      <c r="A656" s="2" t="s">
        <v>310</v>
      </c>
      <c r="B656" s="2" t="s">
        <v>492</v>
      </c>
      <c r="C656" s="2" t="s">
        <v>400</v>
      </c>
      <c r="D656" s="9">
        <v>49.3</v>
      </c>
      <c r="E656" s="10">
        <v>14.49</v>
      </c>
      <c r="F656" s="10">
        <v>15</v>
      </c>
      <c r="G656" s="12">
        <v>5.8</v>
      </c>
      <c r="H656" s="12">
        <v>0.45</v>
      </c>
      <c r="I656" s="12">
        <v>0.69499999999999995</v>
      </c>
      <c r="J656" s="44">
        <f t="shared" si="36"/>
        <v>0.69499999999999995</v>
      </c>
      <c r="K656" s="10">
        <v>4.1726618705035969</v>
      </c>
      <c r="L656" s="9">
        <v>26.870666666666668</v>
      </c>
      <c r="M656" s="9">
        <v>518.61</v>
      </c>
      <c r="N656" s="9">
        <v>78.434255000000022</v>
      </c>
      <c r="O656" s="9">
        <v>69.150000000000006</v>
      </c>
      <c r="P656" s="10">
        <v>5.98</v>
      </c>
      <c r="Q656" s="9">
        <v>19.71</v>
      </c>
      <c r="R656" s="9">
        <v>11.448675000000005</v>
      </c>
      <c r="S656" s="9">
        <v>6.8</v>
      </c>
      <c r="T656" s="10">
        <v>1.17</v>
      </c>
      <c r="U656" s="10">
        <v>2.1808018354055174</v>
      </c>
      <c r="V656" s="22">
        <v>1008.3292306875001</v>
      </c>
      <c r="W656" s="188">
        <f t="shared" si="37"/>
        <v>1.4278288510062145</v>
      </c>
      <c r="X656" s="192">
        <f t="shared" si="38"/>
        <v>14.305</v>
      </c>
      <c r="AA656" s="39" t="str">
        <f t="shared" si="39"/>
        <v>S</v>
      </c>
    </row>
    <row r="657" spans="1:27" x14ac:dyDescent="0.2">
      <c r="A657" s="2" t="s">
        <v>310</v>
      </c>
      <c r="B657" s="2" t="s">
        <v>493</v>
      </c>
      <c r="C657" s="2" t="s">
        <v>400</v>
      </c>
      <c r="D657" s="9">
        <v>48</v>
      </c>
      <c r="E657" s="10">
        <v>14.1</v>
      </c>
      <c r="F657" s="10">
        <v>15</v>
      </c>
      <c r="G657" s="12">
        <v>5.726</v>
      </c>
      <c r="H657" s="12">
        <v>0.40600000000000003</v>
      </c>
      <c r="I657" s="12">
        <v>0.70300000000000007</v>
      </c>
      <c r="J657" s="44">
        <f t="shared" si="36"/>
        <v>0.70300000000000007</v>
      </c>
      <c r="K657" s="10">
        <v>4.0725462304409668</v>
      </c>
      <c r="L657" s="9">
        <v>29.909852216748767</v>
      </c>
      <c r="M657" s="9">
        <v>459.9</v>
      </c>
      <c r="N657" s="9">
        <v>76.234630826666631</v>
      </c>
      <c r="O657" s="9">
        <v>66.099999999999994</v>
      </c>
      <c r="P657" s="10">
        <v>5.93</v>
      </c>
      <c r="Q657" s="9">
        <v>19.2</v>
      </c>
      <c r="R657" s="9">
        <v>11.12728782666667</v>
      </c>
      <c r="S657" s="9">
        <v>6.7</v>
      </c>
      <c r="T657" s="10">
        <v>1.1599999999999999</v>
      </c>
      <c r="U657" s="10">
        <v>2.0324016791542179</v>
      </c>
      <c r="V657" s="22">
        <v>981.14020319999997</v>
      </c>
      <c r="W657" s="188">
        <f t="shared" si="37"/>
        <v>1.4409779835819587</v>
      </c>
      <c r="X657" s="192">
        <f t="shared" si="38"/>
        <v>14.297000000000001</v>
      </c>
      <c r="AA657" s="39" t="str">
        <f t="shared" si="39"/>
        <v>S</v>
      </c>
    </row>
    <row r="658" spans="1:27" x14ac:dyDescent="0.2">
      <c r="A658" s="2" t="s">
        <v>310</v>
      </c>
      <c r="B658" s="2" t="s">
        <v>494</v>
      </c>
      <c r="C658" s="2" t="s">
        <v>400</v>
      </c>
      <c r="D658" s="9">
        <v>47.5</v>
      </c>
      <c r="E658" s="10">
        <v>14.1</v>
      </c>
      <c r="F658" s="10">
        <v>15</v>
      </c>
      <c r="G658" s="12">
        <v>5.6420000000000003</v>
      </c>
      <c r="H658" s="12">
        <v>0.54200000000000004</v>
      </c>
      <c r="I658" s="12">
        <v>0.5625</v>
      </c>
      <c r="J658" s="44">
        <f t="shared" ref="J658:J721" si="40">I658</f>
        <v>0.5625</v>
      </c>
      <c r="K658" s="10">
        <v>5.0151111111111115</v>
      </c>
      <c r="L658" s="9">
        <v>22.980442804428041</v>
      </c>
      <c r="M658" s="9">
        <v>451.1</v>
      </c>
      <c r="N658" s="9">
        <v>71.845312500000006</v>
      </c>
      <c r="O658" s="9">
        <v>60.1</v>
      </c>
      <c r="P658" s="10">
        <v>5.66</v>
      </c>
      <c r="Q658" s="9">
        <v>14.5</v>
      </c>
      <c r="R658" s="10">
        <v>9.158977500000006</v>
      </c>
      <c r="S658" s="9">
        <v>5.0999999999999996</v>
      </c>
      <c r="T658" s="10">
        <v>1.01</v>
      </c>
      <c r="U658" s="10">
        <v>1.8070810805630042</v>
      </c>
      <c r="V658" s="22">
        <v>755.60009765625</v>
      </c>
      <c r="W658" s="188">
        <f t="shared" si="37"/>
        <v>1.3197077463490583</v>
      </c>
      <c r="X658" s="192">
        <f t="shared" si="38"/>
        <v>14.4375</v>
      </c>
      <c r="AA658" s="39" t="str">
        <f t="shared" si="39"/>
        <v>S</v>
      </c>
    </row>
    <row r="659" spans="1:27" x14ac:dyDescent="0.2">
      <c r="A659" s="2" t="s">
        <v>310</v>
      </c>
      <c r="B659" s="2" t="s">
        <v>495</v>
      </c>
      <c r="C659" s="2" t="s">
        <v>400</v>
      </c>
      <c r="D659" s="9">
        <v>45</v>
      </c>
      <c r="E659" s="10">
        <v>13.37</v>
      </c>
      <c r="F659" s="10">
        <v>15</v>
      </c>
      <c r="G659" s="12">
        <v>5.5579999999999998</v>
      </c>
      <c r="H659" s="12">
        <v>0.46800000000000003</v>
      </c>
      <c r="I659" s="12">
        <v>0.622</v>
      </c>
      <c r="J659" s="44">
        <f t="shared" si="40"/>
        <v>0.622</v>
      </c>
      <c r="K659" s="10">
        <v>4.467845659163987</v>
      </c>
      <c r="L659" s="9">
        <v>26.398034188034188</v>
      </c>
      <c r="M659" s="9">
        <v>461.6</v>
      </c>
      <c r="N659" s="9">
        <v>71.769205453333342</v>
      </c>
      <c r="O659" s="9">
        <v>61.5</v>
      </c>
      <c r="P659" s="10">
        <v>5.88</v>
      </c>
      <c r="Q659" s="9">
        <v>15.17</v>
      </c>
      <c r="R659" s="10">
        <v>9.4450182066666759</v>
      </c>
      <c r="S659" s="9">
        <v>5.5</v>
      </c>
      <c r="T659" s="10">
        <v>1.07</v>
      </c>
      <c r="U659" s="10">
        <v>1.7469280253479205</v>
      </c>
      <c r="V659" s="22">
        <v>784.01170757</v>
      </c>
      <c r="W659" s="188">
        <f t="shared" si="37"/>
        <v>1.3316481016645001</v>
      </c>
      <c r="X659" s="192">
        <f t="shared" si="38"/>
        <v>14.378</v>
      </c>
      <c r="AA659" s="39" t="str">
        <f t="shared" si="39"/>
        <v>S</v>
      </c>
    </row>
    <row r="660" spans="1:27" x14ac:dyDescent="0.2">
      <c r="A660" s="2" t="s">
        <v>310</v>
      </c>
      <c r="B660" s="2" t="s">
        <v>496</v>
      </c>
      <c r="C660" s="2" t="s">
        <v>400</v>
      </c>
      <c r="D660" s="9">
        <v>42.4</v>
      </c>
      <c r="E660" s="10">
        <v>12.48</v>
      </c>
      <c r="F660" s="10">
        <v>15</v>
      </c>
      <c r="G660" s="12">
        <v>5.5</v>
      </c>
      <c r="H660" s="12">
        <v>0.41</v>
      </c>
      <c r="I660" s="12">
        <v>0.62</v>
      </c>
      <c r="J660" s="44">
        <f t="shared" si="40"/>
        <v>0.62</v>
      </c>
      <c r="K660" s="10">
        <v>4.435483870967742</v>
      </c>
      <c r="L660" s="9">
        <v>30.151902439024393</v>
      </c>
      <c r="M660" s="9">
        <v>441.8</v>
      </c>
      <c r="N660" s="9">
        <v>68.368081000000018</v>
      </c>
      <c r="O660" s="9">
        <v>58.9</v>
      </c>
      <c r="P660" s="10">
        <v>5.95</v>
      </c>
      <c r="Q660" s="9">
        <v>14.62</v>
      </c>
      <c r="R660" s="10">
        <v>9.0489804999999937</v>
      </c>
      <c r="S660" s="9">
        <v>5.3</v>
      </c>
      <c r="T660" s="10">
        <v>1.08</v>
      </c>
      <c r="U660" s="10">
        <v>1.5267286224880685</v>
      </c>
      <c r="V660" s="22">
        <v>755.79698200000007</v>
      </c>
      <c r="W660" s="188">
        <f t="shared" si="37"/>
        <v>1.3359200996816563</v>
      </c>
      <c r="X660" s="192">
        <f t="shared" si="38"/>
        <v>14.38</v>
      </c>
      <c r="AA660" s="39" t="str">
        <f t="shared" si="39"/>
        <v>S</v>
      </c>
    </row>
    <row r="661" spans="1:27" x14ac:dyDescent="0.2">
      <c r="A661" s="2" t="s">
        <v>310</v>
      </c>
      <c r="B661" s="2" t="s">
        <v>497</v>
      </c>
      <c r="C661" s="2" t="s">
        <v>400</v>
      </c>
      <c r="D661" s="9">
        <v>42</v>
      </c>
      <c r="E661" s="10">
        <v>12.48</v>
      </c>
      <c r="F661" s="10">
        <v>15</v>
      </c>
      <c r="G661" s="12">
        <v>5.5</v>
      </c>
      <c r="H661" s="12">
        <v>0.41</v>
      </c>
      <c r="I661" s="12">
        <v>0.622</v>
      </c>
      <c r="J661" s="44">
        <f t="shared" si="40"/>
        <v>0.622</v>
      </c>
      <c r="K661" s="10">
        <v>4.4212218649517689</v>
      </c>
      <c r="L661" s="9">
        <v>30.132390243902442</v>
      </c>
      <c r="M661" s="9">
        <v>441.8</v>
      </c>
      <c r="N661" s="9">
        <v>68.506705453333353</v>
      </c>
      <c r="O661" s="9">
        <v>58.9</v>
      </c>
      <c r="P661" s="10">
        <v>5.95</v>
      </c>
      <c r="Q661" s="9">
        <v>14.62</v>
      </c>
      <c r="R661" s="10">
        <v>9.0704263666666609</v>
      </c>
      <c r="S661" s="9">
        <v>5.3</v>
      </c>
      <c r="T661" s="10">
        <v>1.08</v>
      </c>
      <c r="U661" s="10">
        <v>1.53797432945208</v>
      </c>
      <c r="V661" s="22">
        <v>755.58676102000004</v>
      </c>
      <c r="W661" s="188">
        <f t="shared" si="37"/>
        <v>1.3358271951925365</v>
      </c>
      <c r="X661" s="192">
        <f t="shared" si="38"/>
        <v>14.378</v>
      </c>
      <c r="AA661" s="39" t="str">
        <f t="shared" si="39"/>
        <v>S</v>
      </c>
    </row>
    <row r="662" spans="1:27" x14ac:dyDescent="0.2">
      <c r="A662" s="2" t="s">
        <v>310</v>
      </c>
      <c r="B662" s="2" t="s">
        <v>498</v>
      </c>
      <c r="C662" s="2" t="s">
        <v>400</v>
      </c>
      <c r="D662" s="9">
        <v>41.2</v>
      </c>
      <c r="E662" s="10">
        <v>12.11</v>
      </c>
      <c r="F662" s="10">
        <v>15</v>
      </c>
      <c r="G662" s="12">
        <v>5.56</v>
      </c>
      <c r="H662" s="12">
        <v>0.37</v>
      </c>
      <c r="I662" s="12">
        <v>0.6</v>
      </c>
      <c r="J662" s="44">
        <f t="shared" si="40"/>
        <v>0.6</v>
      </c>
      <c r="K662" s="10">
        <v>4.6333333333333329</v>
      </c>
      <c r="L662" s="9">
        <v>33.221081081081081</v>
      </c>
      <c r="M662" s="9">
        <v>433</v>
      </c>
      <c r="N662" s="9">
        <v>65.591647000000066</v>
      </c>
      <c r="O662" s="9">
        <v>57.73</v>
      </c>
      <c r="P662" s="10">
        <v>5.98</v>
      </c>
      <c r="Q662" s="9">
        <v>14.85</v>
      </c>
      <c r="R662" s="10">
        <v>8.893408500000012</v>
      </c>
      <c r="S662" s="9">
        <v>5.3</v>
      </c>
      <c r="T662" s="10">
        <v>1.1100000000000001</v>
      </c>
      <c r="U662" s="10">
        <v>1.3651005394724478</v>
      </c>
      <c r="V662" s="22">
        <v>769.82400000000007</v>
      </c>
      <c r="W662" s="188">
        <f t="shared" si="37"/>
        <v>1.3609077782663239</v>
      </c>
      <c r="X662" s="192">
        <f t="shared" si="38"/>
        <v>14.4</v>
      </c>
      <c r="AA662" s="39" t="str">
        <f t="shared" si="39"/>
        <v>S</v>
      </c>
    </row>
    <row r="663" spans="1:27" x14ac:dyDescent="0.2">
      <c r="A663" s="2" t="s">
        <v>310</v>
      </c>
      <c r="B663" s="2" t="s">
        <v>499</v>
      </c>
      <c r="C663" s="2" t="s">
        <v>400</v>
      </c>
      <c r="D663" s="9">
        <v>41</v>
      </c>
      <c r="E663" s="10">
        <v>12.05</v>
      </c>
      <c r="F663" s="10">
        <v>15</v>
      </c>
      <c r="G663" s="12">
        <v>5.5</v>
      </c>
      <c r="H663" s="12">
        <v>0.4</v>
      </c>
      <c r="I663" s="12">
        <v>0.59</v>
      </c>
      <c r="J663" s="44">
        <f t="shared" si="40"/>
        <v>0.59</v>
      </c>
      <c r="K663" s="10">
        <v>4.6610169491525415</v>
      </c>
      <c r="L663" s="9">
        <v>30.988499999999995</v>
      </c>
      <c r="M663" s="9">
        <v>424.1</v>
      </c>
      <c r="N663" s="9">
        <v>65.798320000000047</v>
      </c>
      <c r="O663" s="9">
        <v>56.5</v>
      </c>
      <c r="P663" s="10">
        <v>5.94</v>
      </c>
      <c r="Q663" s="9">
        <v>14</v>
      </c>
      <c r="R663" s="10">
        <v>8.6529000000000096</v>
      </c>
      <c r="S663" s="9">
        <v>5.0999999999999996</v>
      </c>
      <c r="T663" s="10">
        <v>1.08</v>
      </c>
      <c r="U663" s="10">
        <v>1.3653310588669489</v>
      </c>
      <c r="V663" s="22">
        <v>726.76835000000005</v>
      </c>
      <c r="W663" s="188">
        <f t="shared" si="37"/>
        <v>1.3361548317890688</v>
      </c>
      <c r="X663" s="192">
        <f t="shared" si="38"/>
        <v>14.41</v>
      </c>
      <c r="AA663" s="39" t="str">
        <f t="shared" si="39"/>
        <v>S</v>
      </c>
    </row>
    <row r="664" spans="1:27" x14ac:dyDescent="0.2">
      <c r="A664" s="2" t="s">
        <v>310</v>
      </c>
      <c r="B664" s="2" t="s">
        <v>500</v>
      </c>
      <c r="C664" s="2" t="s">
        <v>400</v>
      </c>
      <c r="D664" s="9">
        <v>39</v>
      </c>
      <c r="E664" s="10">
        <v>11.5</v>
      </c>
      <c r="F664" s="10">
        <v>15</v>
      </c>
      <c r="G664" s="12">
        <v>5.4749999999999996</v>
      </c>
      <c r="H664" s="12">
        <v>0.375</v>
      </c>
      <c r="I664" s="12">
        <v>0.5625</v>
      </c>
      <c r="J664" s="44">
        <f t="shared" si="40"/>
        <v>0.5625</v>
      </c>
      <c r="K664" s="10">
        <v>4.8666666666666663</v>
      </c>
      <c r="L664" s="9">
        <v>33.214399999999998</v>
      </c>
      <c r="M664" s="9">
        <v>403.3</v>
      </c>
      <c r="N664" s="9">
        <v>62.451562500000001</v>
      </c>
      <c r="O664" s="9">
        <v>53.8</v>
      </c>
      <c r="P664" s="10">
        <v>5.92</v>
      </c>
      <c r="Q664" s="9">
        <v>13.1</v>
      </c>
      <c r="R664" s="10">
        <v>8.105625000000007</v>
      </c>
      <c r="S664" s="9">
        <v>4.8</v>
      </c>
      <c r="T664" s="10">
        <v>1.06</v>
      </c>
      <c r="U664" s="10">
        <v>1.1780600344455303</v>
      </c>
      <c r="V664" s="22">
        <v>682.64560546874998</v>
      </c>
      <c r="W664" s="188">
        <f t="shared" si="37"/>
        <v>1.3257923561958003</v>
      </c>
      <c r="X664" s="192">
        <f t="shared" si="38"/>
        <v>14.4375</v>
      </c>
      <c r="AA664" s="39" t="str">
        <f t="shared" si="39"/>
        <v>S</v>
      </c>
    </row>
    <row r="665" spans="1:27" x14ac:dyDescent="0.2">
      <c r="A665" s="2" t="s">
        <v>310</v>
      </c>
      <c r="B665" s="2" t="s">
        <v>501</v>
      </c>
      <c r="C665" s="2" t="s">
        <v>400</v>
      </c>
      <c r="D665" s="9">
        <v>37.5</v>
      </c>
      <c r="E665" s="10">
        <v>10.91</v>
      </c>
      <c r="F665" s="10">
        <v>15</v>
      </c>
      <c r="G665" s="12">
        <v>6.75</v>
      </c>
      <c r="H665" s="12">
        <v>0.33200000000000002</v>
      </c>
      <c r="I665" s="12">
        <v>0.45599999999999996</v>
      </c>
      <c r="J665" s="44">
        <f t="shared" si="40"/>
        <v>0.45599999999999996</v>
      </c>
      <c r="K665" s="10">
        <v>7.401315789473685</v>
      </c>
      <c r="L665" s="9">
        <v>39.666867469879513</v>
      </c>
      <c r="M665" s="9">
        <v>405.5</v>
      </c>
      <c r="N665" s="9">
        <v>61.193984722666592</v>
      </c>
      <c r="O665" s="9">
        <v>54.1</v>
      </c>
      <c r="P665" s="10">
        <v>6.1</v>
      </c>
      <c r="Q665" s="9">
        <v>19.899999999999999</v>
      </c>
      <c r="R665" s="10">
        <v>9.7741513106666797</v>
      </c>
      <c r="S665" s="9">
        <v>5.9</v>
      </c>
      <c r="T665" s="10">
        <v>1.35</v>
      </c>
      <c r="U665" s="10">
        <v>0.72459585979876584</v>
      </c>
      <c r="V665" s="22">
        <v>1052.3514815999999</v>
      </c>
      <c r="W665" s="188">
        <f t="shared" si="37"/>
        <v>1.6355161643483478</v>
      </c>
      <c r="X665" s="192">
        <f t="shared" si="38"/>
        <v>14.544</v>
      </c>
      <c r="AA665" s="39" t="str">
        <f t="shared" si="39"/>
        <v>S</v>
      </c>
    </row>
    <row r="666" spans="1:27" x14ac:dyDescent="0.2">
      <c r="A666" s="2" t="s">
        <v>310</v>
      </c>
      <c r="B666" s="2" t="s">
        <v>502</v>
      </c>
      <c r="C666" s="2" t="s">
        <v>400</v>
      </c>
      <c r="D666" s="9">
        <v>37.299999999999997</v>
      </c>
      <c r="E666" s="10">
        <v>10.91</v>
      </c>
      <c r="F666" s="10">
        <v>15</v>
      </c>
      <c r="G666" s="12">
        <v>6.75</v>
      </c>
      <c r="H666" s="12">
        <v>0.33200000000000002</v>
      </c>
      <c r="I666" s="12">
        <v>0.45599999999999996</v>
      </c>
      <c r="J666" s="44">
        <f t="shared" si="40"/>
        <v>0.45599999999999996</v>
      </c>
      <c r="K666" s="10">
        <v>7.401315789473685</v>
      </c>
      <c r="L666" s="9">
        <v>39.666867469879513</v>
      </c>
      <c r="M666" s="9">
        <v>405.5</v>
      </c>
      <c r="N666" s="9">
        <v>61.193984722666592</v>
      </c>
      <c r="O666" s="9">
        <v>54.1</v>
      </c>
      <c r="P666" s="10">
        <v>6.1</v>
      </c>
      <c r="Q666" s="9">
        <v>19.899999999999999</v>
      </c>
      <c r="R666" s="10">
        <v>9.7741513106666797</v>
      </c>
      <c r="S666" s="9">
        <v>5.9</v>
      </c>
      <c r="T666" s="10">
        <v>1.35</v>
      </c>
      <c r="U666" s="10">
        <v>0.72459585979876584</v>
      </c>
      <c r="V666" s="22">
        <v>1052.3514815999999</v>
      </c>
      <c r="W666" s="188">
        <f t="shared" si="37"/>
        <v>1.6355161643483478</v>
      </c>
      <c r="X666" s="192">
        <f t="shared" si="38"/>
        <v>14.544</v>
      </c>
      <c r="AA666" s="39" t="str">
        <f t="shared" si="39"/>
        <v>S</v>
      </c>
    </row>
    <row r="667" spans="1:27" x14ac:dyDescent="0.2">
      <c r="A667" s="2" t="s">
        <v>310</v>
      </c>
      <c r="B667" s="2" t="s">
        <v>503</v>
      </c>
      <c r="C667" s="2" t="s">
        <v>400</v>
      </c>
      <c r="D667" s="9">
        <v>36</v>
      </c>
      <c r="E667" s="10">
        <v>10.63</v>
      </c>
      <c r="F667" s="10">
        <v>15</v>
      </c>
      <c r="G667" s="12">
        <v>5.5</v>
      </c>
      <c r="H667" s="12">
        <v>0.28899999999999998</v>
      </c>
      <c r="I667" s="12">
        <v>0.58800000000000008</v>
      </c>
      <c r="J667" s="44">
        <f t="shared" si="40"/>
        <v>0.58800000000000008</v>
      </c>
      <c r="K667" s="10">
        <v>4.6768707482993195</v>
      </c>
      <c r="L667" s="9">
        <v>43.296193771626307</v>
      </c>
      <c r="M667" s="9">
        <v>405.1</v>
      </c>
      <c r="N667" s="9">
        <v>60.333804423000018</v>
      </c>
      <c r="O667" s="9">
        <v>54</v>
      </c>
      <c r="P667" s="10">
        <v>6.17</v>
      </c>
      <c r="Q667" s="9">
        <v>13.5</v>
      </c>
      <c r="R667" s="10">
        <v>8.2000600665000078</v>
      </c>
      <c r="S667" s="9">
        <v>4.9000000000000004</v>
      </c>
      <c r="T667" s="10">
        <v>1.1299999999999999</v>
      </c>
      <c r="U667" s="10">
        <v>1.0857674365660235</v>
      </c>
      <c r="V667" s="22">
        <v>701.00688599999989</v>
      </c>
      <c r="W667" s="188">
        <f t="shared" si="37"/>
        <v>1.3421996870808754</v>
      </c>
      <c r="X667" s="192">
        <f t="shared" si="38"/>
        <v>14.411999999999999</v>
      </c>
      <c r="AA667" s="39" t="str">
        <f t="shared" si="39"/>
        <v>S</v>
      </c>
    </row>
    <row r="668" spans="1:27" x14ac:dyDescent="0.2">
      <c r="A668" s="2" t="s">
        <v>310</v>
      </c>
      <c r="B668" s="2" t="s">
        <v>504</v>
      </c>
      <c r="C668" s="2" t="s">
        <v>400</v>
      </c>
      <c r="D668" s="9">
        <v>35</v>
      </c>
      <c r="E668" s="10">
        <v>10.220000000000001</v>
      </c>
      <c r="F668" s="10">
        <v>15</v>
      </c>
      <c r="G668" s="12">
        <v>5.5</v>
      </c>
      <c r="H668" s="12">
        <v>0.33</v>
      </c>
      <c r="I668" s="12">
        <v>0.49</v>
      </c>
      <c r="J668" s="44">
        <f t="shared" si="40"/>
        <v>0.49</v>
      </c>
      <c r="K668" s="10">
        <v>5.6122448979591839</v>
      </c>
      <c r="L668" s="9">
        <v>39.464363636363636</v>
      </c>
      <c r="M668" s="9">
        <v>367.9</v>
      </c>
      <c r="N668" s="9">
        <v>55.276565666666713</v>
      </c>
      <c r="O668" s="9">
        <v>49</v>
      </c>
      <c r="P668" s="10">
        <v>6</v>
      </c>
      <c r="Q668" s="9">
        <v>11.56</v>
      </c>
      <c r="R668" s="10">
        <v>7.0801738333333244</v>
      </c>
      <c r="S668" s="9">
        <v>4.2</v>
      </c>
      <c r="T668" s="10">
        <v>1.06</v>
      </c>
      <c r="U668" s="10">
        <v>0.73638329841440886</v>
      </c>
      <c r="V668" s="22">
        <v>608.46088900000007</v>
      </c>
      <c r="W668" s="188">
        <f t="shared" si="37"/>
        <v>1.3082766355408326</v>
      </c>
      <c r="X668" s="192">
        <f t="shared" si="38"/>
        <v>14.51</v>
      </c>
      <c r="AA668" s="39" t="str">
        <f t="shared" si="39"/>
        <v>S</v>
      </c>
    </row>
    <row r="669" spans="1:27" x14ac:dyDescent="0.2">
      <c r="A669" s="2" t="s">
        <v>310</v>
      </c>
      <c r="B669" s="2" t="s">
        <v>505</v>
      </c>
      <c r="C669" s="2" t="s">
        <v>400</v>
      </c>
      <c r="D669" s="9">
        <v>33</v>
      </c>
      <c r="E669" s="10">
        <v>9.7100000000000009</v>
      </c>
      <c r="F669" s="10">
        <v>15</v>
      </c>
      <c r="G669" s="12">
        <v>5.5</v>
      </c>
      <c r="H669" s="12">
        <v>0.28000000000000003</v>
      </c>
      <c r="I669" s="12">
        <v>0.51249999999999996</v>
      </c>
      <c r="J669" s="44">
        <f t="shared" si="40"/>
        <v>0.51249999999999996</v>
      </c>
      <c r="K669" s="10">
        <v>5.3658536585365857</v>
      </c>
      <c r="L669" s="9">
        <v>45.23271428571428</v>
      </c>
      <c r="M669" s="9">
        <v>365</v>
      </c>
      <c r="N669" s="9">
        <v>54.438431939999987</v>
      </c>
      <c r="O669" s="9">
        <v>48.7</v>
      </c>
      <c r="P669" s="10">
        <v>6.13</v>
      </c>
      <c r="Q669" s="9">
        <v>11.6</v>
      </c>
      <c r="R669" s="10">
        <v>7.1194631999999922</v>
      </c>
      <c r="S669" s="9">
        <v>4.22</v>
      </c>
      <c r="T669" s="10">
        <v>1.0900000000000001</v>
      </c>
      <c r="U669" s="10">
        <v>0.78780533934532238</v>
      </c>
      <c r="V669" s="22">
        <v>608.67420312500008</v>
      </c>
      <c r="W669" s="188">
        <f t="shared" si="37"/>
        <v>1.3135488866494729</v>
      </c>
      <c r="X669" s="192">
        <f t="shared" si="38"/>
        <v>14.487500000000001</v>
      </c>
      <c r="AA669" s="39" t="str">
        <f t="shared" si="39"/>
        <v>S</v>
      </c>
    </row>
    <row r="670" spans="1:27" x14ac:dyDescent="0.2">
      <c r="A670" s="2" t="s">
        <v>310</v>
      </c>
      <c r="B670" s="2" t="s">
        <v>506</v>
      </c>
      <c r="C670" s="2" t="s">
        <v>400</v>
      </c>
      <c r="D670" s="2">
        <v>66.900000000000006</v>
      </c>
      <c r="E670" s="10">
        <v>19.68</v>
      </c>
      <c r="F670" s="10">
        <v>12</v>
      </c>
      <c r="G670" s="12">
        <v>6.04</v>
      </c>
      <c r="H670" s="12">
        <v>0.85</v>
      </c>
      <c r="I670" s="12">
        <v>0.89500000000000002</v>
      </c>
      <c r="J670" s="44">
        <f t="shared" si="40"/>
        <v>0.89500000000000002</v>
      </c>
      <c r="K670" s="10">
        <v>3.3743016759776534</v>
      </c>
      <c r="L670" s="9">
        <v>10.028941176470587</v>
      </c>
      <c r="M670" s="9">
        <v>403.38</v>
      </c>
      <c r="N670" s="9">
        <v>82.117496999999986</v>
      </c>
      <c r="O670" s="9">
        <v>67.23</v>
      </c>
      <c r="P670" s="10">
        <v>4.53</v>
      </c>
      <c r="Q670" s="9">
        <v>29.74</v>
      </c>
      <c r="R670" s="10">
        <v>17.294273999999994</v>
      </c>
      <c r="S670" s="9">
        <v>9.85</v>
      </c>
      <c r="T670" s="10">
        <v>1.23</v>
      </c>
      <c r="U670" s="10">
        <v>6.3763546261263588</v>
      </c>
      <c r="V670" s="22">
        <v>916.89182087500001</v>
      </c>
      <c r="W670" s="188">
        <f t="shared" si="37"/>
        <v>1.567231709510611</v>
      </c>
      <c r="X670" s="192">
        <f t="shared" si="38"/>
        <v>11.105</v>
      </c>
      <c r="AA670" s="39" t="str">
        <f t="shared" si="39"/>
        <v>S</v>
      </c>
    </row>
    <row r="671" spans="1:27" x14ac:dyDescent="0.2">
      <c r="A671" s="2" t="s">
        <v>310</v>
      </c>
      <c r="B671" s="2" t="s">
        <v>507</v>
      </c>
      <c r="C671" s="2" t="s">
        <v>400</v>
      </c>
      <c r="D671" s="9">
        <v>65</v>
      </c>
      <c r="E671" s="10">
        <v>19.12</v>
      </c>
      <c r="F671" s="10">
        <v>12</v>
      </c>
      <c r="G671" s="12">
        <v>5.99</v>
      </c>
      <c r="H671" s="12">
        <v>0.8</v>
      </c>
      <c r="I671" s="12">
        <v>0.88500000000000001</v>
      </c>
      <c r="J671" s="44">
        <f t="shared" si="40"/>
        <v>0.88500000000000001</v>
      </c>
      <c r="K671" s="10">
        <v>3.384180790960452</v>
      </c>
      <c r="L671" s="9">
        <v>10.714350000000001</v>
      </c>
      <c r="M671" s="9">
        <v>403.48</v>
      </c>
      <c r="N671" s="9">
        <v>79.77289300000001</v>
      </c>
      <c r="O671" s="9">
        <v>67.3</v>
      </c>
      <c r="P671" s="10">
        <v>4.59</v>
      </c>
      <c r="Q671" s="9">
        <v>28.93</v>
      </c>
      <c r="R671" s="10">
        <v>16.548534000000011</v>
      </c>
      <c r="S671" s="9">
        <v>9.66</v>
      </c>
      <c r="T671" s="10">
        <v>1.23</v>
      </c>
      <c r="U671" s="10">
        <v>5.7647194919369733</v>
      </c>
      <c r="V671" s="22">
        <v>893.52637481250008</v>
      </c>
      <c r="W671" s="188">
        <f t="shared" si="37"/>
        <v>1.5456331382057524</v>
      </c>
      <c r="X671" s="192">
        <f t="shared" si="38"/>
        <v>11.115</v>
      </c>
      <c r="AA671" s="39" t="str">
        <f t="shared" si="39"/>
        <v>S</v>
      </c>
    </row>
    <row r="672" spans="1:27" x14ac:dyDescent="0.2">
      <c r="A672" s="2" t="s">
        <v>310</v>
      </c>
      <c r="B672" s="2" t="s">
        <v>508</v>
      </c>
      <c r="C672" s="2" t="s">
        <v>400</v>
      </c>
      <c r="D672" s="9">
        <v>60</v>
      </c>
      <c r="E672" s="10">
        <v>17.7</v>
      </c>
      <c r="F672" s="10">
        <v>12</v>
      </c>
      <c r="G672" s="12">
        <v>5.9729999999999999</v>
      </c>
      <c r="H672" s="12">
        <v>0.84799999999999998</v>
      </c>
      <c r="I672" s="12">
        <v>0.65649999999999997</v>
      </c>
      <c r="J672" s="44">
        <f t="shared" si="40"/>
        <v>0.65649999999999997</v>
      </c>
      <c r="K672" s="10">
        <v>4.5491241431835494</v>
      </c>
      <c r="L672" s="9">
        <v>11.027122641509433</v>
      </c>
      <c r="M672" s="9">
        <v>338</v>
      </c>
      <c r="N672" s="9">
        <v>68.633856124999994</v>
      </c>
      <c r="O672" s="9">
        <v>56.3</v>
      </c>
      <c r="P672" s="10">
        <v>4.37</v>
      </c>
      <c r="Q672" s="9">
        <v>21.03</v>
      </c>
      <c r="R672" s="10">
        <v>12.811351625000015</v>
      </c>
      <c r="S672" s="9">
        <v>7.04</v>
      </c>
      <c r="T672" s="10">
        <v>1.0900000000000001</v>
      </c>
      <c r="U672" s="10">
        <v>4.0342268541209449</v>
      </c>
      <c r="V672" s="22">
        <v>676.50877175437506</v>
      </c>
      <c r="W672" s="188">
        <f t="shared" si="37"/>
        <v>1.4555394433157618</v>
      </c>
      <c r="X672" s="192">
        <f t="shared" si="38"/>
        <v>11.343500000000001</v>
      </c>
      <c r="AA672" s="39" t="str">
        <f t="shared" si="39"/>
        <v>S</v>
      </c>
    </row>
    <row r="673" spans="1:27" x14ac:dyDescent="0.2">
      <c r="A673" s="2" t="s">
        <v>310</v>
      </c>
      <c r="B673" s="2" t="s">
        <v>509</v>
      </c>
      <c r="C673" s="2" t="s">
        <v>400</v>
      </c>
      <c r="D673" s="2">
        <v>56.7</v>
      </c>
      <c r="E673" s="10">
        <v>16.7</v>
      </c>
      <c r="F673" s="10">
        <v>12</v>
      </c>
      <c r="G673" s="12">
        <v>5.92</v>
      </c>
      <c r="H673" s="12">
        <v>0.81</v>
      </c>
      <c r="I673" s="12">
        <v>0.69</v>
      </c>
      <c r="J673" s="44">
        <f t="shared" si="40"/>
        <v>0.69</v>
      </c>
      <c r="K673" s="10">
        <v>4.2898550724637685</v>
      </c>
      <c r="L673" s="9">
        <v>11.455555555555554</v>
      </c>
      <c r="M673" s="9">
        <v>341.8</v>
      </c>
      <c r="N673" s="9">
        <v>68.976438666666681</v>
      </c>
      <c r="O673" s="9">
        <v>57</v>
      </c>
      <c r="P673" s="10">
        <v>4.5199999999999996</v>
      </c>
      <c r="Q673" s="9">
        <v>21.5</v>
      </c>
      <c r="R673" s="10">
        <v>13.006070333333339</v>
      </c>
      <c r="S673" s="9">
        <v>7.3</v>
      </c>
      <c r="T673" s="10">
        <v>1.1299999999999999</v>
      </c>
      <c r="U673" s="10">
        <v>3.9222282648438807</v>
      </c>
      <c r="V673" s="22">
        <v>687.54903750000005</v>
      </c>
      <c r="W673" s="188">
        <f t="shared" si="37"/>
        <v>1.4604883826273571</v>
      </c>
      <c r="X673" s="192">
        <f t="shared" si="38"/>
        <v>11.31</v>
      </c>
      <c r="AA673" s="39" t="str">
        <f t="shared" si="39"/>
        <v>S</v>
      </c>
    </row>
    <row r="674" spans="1:27" x14ac:dyDescent="0.2">
      <c r="A674" s="2" t="s">
        <v>310</v>
      </c>
      <c r="B674" s="2" t="s">
        <v>510</v>
      </c>
      <c r="C674" s="2" t="s">
        <v>400</v>
      </c>
      <c r="D674" s="9">
        <v>55.5</v>
      </c>
      <c r="E674" s="10">
        <v>16.32</v>
      </c>
      <c r="F674" s="10">
        <v>12</v>
      </c>
      <c r="G674" s="12">
        <v>5.75</v>
      </c>
      <c r="H674" s="12">
        <v>0.56000000000000005</v>
      </c>
      <c r="I674" s="12">
        <v>0.89500000000000002</v>
      </c>
      <c r="J674" s="44">
        <f t="shared" si="40"/>
        <v>0.89500000000000002</v>
      </c>
      <c r="K674" s="10">
        <v>3.2122905027932962</v>
      </c>
      <c r="L674" s="9">
        <v>15.521071428571428</v>
      </c>
      <c r="M674" s="9">
        <v>362.88</v>
      </c>
      <c r="N674" s="9">
        <v>71.677497000000017</v>
      </c>
      <c r="O674" s="9">
        <v>60.48</v>
      </c>
      <c r="P674" s="10">
        <v>4.71</v>
      </c>
      <c r="Q674" s="9">
        <v>25.31</v>
      </c>
      <c r="R674" s="10">
        <v>14.720509500000007</v>
      </c>
      <c r="S674" s="9">
        <v>8.8000000000000007</v>
      </c>
      <c r="T674" s="10">
        <v>1.24</v>
      </c>
      <c r="U674" s="10">
        <v>4.0577341134437583</v>
      </c>
      <c r="V674" s="22">
        <v>780.31378568749994</v>
      </c>
      <c r="W674" s="188">
        <f t="shared" si="37"/>
        <v>1.5243491921656549</v>
      </c>
      <c r="X674" s="192">
        <f t="shared" si="38"/>
        <v>11.105</v>
      </c>
      <c r="AA674" s="39" t="str">
        <f t="shared" si="39"/>
        <v>S</v>
      </c>
    </row>
    <row r="675" spans="1:27" x14ac:dyDescent="0.2">
      <c r="A675" s="2" t="s">
        <v>310</v>
      </c>
      <c r="B675" s="2" t="s">
        <v>511</v>
      </c>
      <c r="C675" s="2" t="s">
        <v>400</v>
      </c>
      <c r="D675" s="9">
        <v>55</v>
      </c>
      <c r="E675" s="10">
        <v>16.25</v>
      </c>
      <c r="F675" s="10">
        <v>12</v>
      </c>
      <c r="G675" s="12">
        <v>5.6180000000000003</v>
      </c>
      <c r="H675" s="12">
        <v>0.82800000000000007</v>
      </c>
      <c r="I675" s="12">
        <v>0.66</v>
      </c>
      <c r="J675" s="44">
        <f t="shared" si="40"/>
        <v>0.66</v>
      </c>
      <c r="K675" s="10">
        <v>4.2560606060606059</v>
      </c>
      <c r="L675" s="9">
        <v>11.133671497584539</v>
      </c>
      <c r="M675" s="9">
        <v>321.89</v>
      </c>
      <c r="N675" s="9">
        <v>65.594409333333346</v>
      </c>
      <c r="O675" s="9">
        <v>53.6</v>
      </c>
      <c r="P675" s="10">
        <v>4.45</v>
      </c>
      <c r="Q675" s="9">
        <v>17.54</v>
      </c>
      <c r="R675" s="10">
        <v>11.481140866666669</v>
      </c>
      <c r="S675" s="9">
        <v>6.24</v>
      </c>
      <c r="T675" s="10">
        <v>1.04</v>
      </c>
      <c r="U675" s="10">
        <v>3.875887315365484</v>
      </c>
      <c r="V675" s="22">
        <v>563.89170599999989</v>
      </c>
      <c r="W675" s="188">
        <f t="shared" si="37"/>
        <v>1.3621468459203456</v>
      </c>
      <c r="X675" s="192">
        <f t="shared" si="38"/>
        <v>11.34</v>
      </c>
      <c r="AA675" s="39" t="str">
        <f t="shared" si="39"/>
        <v>S</v>
      </c>
    </row>
    <row r="676" spans="1:27" x14ac:dyDescent="0.2">
      <c r="A676" s="2" t="s">
        <v>310</v>
      </c>
      <c r="B676" s="2" t="s">
        <v>512</v>
      </c>
      <c r="C676" s="2" t="s">
        <v>400</v>
      </c>
      <c r="D676" s="9">
        <v>48</v>
      </c>
      <c r="E676" s="10">
        <v>14.2</v>
      </c>
      <c r="F676" s="10">
        <v>12</v>
      </c>
      <c r="G676" s="12">
        <v>5.718</v>
      </c>
      <c r="H676" s="12">
        <v>0.59299999999999997</v>
      </c>
      <c r="I676" s="12">
        <v>0.65649999999999997</v>
      </c>
      <c r="J676" s="44">
        <f t="shared" si="40"/>
        <v>0.65649999999999997</v>
      </c>
      <c r="K676" s="10">
        <v>4.3549124143183553</v>
      </c>
      <c r="L676" s="9">
        <v>15.768971332209105</v>
      </c>
      <c r="M676" s="9">
        <v>301.39999999999998</v>
      </c>
      <c r="N676" s="9">
        <v>59.453856125000016</v>
      </c>
      <c r="O676" s="9">
        <v>50.2</v>
      </c>
      <c r="P676" s="10">
        <v>4.6100000000000003</v>
      </c>
      <c r="Q676" s="9">
        <v>18</v>
      </c>
      <c r="R676" s="10">
        <v>10.851023187500001</v>
      </c>
      <c r="S676" s="9">
        <v>6.3</v>
      </c>
      <c r="T676" s="10">
        <v>1.1299999999999999</v>
      </c>
      <c r="U676" s="10">
        <v>2.3060541586130667</v>
      </c>
      <c r="V676" s="22">
        <v>579.03746512500004</v>
      </c>
      <c r="W676" s="188">
        <f t="shared" si="37"/>
        <v>1.4260768629788179</v>
      </c>
      <c r="X676" s="192">
        <f t="shared" si="38"/>
        <v>11.343500000000001</v>
      </c>
      <c r="AA676" s="39" t="str">
        <f t="shared" si="39"/>
        <v>S</v>
      </c>
    </row>
    <row r="677" spans="1:27" x14ac:dyDescent="0.2">
      <c r="A677" s="2" t="s">
        <v>310</v>
      </c>
      <c r="B677" s="2" t="s">
        <v>513</v>
      </c>
      <c r="C677" s="2" t="s">
        <v>400</v>
      </c>
      <c r="D677" s="9">
        <v>47.6</v>
      </c>
      <c r="E677" s="10">
        <v>14</v>
      </c>
      <c r="F677" s="10">
        <v>12</v>
      </c>
      <c r="G677" s="12">
        <v>5.45</v>
      </c>
      <c r="H677" s="12">
        <v>0.6</v>
      </c>
      <c r="I677" s="12">
        <v>0.68</v>
      </c>
      <c r="J677" s="44">
        <f t="shared" si="40"/>
        <v>0.68</v>
      </c>
      <c r="K677" s="10">
        <v>4.007352941176471</v>
      </c>
      <c r="L677" s="9">
        <v>15.253</v>
      </c>
      <c r="M677" s="9">
        <v>299.76</v>
      </c>
      <c r="N677" s="9">
        <v>58.880980000000008</v>
      </c>
      <c r="O677" s="9">
        <v>49.96</v>
      </c>
      <c r="P677" s="10">
        <v>4.63</v>
      </c>
      <c r="Q677" s="9">
        <v>16.52</v>
      </c>
      <c r="R677" s="10">
        <v>10.350774999999992</v>
      </c>
      <c r="S677" s="9">
        <v>6.06</v>
      </c>
      <c r="T677" s="10">
        <v>1.0900000000000001</v>
      </c>
      <c r="U677" s="10">
        <v>2.474015843187928</v>
      </c>
      <c r="V677" s="22">
        <v>529.22811200000001</v>
      </c>
      <c r="W677" s="188">
        <f t="shared" si="37"/>
        <v>1.3680501631881776</v>
      </c>
      <c r="X677" s="192">
        <f t="shared" si="38"/>
        <v>11.32</v>
      </c>
      <c r="AA677" s="39" t="str">
        <f t="shared" si="39"/>
        <v>S</v>
      </c>
    </row>
    <row r="678" spans="1:27" x14ac:dyDescent="0.2">
      <c r="A678" s="2" t="s">
        <v>310</v>
      </c>
      <c r="B678" s="2" t="s">
        <v>514</v>
      </c>
      <c r="C678" s="2" t="s">
        <v>400</v>
      </c>
      <c r="D678" s="9">
        <v>45</v>
      </c>
      <c r="E678" s="10">
        <v>13.32</v>
      </c>
      <c r="F678" s="10">
        <v>12</v>
      </c>
      <c r="G678" s="12">
        <v>5.3730000000000002</v>
      </c>
      <c r="H678" s="12">
        <v>0.58299999999999996</v>
      </c>
      <c r="I678" s="12">
        <v>0.66</v>
      </c>
      <c r="J678" s="44">
        <f t="shared" si="40"/>
        <v>0.66</v>
      </c>
      <c r="K678" s="10">
        <v>4.0704545454545453</v>
      </c>
      <c r="L678" s="9">
        <v>15.812487135506004</v>
      </c>
      <c r="M678" s="9">
        <v>286.66000000000003</v>
      </c>
      <c r="N678" s="9">
        <v>56.774409333333324</v>
      </c>
      <c r="O678" s="9">
        <v>47.8</v>
      </c>
      <c r="P678" s="10">
        <v>4.6399999999999997</v>
      </c>
      <c r="Q678" s="9">
        <v>14.97</v>
      </c>
      <c r="R678" s="10">
        <v>9.669512866666663</v>
      </c>
      <c r="S678" s="9">
        <v>5.57</v>
      </c>
      <c r="T678" s="10">
        <v>1.06</v>
      </c>
      <c r="U678" s="10">
        <v>2.2507411305869698</v>
      </c>
      <c r="V678" s="22">
        <v>481.26903299999998</v>
      </c>
      <c r="W678" s="188">
        <f t="shared" si="37"/>
        <v>1.3325652425014742</v>
      </c>
      <c r="X678" s="192">
        <f t="shared" si="38"/>
        <v>11.34</v>
      </c>
      <c r="AA678" s="39" t="str">
        <f t="shared" si="39"/>
        <v>S</v>
      </c>
    </row>
    <row r="679" spans="1:27" x14ac:dyDescent="0.2">
      <c r="A679" s="2" t="s">
        <v>310</v>
      </c>
      <c r="B679" s="2" t="s">
        <v>401</v>
      </c>
      <c r="C679" s="2" t="s">
        <v>400</v>
      </c>
      <c r="D679" s="9">
        <v>44.1</v>
      </c>
      <c r="E679" s="10">
        <v>13.04</v>
      </c>
      <c r="F679" s="10">
        <v>12</v>
      </c>
      <c r="G679" s="12">
        <v>5.34</v>
      </c>
      <c r="H679" s="12">
        <v>0.68</v>
      </c>
      <c r="I679" s="12">
        <v>0.50800000000000001</v>
      </c>
      <c r="J679" s="44">
        <f t="shared" si="40"/>
        <v>0.50800000000000001</v>
      </c>
      <c r="K679" s="10">
        <v>5.2559055118110232</v>
      </c>
      <c r="L679" s="9">
        <v>14.257352941176469</v>
      </c>
      <c r="M679" s="9">
        <v>253.85</v>
      </c>
      <c r="N679" s="9">
        <v>51.643003306666678</v>
      </c>
      <c r="O679" s="9">
        <v>42.31</v>
      </c>
      <c r="P679" s="10">
        <v>4.41</v>
      </c>
      <c r="Q679" s="9">
        <v>11.4</v>
      </c>
      <c r="R679" s="10">
        <v>7.9191530666666576</v>
      </c>
      <c r="S679" s="9">
        <v>4.2699999999999996</v>
      </c>
      <c r="T679" s="10">
        <v>0.93</v>
      </c>
      <c r="U679" s="10">
        <v>1.9917760959252975</v>
      </c>
      <c r="V679" s="22">
        <v>376.38828240000004</v>
      </c>
      <c r="W679" s="188">
        <f t="shared" si="37"/>
        <v>1.2442674032676087</v>
      </c>
      <c r="X679" s="192">
        <f t="shared" si="38"/>
        <v>11.492000000000001</v>
      </c>
      <c r="AA679" s="39" t="str">
        <f t="shared" si="39"/>
        <v>S</v>
      </c>
    </row>
    <row r="680" spans="1:27" x14ac:dyDescent="0.2">
      <c r="A680" s="2" t="s">
        <v>310</v>
      </c>
      <c r="B680" s="2" t="s">
        <v>515</v>
      </c>
      <c r="C680" s="2" t="s">
        <v>400</v>
      </c>
      <c r="D680" s="9">
        <v>40</v>
      </c>
      <c r="E680" s="10">
        <v>11.84</v>
      </c>
      <c r="F680" s="10">
        <v>12</v>
      </c>
      <c r="G680" s="12">
        <v>5.25</v>
      </c>
      <c r="H680" s="12">
        <v>0.46</v>
      </c>
      <c r="I680" s="12">
        <v>0.65949999999999998</v>
      </c>
      <c r="J680" s="44">
        <f t="shared" si="40"/>
        <v>0.65949999999999998</v>
      </c>
      <c r="K680" s="10">
        <v>3.9802880970432146</v>
      </c>
      <c r="L680" s="9">
        <v>20.044956521739127</v>
      </c>
      <c r="M680" s="9">
        <v>268.89999999999998</v>
      </c>
      <c r="N680" s="9">
        <v>52.321148469999997</v>
      </c>
      <c r="O680" s="9">
        <v>44.8</v>
      </c>
      <c r="P680" s="10">
        <v>4.7699999999999996</v>
      </c>
      <c r="Q680" s="9">
        <v>13.81</v>
      </c>
      <c r="R680" s="10">
        <v>8.8908679499999952</v>
      </c>
      <c r="S680" s="9">
        <v>5.3</v>
      </c>
      <c r="T680" s="10">
        <v>1.08</v>
      </c>
      <c r="U680" s="10">
        <v>1.7497791672384864</v>
      </c>
      <c r="V680" s="22">
        <v>444.01546121312504</v>
      </c>
      <c r="W680" s="188">
        <f t="shared" si="37"/>
        <v>1.3220836545892787</v>
      </c>
      <c r="X680" s="192">
        <f t="shared" si="38"/>
        <v>11.3405</v>
      </c>
      <c r="AA680" s="39" t="str">
        <f t="shared" si="39"/>
        <v>S</v>
      </c>
    </row>
    <row r="681" spans="1:27" x14ac:dyDescent="0.2">
      <c r="A681" s="2" t="s">
        <v>310</v>
      </c>
      <c r="B681" s="2" t="s">
        <v>516</v>
      </c>
      <c r="C681" s="2" t="s">
        <v>400</v>
      </c>
      <c r="D681" s="2">
        <v>39.4</v>
      </c>
      <c r="E681" s="10">
        <v>11.6</v>
      </c>
      <c r="F681" s="10">
        <v>12</v>
      </c>
      <c r="G681" s="12">
        <v>5.25</v>
      </c>
      <c r="H681" s="12">
        <v>0.4</v>
      </c>
      <c r="I681" s="12">
        <v>0.68</v>
      </c>
      <c r="J681" s="44">
        <f t="shared" si="40"/>
        <v>0.68</v>
      </c>
      <c r="K681" s="10">
        <v>3.8602941176470593</v>
      </c>
      <c r="L681" s="9">
        <v>23.297499999999999</v>
      </c>
      <c r="M681" s="9">
        <v>268.3</v>
      </c>
      <c r="N681" s="9">
        <v>51.680980000000019</v>
      </c>
      <c r="O681" s="9">
        <v>44.72</v>
      </c>
      <c r="P681" s="10">
        <v>4.8099999999999996</v>
      </c>
      <c r="Q681" s="9">
        <v>14.57</v>
      </c>
      <c r="R681" s="10">
        <v>9.091174999999998</v>
      </c>
      <c r="S681" s="9">
        <v>5.55</v>
      </c>
      <c r="T681" s="10">
        <v>1.1200000000000001</v>
      </c>
      <c r="U681" s="10">
        <v>1.6370622501986518</v>
      </c>
      <c r="V681" s="22">
        <v>466.75869200000005</v>
      </c>
      <c r="W681" s="188">
        <f t="shared" ref="W681:W744" si="41">SQRT((Q681*X681)/(2*O681))</f>
        <v>1.3579603641587328</v>
      </c>
      <c r="X681" s="192">
        <f t="shared" ref="X681:X741" si="42">F681-I681</f>
        <v>11.32</v>
      </c>
      <c r="AA681" s="39" t="str">
        <f t="shared" si="39"/>
        <v>S</v>
      </c>
    </row>
    <row r="682" spans="1:27" x14ac:dyDescent="0.2">
      <c r="A682" s="2" t="s">
        <v>310</v>
      </c>
      <c r="B682" s="2" t="s">
        <v>517</v>
      </c>
      <c r="C682" s="2" t="s">
        <v>400</v>
      </c>
      <c r="D682" s="9">
        <v>39</v>
      </c>
      <c r="E682" s="10">
        <v>11.5</v>
      </c>
      <c r="F682" s="10">
        <v>12</v>
      </c>
      <c r="G682" s="12">
        <v>5.4249999999999998</v>
      </c>
      <c r="H682" s="12">
        <v>0.52500000000000002</v>
      </c>
      <c r="I682" s="12">
        <v>0.53500000000000003</v>
      </c>
      <c r="J682" s="44">
        <f t="shared" si="40"/>
        <v>0.53500000000000003</v>
      </c>
      <c r="K682" s="10">
        <v>5.0700934579439254</v>
      </c>
      <c r="L682" s="9">
        <v>18.283809523809524</v>
      </c>
      <c r="M682" s="9">
        <v>247.5</v>
      </c>
      <c r="N682" s="9">
        <v>48.899596666666639</v>
      </c>
      <c r="O682" s="9">
        <v>41.3</v>
      </c>
      <c r="P682" s="10">
        <v>4.6399999999999997</v>
      </c>
      <c r="Q682" s="9">
        <v>12.1</v>
      </c>
      <c r="R682" s="10">
        <v>7.885529166666668</v>
      </c>
      <c r="S682" s="9">
        <v>4.5</v>
      </c>
      <c r="T682" s="10">
        <v>1.03</v>
      </c>
      <c r="U682" s="10">
        <v>1.4106804800303792</v>
      </c>
      <c r="V682" s="22">
        <v>397.62483062499996</v>
      </c>
      <c r="W682" s="188">
        <f t="shared" si="41"/>
        <v>1.2959543119618431</v>
      </c>
      <c r="X682" s="192">
        <f t="shared" si="42"/>
        <v>11.465</v>
      </c>
      <c r="AA682" s="39" t="str">
        <f t="shared" si="39"/>
        <v>S</v>
      </c>
    </row>
    <row r="683" spans="1:27" x14ac:dyDescent="0.2">
      <c r="A683" s="2" t="s">
        <v>310</v>
      </c>
      <c r="B683" s="2" t="s">
        <v>518</v>
      </c>
      <c r="C683" s="2" t="s">
        <v>400</v>
      </c>
      <c r="D683" s="2">
        <v>38.4</v>
      </c>
      <c r="E683" s="10">
        <v>11.29</v>
      </c>
      <c r="F683" s="10">
        <v>12</v>
      </c>
      <c r="G683" s="12">
        <v>5.19</v>
      </c>
      <c r="H683" s="12">
        <v>0.53</v>
      </c>
      <c r="I683" s="12">
        <v>0.505</v>
      </c>
      <c r="J683" s="44">
        <f t="shared" si="40"/>
        <v>0.505</v>
      </c>
      <c r="K683" s="10">
        <v>5.1386138613861387</v>
      </c>
      <c r="L683" s="9">
        <v>18.262264150943395</v>
      </c>
      <c r="M683" s="9">
        <v>233.8</v>
      </c>
      <c r="N683" s="9">
        <v>46.083612666666674</v>
      </c>
      <c r="O683" s="9">
        <v>38.97</v>
      </c>
      <c r="P683" s="10">
        <v>4.55</v>
      </c>
      <c r="Q683" s="9">
        <v>10.19</v>
      </c>
      <c r="R683" s="10">
        <v>6.9397663333333206</v>
      </c>
      <c r="S683" s="9">
        <v>3.93</v>
      </c>
      <c r="T683" s="10">
        <v>0.95</v>
      </c>
      <c r="U683" s="10">
        <v>1.286078320017795</v>
      </c>
      <c r="V683" s="22">
        <v>336.61397618749993</v>
      </c>
      <c r="W683" s="188">
        <f t="shared" si="41"/>
        <v>1.2259178794537933</v>
      </c>
      <c r="X683" s="192">
        <f t="shared" si="42"/>
        <v>11.494999999999999</v>
      </c>
      <c r="AA683" s="39" t="str">
        <f t="shared" si="39"/>
        <v>S</v>
      </c>
    </row>
    <row r="684" spans="1:27" x14ac:dyDescent="0.2">
      <c r="A684" s="2" t="s">
        <v>310</v>
      </c>
      <c r="B684" s="2" t="s">
        <v>519</v>
      </c>
      <c r="C684" s="2" t="s">
        <v>400</v>
      </c>
      <c r="D684" s="9">
        <v>38</v>
      </c>
      <c r="E684" s="10">
        <v>11.2</v>
      </c>
      <c r="F684" s="10">
        <v>12</v>
      </c>
      <c r="G684" s="12">
        <v>5.468</v>
      </c>
      <c r="H684" s="12">
        <v>0.34300000000000003</v>
      </c>
      <c r="I684" s="12">
        <v>0.65649999999999997</v>
      </c>
      <c r="J684" s="44">
        <f t="shared" si="40"/>
        <v>0.65649999999999997</v>
      </c>
      <c r="K684" s="10">
        <v>4.1645087585681644</v>
      </c>
      <c r="L684" s="9">
        <v>27.262390670553931</v>
      </c>
      <c r="M684" s="9">
        <v>265.39999999999998</v>
      </c>
      <c r="N684" s="9">
        <v>50.453856125000016</v>
      </c>
      <c r="O684" s="9">
        <v>44.2</v>
      </c>
      <c r="P684" s="10">
        <v>4.8600000000000003</v>
      </c>
      <c r="Q684" s="9">
        <v>15.6</v>
      </c>
      <c r="R684" s="10">
        <v>9.3078825625000103</v>
      </c>
      <c r="S684" s="9">
        <v>5.71</v>
      </c>
      <c r="T684" s="10">
        <v>1.18</v>
      </c>
      <c r="U684" s="10">
        <v>1.4528671472087722</v>
      </c>
      <c r="V684" s="22">
        <v>501.83246977499999</v>
      </c>
      <c r="W684" s="188">
        <f t="shared" si="41"/>
        <v>1.4148477365593299</v>
      </c>
      <c r="X684" s="192">
        <f t="shared" si="42"/>
        <v>11.343500000000001</v>
      </c>
      <c r="AA684" s="39" t="str">
        <f t="shared" si="39"/>
        <v>S</v>
      </c>
    </row>
    <row r="685" spans="1:27" x14ac:dyDescent="0.2">
      <c r="A685" s="2" t="s">
        <v>310</v>
      </c>
      <c r="B685" s="2" t="s">
        <v>520</v>
      </c>
      <c r="C685" s="2" t="s">
        <v>400</v>
      </c>
      <c r="D685" s="2">
        <v>37.5</v>
      </c>
      <c r="E685" s="10">
        <v>11.4</v>
      </c>
      <c r="F685" s="10">
        <v>12</v>
      </c>
      <c r="G685" s="12">
        <v>5.4139999999999997</v>
      </c>
      <c r="H685" s="12">
        <v>0.50800000000000001</v>
      </c>
      <c r="I685" s="12">
        <v>0.51550000000000007</v>
      </c>
      <c r="J685" s="44">
        <f t="shared" si="40"/>
        <v>0.51550000000000007</v>
      </c>
      <c r="K685" s="10">
        <v>5.2512124151309401</v>
      </c>
      <c r="L685" s="9">
        <v>18.962598425196848</v>
      </c>
      <c r="M685" s="9">
        <v>238.7</v>
      </c>
      <c r="N685" s="9">
        <v>47.27530214600003</v>
      </c>
      <c r="O685" s="9">
        <v>39.799999999999997</v>
      </c>
      <c r="P685" s="10">
        <v>4.58</v>
      </c>
      <c r="Q685" s="9">
        <v>11.5</v>
      </c>
      <c r="R685" s="10">
        <v>7.5105371979999962</v>
      </c>
      <c r="S685" s="9">
        <v>4.25</v>
      </c>
      <c r="T685" s="10">
        <v>1</v>
      </c>
      <c r="U685" s="10">
        <v>1.2823829642318929</v>
      </c>
      <c r="V685" s="22">
        <v>379.19450321875001</v>
      </c>
      <c r="W685" s="188">
        <f t="shared" si="41"/>
        <v>1.288096595444604</v>
      </c>
      <c r="X685" s="192">
        <f t="shared" si="42"/>
        <v>11.484500000000001</v>
      </c>
      <c r="AA685" s="39" t="str">
        <f t="shared" si="39"/>
        <v>S</v>
      </c>
    </row>
    <row r="686" spans="1:27" x14ac:dyDescent="0.2">
      <c r="A686" s="2" t="s">
        <v>310</v>
      </c>
      <c r="B686" s="2" t="s">
        <v>521</v>
      </c>
      <c r="C686" s="2" t="s">
        <v>400</v>
      </c>
      <c r="D686" s="2">
        <v>36.6</v>
      </c>
      <c r="E686" s="10">
        <v>10.8</v>
      </c>
      <c r="F686" s="10">
        <v>12</v>
      </c>
      <c r="G686" s="12">
        <v>5.1529999999999996</v>
      </c>
      <c r="H686" s="12">
        <v>0.49299999999999999</v>
      </c>
      <c r="I686" s="12">
        <v>0.50800000000000001</v>
      </c>
      <c r="J686" s="44">
        <f t="shared" si="40"/>
        <v>0.50800000000000001</v>
      </c>
      <c r="K686" s="10">
        <v>5.0718503937007871</v>
      </c>
      <c r="L686" s="9">
        <v>19.665314401622719</v>
      </c>
      <c r="M686" s="9">
        <v>226.92</v>
      </c>
      <c r="N686" s="9">
        <v>44.911003306666679</v>
      </c>
      <c r="O686" s="9">
        <v>37.82</v>
      </c>
      <c r="P686" s="10">
        <v>4.58</v>
      </c>
      <c r="Q686" s="9">
        <v>10.07</v>
      </c>
      <c r="R686" s="10">
        <v>6.8184187066666793</v>
      </c>
      <c r="S686" s="9">
        <v>3.91</v>
      </c>
      <c r="T686" s="10">
        <v>0.97</v>
      </c>
      <c r="U686" s="10">
        <v>1.1575501001149988</v>
      </c>
      <c r="V686" s="22">
        <v>332.47631612000004</v>
      </c>
      <c r="W686" s="188">
        <f t="shared" si="41"/>
        <v>1.2369062496135903</v>
      </c>
      <c r="X686" s="192">
        <f t="shared" si="42"/>
        <v>11.492000000000001</v>
      </c>
      <c r="AA686" s="39" t="str">
        <f t="shared" si="39"/>
        <v>S</v>
      </c>
    </row>
    <row r="687" spans="1:27" x14ac:dyDescent="0.2">
      <c r="A687" s="2" t="s">
        <v>310</v>
      </c>
      <c r="B687" s="2" t="s">
        <v>522</v>
      </c>
      <c r="C687" s="2" t="s">
        <v>400</v>
      </c>
      <c r="D687" s="9">
        <v>36</v>
      </c>
      <c r="E687" s="10">
        <v>10.6</v>
      </c>
      <c r="F687" s="10">
        <v>12</v>
      </c>
      <c r="G687" s="12">
        <v>5.35</v>
      </c>
      <c r="H687" s="12">
        <v>0.45</v>
      </c>
      <c r="I687" s="12">
        <v>0.53500000000000003</v>
      </c>
      <c r="J687" s="44">
        <f t="shared" si="40"/>
        <v>0.53500000000000003</v>
      </c>
      <c r="K687" s="10">
        <v>5</v>
      </c>
      <c r="L687" s="9">
        <v>21.33111111111111</v>
      </c>
      <c r="M687" s="9">
        <v>236.7</v>
      </c>
      <c r="N687" s="9">
        <v>46.19959666666665</v>
      </c>
      <c r="O687" s="9">
        <v>39.5</v>
      </c>
      <c r="P687" s="10">
        <v>4.7300000000000004</v>
      </c>
      <c r="Q687" s="9">
        <v>11.53</v>
      </c>
      <c r="R687" s="10">
        <v>7.4695416666666548</v>
      </c>
      <c r="S687" s="9">
        <v>4.3</v>
      </c>
      <c r="T687" s="10">
        <v>1.04</v>
      </c>
      <c r="U687" s="10">
        <v>1.1617108225250343</v>
      </c>
      <c r="V687" s="22">
        <v>378.89374356249999</v>
      </c>
      <c r="W687" s="188">
        <f t="shared" si="41"/>
        <v>1.2935646461120087</v>
      </c>
      <c r="X687" s="192">
        <f t="shared" si="42"/>
        <v>11.465</v>
      </c>
      <c r="AA687" s="39" t="str">
        <f t="shared" si="39"/>
        <v>S</v>
      </c>
    </row>
    <row r="688" spans="1:27" x14ac:dyDescent="0.2">
      <c r="A688" s="2" t="s">
        <v>310</v>
      </c>
      <c r="B688" s="2" t="s">
        <v>523</v>
      </c>
      <c r="C688" s="2" t="s">
        <v>400</v>
      </c>
      <c r="D688" s="2">
        <v>34.1</v>
      </c>
      <c r="E688" s="10">
        <v>10.039999999999999</v>
      </c>
      <c r="F688" s="10">
        <v>12</v>
      </c>
      <c r="G688" s="12">
        <v>5.09</v>
      </c>
      <c r="H688" s="12">
        <v>0.43</v>
      </c>
      <c r="I688" s="12">
        <v>0.50800000000000001</v>
      </c>
      <c r="J688" s="44">
        <f t="shared" si="40"/>
        <v>0.50800000000000001</v>
      </c>
      <c r="K688" s="10">
        <v>5.0098425196850389</v>
      </c>
      <c r="L688" s="9">
        <v>22.546511627906977</v>
      </c>
      <c r="M688" s="9">
        <v>217.85</v>
      </c>
      <c r="N688" s="9">
        <v>42.643003306666678</v>
      </c>
      <c r="O688" s="9">
        <v>36.31</v>
      </c>
      <c r="P688" s="10">
        <v>4.66</v>
      </c>
      <c r="Q688" s="9">
        <v>9.67</v>
      </c>
      <c r="R688" s="10">
        <v>6.4948330666666703</v>
      </c>
      <c r="S688" s="9">
        <v>3.8</v>
      </c>
      <c r="T688" s="10">
        <v>0.98</v>
      </c>
      <c r="U688" s="10">
        <v>0.97092806855213021</v>
      </c>
      <c r="V688" s="22">
        <v>319.26970972000004</v>
      </c>
      <c r="W688" s="188">
        <f t="shared" si="41"/>
        <v>1.2370376658474955</v>
      </c>
      <c r="X688" s="192">
        <f t="shared" si="42"/>
        <v>11.492000000000001</v>
      </c>
      <c r="AA688" s="39" t="str">
        <f t="shared" si="39"/>
        <v>S</v>
      </c>
    </row>
    <row r="689" spans="1:27" x14ac:dyDescent="0.2">
      <c r="A689" s="2" t="s">
        <v>310</v>
      </c>
      <c r="B689" s="2" t="s">
        <v>524</v>
      </c>
      <c r="C689" s="2" t="s">
        <v>400</v>
      </c>
      <c r="D689" s="9">
        <v>32</v>
      </c>
      <c r="E689" s="10">
        <v>9.4600000000000009</v>
      </c>
      <c r="F689" s="10">
        <v>12</v>
      </c>
      <c r="G689" s="12">
        <v>5.25</v>
      </c>
      <c r="H689" s="12">
        <v>0.32</v>
      </c>
      <c r="I689" s="12">
        <v>0.57999999999999996</v>
      </c>
      <c r="J689" s="44">
        <f t="shared" si="40"/>
        <v>0.57999999999999996</v>
      </c>
      <c r="K689" s="10">
        <v>4.5258620689655169</v>
      </c>
      <c r="L689" s="9">
        <v>29.621874999999999</v>
      </c>
      <c r="M689" s="9">
        <v>229.2</v>
      </c>
      <c r="N689" s="9">
        <v>44.108614666666661</v>
      </c>
      <c r="O689" s="9">
        <v>38.200000000000003</v>
      </c>
      <c r="P689" s="10">
        <v>4.92</v>
      </c>
      <c r="Q689" s="9">
        <v>11.64</v>
      </c>
      <c r="R689" s="10">
        <v>7.4604656666666678</v>
      </c>
      <c r="S689" s="9">
        <v>4.43</v>
      </c>
      <c r="T689" s="10">
        <v>1.1100000000000001</v>
      </c>
      <c r="U689" s="10">
        <v>1.0385855398248742</v>
      </c>
      <c r="V689" s="22">
        <v>379.51172400000007</v>
      </c>
      <c r="W689" s="188">
        <f t="shared" si="41"/>
        <v>1.3190548734462504</v>
      </c>
      <c r="X689" s="192">
        <f t="shared" si="42"/>
        <v>11.42</v>
      </c>
      <c r="AA689" s="39" t="str">
        <f t="shared" si="39"/>
        <v>S</v>
      </c>
    </row>
    <row r="690" spans="1:27" x14ac:dyDescent="0.2">
      <c r="A690" s="2" t="s">
        <v>310</v>
      </c>
      <c r="B690" s="2" t="s">
        <v>525</v>
      </c>
      <c r="C690" s="2" t="s">
        <v>400</v>
      </c>
      <c r="D690" s="9">
        <v>31.5</v>
      </c>
      <c r="E690" s="10">
        <v>9.27</v>
      </c>
      <c r="F690" s="10">
        <v>12</v>
      </c>
      <c r="G690" s="12">
        <v>5</v>
      </c>
      <c r="H690" s="12">
        <v>0.35</v>
      </c>
      <c r="I690" s="12">
        <v>0.54500000000000004</v>
      </c>
      <c r="J690" s="44">
        <f t="shared" si="40"/>
        <v>0.54500000000000004</v>
      </c>
      <c r="K690" s="10">
        <v>4.5871559633027532</v>
      </c>
      <c r="L690" s="9">
        <v>27.550285714285714</v>
      </c>
      <c r="M690" s="9">
        <v>218.17</v>
      </c>
      <c r="N690" s="9">
        <v>41.570894999999965</v>
      </c>
      <c r="O690" s="9">
        <v>36.5</v>
      </c>
      <c r="P690" s="10">
        <v>4.8600000000000003</v>
      </c>
      <c r="Q690" s="9">
        <v>9.4499999999999993</v>
      </c>
      <c r="R690" s="10">
        <v>6.4438874999999882</v>
      </c>
      <c r="S690" s="9">
        <v>3.78</v>
      </c>
      <c r="T690" s="10">
        <v>1.01</v>
      </c>
      <c r="U690" s="10">
        <v>0.90477795040508457</v>
      </c>
      <c r="V690" s="22">
        <v>310.00022156249997</v>
      </c>
      <c r="W690" s="188">
        <f t="shared" si="41"/>
        <v>1.2177328474140923</v>
      </c>
      <c r="X690" s="192">
        <f t="shared" si="42"/>
        <v>11.455</v>
      </c>
      <c r="AA690" s="39" t="str">
        <f t="shared" si="39"/>
        <v>S</v>
      </c>
    </row>
    <row r="691" spans="1:27" x14ac:dyDescent="0.2">
      <c r="A691" s="2" t="s">
        <v>310</v>
      </c>
      <c r="B691" s="2" t="s">
        <v>526</v>
      </c>
      <c r="C691" s="2" t="s">
        <v>400</v>
      </c>
      <c r="D691" s="9">
        <v>30.6</v>
      </c>
      <c r="E691" s="10">
        <v>9.01</v>
      </c>
      <c r="F691" s="10">
        <v>12</v>
      </c>
      <c r="G691" s="12">
        <v>5</v>
      </c>
      <c r="H691" s="12">
        <v>0.34</v>
      </c>
      <c r="I691" s="12">
        <v>0.505</v>
      </c>
      <c r="J691" s="44">
        <f t="shared" si="40"/>
        <v>0.505</v>
      </c>
      <c r="K691" s="10">
        <v>4.9504950495049505</v>
      </c>
      <c r="L691" s="9">
        <v>28.467647058823527</v>
      </c>
      <c r="M691" s="9">
        <v>207.9</v>
      </c>
      <c r="N691" s="9">
        <v>39.243612666666671</v>
      </c>
      <c r="O691" s="9">
        <v>35.65</v>
      </c>
      <c r="P691" s="10">
        <v>4.8</v>
      </c>
      <c r="Q691" s="9">
        <v>9</v>
      </c>
      <c r="R691" s="10">
        <v>5.9967393333333323</v>
      </c>
      <c r="S691" s="9">
        <v>3.6</v>
      </c>
      <c r="T691" s="10">
        <v>1</v>
      </c>
      <c r="U691" s="10">
        <v>0.76809061901567921</v>
      </c>
      <c r="V691" s="22">
        <v>297.30380624999998</v>
      </c>
      <c r="W691" s="188">
        <f t="shared" si="41"/>
        <v>1.2045670455316821</v>
      </c>
      <c r="X691" s="192">
        <f t="shared" si="42"/>
        <v>11.494999999999999</v>
      </c>
      <c r="AA691" s="39" t="str">
        <f t="shared" si="39"/>
        <v>S</v>
      </c>
    </row>
    <row r="692" spans="1:27" x14ac:dyDescent="0.2">
      <c r="A692" s="2" t="s">
        <v>310</v>
      </c>
      <c r="B692" s="2" t="s">
        <v>527</v>
      </c>
      <c r="C692" s="2" t="s">
        <v>400</v>
      </c>
      <c r="D692" s="9">
        <v>30</v>
      </c>
      <c r="E692" s="10">
        <v>9.1</v>
      </c>
      <c r="F692" s="10">
        <v>12</v>
      </c>
      <c r="G692" s="12">
        <v>5.218</v>
      </c>
      <c r="H692" s="12">
        <v>0.312</v>
      </c>
      <c r="I692" s="12">
        <v>0.51550000000000007</v>
      </c>
      <c r="J692" s="44">
        <f t="shared" si="40"/>
        <v>0.51550000000000007</v>
      </c>
      <c r="K692" s="10">
        <v>5.0611057225994172</v>
      </c>
      <c r="L692" s="9">
        <v>30.875</v>
      </c>
      <c r="M692" s="9">
        <v>211.7</v>
      </c>
      <c r="N692" s="9">
        <v>40.219302146000047</v>
      </c>
      <c r="O692" s="9">
        <v>35.299999999999997</v>
      </c>
      <c r="P692" s="10">
        <v>4.82</v>
      </c>
      <c r="Q692" s="9">
        <v>10.199999999999999</v>
      </c>
      <c r="R692" s="10">
        <v>6.5326847700000048</v>
      </c>
      <c r="S692" s="9">
        <v>3.91</v>
      </c>
      <c r="T692" s="10">
        <v>1.05</v>
      </c>
      <c r="U692" s="10">
        <v>0.78791938707454268</v>
      </c>
      <c r="V692" s="22">
        <v>336.32903763749999</v>
      </c>
      <c r="W692" s="188">
        <f t="shared" si="41"/>
        <v>1.2881124605593095</v>
      </c>
      <c r="X692" s="192">
        <f t="shared" si="42"/>
        <v>11.484500000000001</v>
      </c>
      <c r="AA692" s="39" t="str">
        <f t="shared" si="39"/>
        <v>S</v>
      </c>
    </row>
    <row r="693" spans="1:27" x14ac:dyDescent="0.2">
      <c r="A693" s="2" t="s">
        <v>310</v>
      </c>
      <c r="B693" s="2" t="s">
        <v>528</v>
      </c>
      <c r="C693" s="2" t="s">
        <v>400</v>
      </c>
      <c r="D693" s="9">
        <v>28</v>
      </c>
      <c r="E693" s="10">
        <v>8.24</v>
      </c>
      <c r="F693" s="10">
        <v>11.88</v>
      </c>
      <c r="G693" s="12">
        <v>6.569</v>
      </c>
      <c r="H693" s="12">
        <v>0.314</v>
      </c>
      <c r="I693" s="12">
        <v>0.37</v>
      </c>
      <c r="J693" s="44">
        <f t="shared" si="40"/>
        <v>0.37</v>
      </c>
      <c r="K693" s="10">
        <v>8.8770270270270277</v>
      </c>
      <c r="L693" s="9">
        <v>32.483439490445861</v>
      </c>
      <c r="M693" s="9">
        <v>193.6</v>
      </c>
      <c r="N693" s="9">
        <v>37.689644775000019</v>
      </c>
      <c r="O693" s="9">
        <v>32.6</v>
      </c>
      <c r="P693" s="10">
        <v>4.8499999999999996</v>
      </c>
      <c r="Q693" s="9">
        <v>13.9</v>
      </c>
      <c r="R693" s="10">
        <v>7.5077693325000174</v>
      </c>
      <c r="S693" s="9">
        <v>4.28</v>
      </c>
      <c r="T693" s="10">
        <v>1.3</v>
      </c>
      <c r="U693" s="10">
        <v>0.42775513208867927</v>
      </c>
      <c r="V693" s="22">
        <v>460.3683475000002</v>
      </c>
      <c r="W693" s="188">
        <f t="shared" si="41"/>
        <v>1.566467049894414</v>
      </c>
      <c r="X693" s="192">
        <f t="shared" si="42"/>
        <v>11.510000000000002</v>
      </c>
      <c r="AA693" s="39" t="str">
        <f t="shared" si="39"/>
        <v>S</v>
      </c>
    </row>
    <row r="694" spans="1:27" x14ac:dyDescent="0.2">
      <c r="A694" s="2" t="s">
        <v>310</v>
      </c>
      <c r="B694" s="2" t="s">
        <v>529</v>
      </c>
      <c r="C694" s="2" t="s">
        <v>400</v>
      </c>
      <c r="D694" s="9">
        <v>27.9</v>
      </c>
      <c r="E694" s="10">
        <v>8.15</v>
      </c>
      <c r="F694" s="10">
        <v>12</v>
      </c>
      <c r="G694" s="12">
        <v>6</v>
      </c>
      <c r="H694" s="12">
        <v>0.28400000000000003</v>
      </c>
      <c r="I694" s="12">
        <v>0.41</v>
      </c>
      <c r="J694" s="44">
        <f t="shared" si="40"/>
        <v>0.41</v>
      </c>
      <c r="K694" s="10">
        <v>7.3170731707317067</v>
      </c>
      <c r="L694" s="9">
        <v>36.479859154929571</v>
      </c>
      <c r="M694" s="9">
        <v>199.4</v>
      </c>
      <c r="N694" s="9">
        <v>37.353660266666694</v>
      </c>
      <c r="O694" s="9">
        <v>33.200000000000003</v>
      </c>
      <c r="P694" s="10">
        <v>4.95</v>
      </c>
      <c r="Q694" s="9">
        <v>12.6</v>
      </c>
      <c r="R694" s="10">
        <v>6.8975259733333267</v>
      </c>
      <c r="S694" s="9">
        <v>4.2</v>
      </c>
      <c r="T694" s="10">
        <v>1.24</v>
      </c>
      <c r="U694" s="10">
        <v>0.43754292381251136</v>
      </c>
      <c r="V694" s="22">
        <v>423.13351499999999</v>
      </c>
      <c r="W694" s="188">
        <f t="shared" si="41"/>
        <v>1.4830061459466926</v>
      </c>
      <c r="X694" s="192">
        <f t="shared" si="42"/>
        <v>11.59</v>
      </c>
      <c r="AA694" s="39" t="str">
        <f t="shared" si="39"/>
        <v>S</v>
      </c>
    </row>
    <row r="695" spans="1:27" x14ac:dyDescent="0.2">
      <c r="A695" s="2" t="s">
        <v>310</v>
      </c>
      <c r="B695" s="2" t="s">
        <v>530</v>
      </c>
      <c r="C695" s="2" t="s">
        <v>400</v>
      </c>
      <c r="D695" s="9">
        <v>27.5</v>
      </c>
      <c r="E695" s="10">
        <v>8.09</v>
      </c>
      <c r="F695" s="10">
        <v>12</v>
      </c>
      <c r="G695" s="12">
        <v>5.0609999999999999</v>
      </c>
      <c r="H695" s="12">
        <v>0.30099999999999999</v>
      </c>
      <c r="I695" s="12">
        <v>0.46350000000000002</v>
      </c>
      <c r="J695" s="44">
        <f t="shared" si="40"/>
        <v>0.46350000000000002</v>
      </c>
      <c r="K695" s="10">
        <v>5.4595469255663431</v>
      </c>
      <c r="L695" s="9">
        <v>32.8312292358804</v>
      </c>
      <c r="M695" s="9">
        <v>191.5</v>
      </c>
      <c r="N695" s="9">
        <v>36.226000253333339</v>
      </c>
      <c r="O695" s="9">
        <v>31.9</v>
      </c>
      <c r="P695" s="10">
        <v>4.88</v>
      </c>
      <c r="Q695" s="9">
        <v>8.01</v>
      </c>
      <c r="R695" s="10">
        <v>5.437197126666657</v>
      </c>
      <c r="S695" s="9">
        <v>3.17</v>
      </c>
      <c r="T695" s="10">
        <v>0.99</v>
      </c>
      <c r="U695" s="10">
        <v>0.58797929431263851</v>
      </c>
      <c r="V695" s="22">
        <v>266.51439158062499</v>
      </c>
      <c r="W695" s="188">
        <f t="shared" si="41"/>
        <v>1.2034912965785998</v>
      </c>
      <c r="X695" s="192">
        <f t="shared" si="42"/>
        <v>11.5365</v>
      </c>
      <c r="AA695" s="39" t="str">
        <f t="shared" si="39"/>
        <v>S</v>
      </c>
    </row>
    <row r="696" spans="1:27" x14ac:dyDescent="0.2">
      <c r="A696" s="2" t="s">
        <v>310</v>
      </c>
      <c r="B696" s="2" t="s">
        <v>531</v>
      </c>
      <c r="C696" s="2" t="s">
        <v>400</v>
      </c>
      <c r="D696" s="9">
        <v>25</v>
      </c>
      <c r="E696" s="10">
        <v>7.35</v>
      </c>
      <c r="F696" s="10">
        <v>11.88</v>
      </c>
      <c r="G696" s="12">
        <v>6.4950000000000001</v>
      </c>
      <c r="H696" s="12">
        <v>0.24</v>
      </c>
      <c r="I696" s="12">
        <v>0.35499999999999998</v>
      </c>
      <c r="J696" s="44">
        <f t="shared" si="40"/>
        <v>0.35499999999999998</v>
      </c>
      <c r="K696" s="10">
        <v>9.147887323943662</v>
      </c>
      <c r="L696" s="9">
        <v>42.499166666666667</v>
      </c>
      <c r="M696" s="9">
        <v>182.8</v>
      </c>
      <c r="N696" s="9">
        <v>34.024378125000005</v>
      </c>
      <c r="O696" s="9">
        <v>30.8</v>
      </c>
      <c r="P696" s="10">
        <v>4.9800000000000004</v>
      </c>
      <c r="Q696" s="9">
        <v>13.4</v>
      </c>
      <c r="R696" s="10">
        <v>6.800981062499984</v>
      </c>
      <c r="S696" s="9">
        <v>4.12</v>
      </c>
      <c r="T696" s="10">
        <v>1.35</v>
      </c>
      <c r="U696" s="10">
        <v>0.32031544135079593</v>
      </c>
      <c r="V696" s="22">
        <v>444.96584375000003</v>
      </c>
      <c r="W696" s="188">
        <f t="shared" si="41"/>
        <v>1.5833703572795874</v>
      </c>
      <c r="X696" s="192">
        <f t="shared" si="42"/>
        <v>11.525</v>
      </c>
      <c r="AA696" s="39" t="str">
        <f t="shared" si="39"/>
        <v>S</v>
      </c>
    </row>
    <row r="697" spans="1:27" x14ac:dyDescent="0.2">
      <c r="A697" s="2" t="s">
        <v>310</v>
      </c>
      <c r="B697" s="2" t="s">
        <v>532</v>
      </c>
      <c r="C697" s="2" t="s">
        <v>400</v>
      </c>
      <c r="D697" s="9">
        <v>45</v>
      </c>
      <c r="E697" s="10">
        <v>13.14</v>
      </c>
      <c r="F697" s="10">
        <v>10</v>
      </c>
      <c r="G697" s="12">
        <v>5.25</v>
      </c>
      <c r="H697" s="12">
        <v>0.45</v>
      </c>
      <c r="I697" s="12">
        <v>0.9</v>
      </c>
      <c r="J697" s="44">
        <f t="shared" si="40"/>
        <v>0.9</v>
      </c>
      <c r="K697" s="10">
        <v>2.916666666666667</v>
      </c>
      <c r="L697" s="9">
        <v>15.161333333333333</v>
      </c>
      <c r="M697" s="9">
        <v>216.1</v>
      </c>
      <c r="N697" s="9">
        <v>50.462000000000025</v>
      </c>
      <c r="O697" s="9">
        <v>43.2</v>
      </c>
      <c r="P697" s="10">
        <v>4.0599999999999996</v>
      </c>
      <c r="Q697" s="9">
        <v>17.940000000000001</v>
      </c>
      <c r="R697" s="10">
        <v>11.858250000000004</v>
      </c>
      <c r="S697" s="9">
        <v>6.84</v>
      </c>
      <c r="T697" s="10">
        <v>1.17</v>
      </c>
      <c r="U697" s="10">
        <v>3.2575353042189281</v>
      </c>
      <c r="V697" s="22">
        <v>371.40285</v>
      </c>
      <c r="W697" s="188">
        <f t="shared" si="41"/>
        <v>1.3745959002153647</v>
      </c>
      <c r="X697" s="192">
        <f t="shared" si="42"/>
        <v>9.1</v>
      </c>
      <c r="AA697" s="39" t="str">
        <f t="shared" si="39"/>
        <v>S</v>
      </c>
    </row>
    <row r="698" spans="1:27" x14ac:dyDescent="0.2">
      <c r="A698" s="2" t="s">
        <v>310</v>
      </c>
      <c r="B698" s="2" t="s">
        <v>533</v>
      </c>
      <c r="C698" s="2" t="s">
        <v>400</v>
      </c>
      <c r="D698" s="9">
        <v>40</v>
      </c>
      <c r="E698" s="10">
        <v>11.8</v>
      </c>
      <c r="F698" s="10">
        <v>10</v>
      </c>
      <c r="G698" s="12">
        <v>5.21</v>
      </c>
      <c r="H698" s="12">
        <v>0.57999999999999996</v>
      </c>
      <c r="I698" s="12">
        <v>0.64500000000000002</v>
      </c>
      <c r="J698" s="44">
        <f t="shared" si="40"/>
        <v>0.64500000000000002</v>
      </c>
      <c r="K698" s="10">
        <v>4.0387596899224807</v>
      </c>
      <c r="L698" s="9">
        <v>12.901034482758622</v>
      </c>
      <c r="M698" s="9">
        <v>178.5</v>
      </c>
      <c r="N698" s="9">
        <v>42.390039666666659</v>
      </c>
      <c r="O698" s="9">
        <v>35.700000000000003</v>
      </c>
      <c r="P698" s="10">
        <v>3.89</v>
      </c>
      <c r="Q698" s="9">
        <v>13.5</v>
      </c>
      <c r="R698" s="10">
        <v>8.8612403333333294</v>
      </c>
      <c r="S698" s="9">
        <v>5.2</v>
      </c>
      <c r="T698" s="10">
        <v>1.07</v>
      </c>
      <c r="U698" s="10">
        <v>1.8902739999475608</v>
      </c>
      <c r="V698" s="22">
        <v>295.36658437500006</v>
      </c>
      <c r="W698" s="188">
        <f t="shared" si="41"/>
        <v>1.3299633532576765</v>
      </c>
      <c r="X698" s="192">
        <f t="shared" si="42"/>
        <v>9.3550000000000004</v>
      </c>
      <c r="AA698" s="39" t="str">
        <f t="shared" si="39"/>
        <v>S</v>
      </c>
    </row>
    <row r="699" spans="1:27" x14ac:dyDescent="0.2">
      <c r="A699" s="2" t="s">
        <v>310</v>
      </c>
      <c r="B699" s="2" t="s">
        <v>534</v>
      </c>
      <c r="C699" s="2" t="s">
        <v>400</v>
      </c>
      <c r="D699" s="2">
        <v>34.9</v>
      </c>
      <c r="E699" s="10">
        <v>10.28</v>
      </c>
      <c r="F699" s="10">
        <v>10</v>
      </c>
      <c r="G699" s="12">
        <v>4.9000000000000004</v>
      </c>
      <c r="H699" s="12">
        <v>0.5</v>
      </c>
      <c r="I699" s="12">
        <v>0.57499999999999996</v>
      </c>
      <c r="J699" s="44">
        <f t="shared" si="40"/>
        <v>0.57499999999999996</v>
      </c>
      <c r="K699" s="10">
        <v>4.2608695652173916</v>
      </c>
      <c r="L699" s="9">
        <v>15.117999999999999</v>
      </c>
      <c r="M699" s="9">
        <v>153.94</v>
      </c>
      <c r="N699" s="9">
        <v>36.305320000000016</v>
      </c>
      <c r="O699" s="9">
        <v>30.79</v>
      </c>
      <c r="P699" s="10">
        <v>3.87</v>
      </c>
      <c r="Q699" s="9">
        <v>10.02</v>
      </c>
      <c r="R699" s="10">
        <v>6.9236000000000031</v>
      </c>
      <c r="S699" s="9">
        <v>4.09</v>
      </c>
      <c r="T699" s="10">
        <v>0.99</v>
      </c>
      <c r="U699" s="10">
        <v>1.2915366429209907</v>
      </c>
      <c r="V699" s="22">
        <v>222.52071562500001</v>
      </c>
      <c r="W699" s="188">
        <f t="shared" si="41"/>
        <v>1.2383821911854491</v>
      </c>
      <c r="X699" s="192">
        <f t="shared" si="42"/>
        <v>9.4250000000000007</v>
      </c>
      <c r="AA699" s="39" t="str">
        <f t="shared" si="39"/>
        <v>S</v>
      </c>
    </row>
    <row r="700" spans="1:27" x14ac:dyDescent="0.2">
      <c r="A700" s="2" t="s">
        <v>310</v>
      </c>
      <c r="B700" s="2" t="s">
        <v>535</v>
      </c>
      <c r="C700" s="2" t="s">
        <v>400</v>
      </c>
      <c r="D700" s="9">
        <v>33</v>
      </c>
      <c r="E700" s="10">
        <v>9.6999999999999993</v>
      </c>
      <c r="F700" s="10">
        <v>10</v>
      </c>
      <c r="G700" s="12">
        <v>5</v>
      </c>
      <c r="H700" s="12">
        <v>0.37</v>
      </c>
      <c r="I700" s="12">
        <v>0.64500000000000002</v>
      </c>
      <c r="J700" s="44">
        <f t="shared" si="40"/>
        <v>0.64500000000000002</v>
      </c>
      <c r="K700" s="10">
        <v>3.8759689922480618</v>
      </c>
      <c r="L700" s="9">
        <v>20.223243243243243</v>
      </c>
      <c r="M700" s="9">
        <v>161.30000000000001</v>
      </c>
      <c r="N700" s="9">
        <v>37.140039666666659</v>
      </c>
      <c r="O700" s="9">
        <v>32.299999999999997</v>
      </c>
      <c r="P700" s="10">
        <v>4.08</v>
      </c>
      <c r="Q700" s="9">
        <v>11.8</v>
      </c>
      <c r="R700" s="10">
        <v>7.7353568333333289</v>
      </c>
      <c r="S700" s="9">
        <v>4.72</v>
      </c>
      <c r="T700" s="10">
        <v>1.1000000000000001</v>
      </c>
      <c r="U700" s="10">
        <v>1.279916110319069</v>
      </c>
      <c r="V700" s="22">
        <v>258.17227375000004</v>
      </c>
      <c r="W700" s="188">
        <f t="shared" si="41"/>
        <v>1.3072138499631971</v>
      </c>
      <c r="X700" s="192">
        <f t="shared" si="42"/>
        <v>9.3550000000000004</v>
      </c>
      <c r="AA700" s="39" t="str">
        <f t="shared" si="39"/>
        <v>S</v>
      </c>
    </row>
    <row r="701" spans="1:27" x14ac:dyDescent="0.2">
      <c r="A701" s="2" t="s">
        <v>310</v>
      </c>
      <c r="B701" s="2" t="s">
        <v>536</v>
      </c>
      <c r="C701" s="2" t="s">
        <v>400</v>
      </c>
      <c r="D701" s="9">
        <v>32</v>
      </c>
      <c r="E701" s="10">
        <v>9.4</v>
      </c>
      <c r="F701" s="10">
        <v>10</v>
      </c>
      <c r="G701" s="12">
        <v>4.9400000000000004</v>
      </c>
      <c r="H701" s="12">
        <v>0.51</v>
      </c>
      <c r="I701" s="12">
        <v>0.48499999999999999</v>
      </c>
      <c r="J701" s="44">
        <f t="shared" si="40"/>
        <v>0.48499999999999999</v>
      </c>
      <c r="K701" s="10">
        <v>5.0927835051546397</v>
      </c>
      <c r="L701" s="9">
        <v>15.338431372549019</v>
      </c>
      <c r="M701" s="9">
        <v>139.4</v>
      </c>
      <c r="N701" s="9">
        <v>33.153251000000019</v>
      </c>
      <c r="O701" s="9">
        <v>27.9</v>
      </c>
      <c r="P701" s="10">
        <v>3.85</v>
      </c>
      <c r="Q701" s="9">
        <v>8.3699999999999992</v>
      </c>
      <c r="R701" s="10">
        <v>5.9653640000000081</v>
      </c>
      <c r="S701" s="9">
        <v>3.39</v>
      </c>
      <c r="T701" s="10">
        <v>0.95</v>
      </c>
      <c r="U701" s="10">
        <v>1.010256081966467</v>
      </c>
      <c r="V701" s="22">
        <v>189.44495831250001</v>
      </c>
      <c r="W701" s="188">
        <f t="shared" si="41"/>
        <v>1.1946756882099845</v>
      </c>
      <c r="X701" s="192">
        <f t="shared" si="42"/>
        <v>9.5150000000000006</v>
      </c>
      <c r="AA701" s="39" t="str">
        <f t="shared" si="39"/>
        <v>S</v>
      </c>
    </row>
    <row r="702" spans="1:27" x14ac:dyDescent="0.2">
      <c r="A702" s="2" t="s">
        <v>310</v>
      </c>
      <c r="B702" s="2" t="s">
        <v>537</v>
      </c>
      <c r="C702" s="2" t="s">
        <v>400</v>
      </c>
      <c r="D702" s="2">
        <v>31.5</v>
      </c>
      <c r="E702" s="10">
        <v>9.24</v>
      </c>
      <c r="F702" s="10">
        <v>10</v>
      </c>
      <c r="G702" s="12">
        <v>4.9450000000000003</v>
      </c>
      <c r="H702" s="12">
        <v>0.50800000000000001</v>
      </c>
      <c r="I702" s="12">
        <v>0.46899999999999997</v>
      </c>
      <c r="J702" s="44">
        <f t="shared" si="40"/>
        <v>0.46899999999999997</v>
      </c>
      <c r="K702" s="10">
        <v>5.2718550106609818</v>
      </c>
      <c r="L702" s="9">
        <v>15.536740157480315</v>
      </c>
      <c r="M702" s="9">
        <v>136.55000000000001</v>
      </c>
      <c r="N702" s="9">
        <v>32.497570098999986</v>
      </c>
      <c r="O702" s="9">
        <v>27.3</v>
      </c>
      <c r="P702" s="10">
        <v>3.84</v>
      </c>
      <c r="Q702" s="9">
        <v>8.15</v>
      </c>
      <c r="R702" s="10">
        <v>5.8070171604999938</v>
      </c>
      <c r="S702" s="9">
        <v>3.3</v>
      </c>
      <c r="T702" s="10">
        <v>0.94</v>
      </c>
      <c r="U702" s="10">
        <v>0.95101473328270092</v>
      </c>
      <c r="V702" s="22">
        <v>185.08642053750003</v>
      </c>
      <c r="W702" s="188">
        <f t="shared" si="41"/>
        <v>1.192756296322758</v>
      </c>
      <c r="X702" s="192">
        <f t="shared" si="42"/>
        <v>9.5310000000000006</v>
      </c>
      <c r="AA702" s="39" t="str">
        <f t="shared" si="39"/>
        <v>S</v>
      </c>
    </row>
    <row r="703" spans="1:27" x14ac:dyDescent="0.2">
      <c r="A703" s="2" t="s">
        <v>310</v>
      </c>
      <c r="B703" s="2" t="s">
        <v>538</v>
      </c>
      <c r="C703" s="2" t="s">
        <v>400</v>
      </c>
      <c r="D703" s="2">
        <v>30.3</v>
      </c>
      <c r="E703" s="10">
        <v>8.91</v>
      </c>
      <c r="F703" s="10">
        <v>10</v>
      </c>
      <c r="G703" s="12">
        <v>4.7</v>
      </c>
      <c r="H703" s="12">
        <v>0.5</v>
      </c>
      <c r="I703" s="12">
        <v>0.44500000000000001</v>
      </c>
      <c r="J703" s="44">
        <f t="shared" si="40"/>
        <v>0.44500000000000001</v>
      </c>
      <c r="K703" s="10">
        <v>5.2808988764044953</v>
      </c>
      <c r="L703" s="9">
        <v>15.678000000000001</v>
      </c>
      <c r="M703" s="9">
        <v>129.08000000000001</v>
      </c>
      <c r="N703" s="9">
        <v>30.324660000000002</v>
      </c>
      <c r="O703" s="9">
        <v>25.82</v>
      </c>
      <c r="P703" s="10">
        <v>3.81</v>
      </c>
      <c r="Q703" s="9">
        <v>6.69</v>
      </c>
      <c r="R703" s="10">
        <v>5.0287000000000024</v>
      </c>
      <c r="S703" s="9">
        <v>2.85</v>
      </c>
      <c r="T703" s="10">
        <v>0.87</v>
      </c>
      <c r="U703" s="10">
        <v>0.87244364899215876</v>
      </c>
      <c r="V703" s="22">
        <v>152.69594681250001</v>
      </c>
      <c r="W703" s="188">
        <f t="shared" si="41"/>
        <v>1.1125903474223484</v>
      </c>
      <c r="X703" s="192">
        <f t="shared" si="42"/>
        <v>9.5549999999999997</v>
      </c>
      <c r="AA703" s="39" t="str">
        <f t="shared" si="39"/>
        <v>S</v>
      </c>
    </row>
    <row r="704" spans="1:27" x14ac:dyDescent="0.2">
      <c r="A704" s="2" t="s">
        <v>310</v>
      </c>
      <c r="B704" s="2" t="s">
        <v>539</v>
      </c>
      <c r="C704" s="2" t="s">
        <v>400</v>
      </c>
      <c r="D704" s="2">
        <v>30.13</v>
      </c>
      <c r="E704" s="10">
        <v>8.74</v>
      </c>
      <c r="F704" s="10">
        <v>10</v>
      </c>
      <c r="G704" s="12">
        <v>4.7</v>
      </c>
      <c r="H704" s="12">
        <v>0.5</v>
      </c>
      <c r="I704" s="12">
        <v>0.44500000000000001</v>
      </c>
      <c r="J704" s="44">
        <f t="shared" si="40"/>
        <v>0.44500000000000001</v>
      </c>
      <c r="K704" s="10">
        <v>5.2808988764044953</v>
      </c>
      <c r="L704" s="9">
        <v>15.885200000000001</v>
      </c>
      <c r="M704" s="9">
        <v>126.83</v>
      </c>
      <c r="N704" s="9">
        <v>30.328859999999981</v>
      </c>
      <c r="O704" s="9">
        <v>25.4</v>
      </c>
      <c r="P704" s="10">
        <v>3.81</v>
      </c>
      <c r="Q704" s="9">
        <v>6.65</v>
      </c>
      <c r="R704" s="10">
        <v>5.058099999999996</v>
      </c>
      <c r="S704" s="9">
        <v>2.83</v>
      </c>
      <c r="T704" s="10">
        <v>0.87</v>
      </c>
      <c r="U704" s="10">
        <v>0.8467108848384951</v>
      </c>
      <c r="V704" s="22">
        <v>151.78296656250001</v>
      </c>
      <c r="W704" s="188">
        <f t="shared" si="41"/>
        <v>1.1183926704670104</v>
      </c>
      <c r="X704" s="192">
        <f t="shared" si="42"/>
        <v>9.5549999999999997</v>
      </c>
      <c r="AA704" s="39" t="str">
        <f t="shared" si="39"/>
        <v>S</v>
      </c>
    </row>
    <row r="705" spans="1:27" x14ac:dyDescent="0.2">
      <c r="A705" s="2" t="s">
        <v>310</v>
      </c>
      <c r="B705" s="2" t="s">
        <v>540</v>
      </c>
      <c r="C705" s="2" t="s">
        <v>400</v>
      </c>
      <c r="D705" s="9">
        <v>30</v>
      </c>
      <c r="E705" s="10">
        <v>8.9499999999999993</v>
      </c>
      <c r="F705" s="10">
        <v>10</v>
      </c>
      <c r="G705" s="12">
        <v>4.8849999999999998</v>
      </c>
      <c r="H705" s="12">
        <v>0.45500000000000002</v>
      </c>
      <c r="I705" s="12">
        <v>0.48499999999999999</v>
      </c>
      <c r="J705" s="44">
        <f t="shared" si="40"/>
        <v>0.48499999999999999</v>
      </c>
      <c r="K705" s="10">
        <v>5.036082474226804</v>
      </c>
      <c r="L705" s="9">
        <v>17.19252747252747</v>
      </c>
      <c r="M705" s="9">
        <v>134.6</v>
      </c>
      <c r="N705" s="9">
        <v>31.778251000000019</v>
      </c>
      <c r="O705" s="9">
        <v>26.9</v>
      </c>
      <c r="P705" s="10">
        <v>3.88</v>
      </c>
      <c r="Q705" s="9">
        <v>8.06</v>
      </c>
      <c r="R705" s="10">
        <v>5.7145062500000066</v>
      </c>
      <c r="S705" s="9">
        <v>3.3</v>
      </c>
      <c r="T705" s="10">
        <v>0.95</v>
      </c>
      <c r="U705" s="10">
        <v>0.86465886918420942</v>
      </c>
      <c r="V705" s="22">
        <v>182.42847837500003</v>
      </c>
      <c r="W705" s="188">
        <f t="shared" si="41"/>
        <v>1.1939352631694089</v>
      </c>
      <c r="X705" s="192">
        <f t="shared" si="42"/>
        <v>9.5150000000000006</v>
      </c>
      <c r="AA705" s="39" t="str">
        <f t="shared" si="39"/>
        <v>S</v>
      </c>
    </row>
    <row r="706" spans="1:27" x14ac:dyDescent="0.2">
      <c r="A706" s="2" t="s">
        <v>310</v>
      </c>
      <c r="B706" s="2" t="s">
        <v>541</v>
      </c>
      <c r="C706" s="2" t="s">
        <v>400</v>
      </c>
      <c r="D706" s="2">
        <v>29.8</v>
      </c>
      <c r="E706" s="10">
        <v>8.7799999999999994</v>
      </c>
      <c r="F706" s="10">
        <v>10</v>
      </c>
      <c r="G706" s="12">
        <v>4.75</v>
      </c>
      <c r="H706" s="12">
        <v>0.35</v>
      </c>
      <c r="I706" s="12">
        <v>0.57499999999999996</v>
      </c>
      <c r="J706" s="44">
        <f t="shared" si="40"/>
        <v>0.57499999999999996</v>
      </c>
      <c r="K706" s="10">
        <v>4.1304347826086962</v>
      </c>
      <c r="L706" s="9">
        <v>21.597142857142856</v>
      </c>
      <c r="M706" s="9">
        <v>141.44</v>
      </c>
      <c r="N706" s="9">
        <v>32.555320000000002</v>
      </c>
      <c r="O706" s="9">
        <v>28.29</v>
      </c>
      <c r="P706" s="10">
        <v>4.01</v>
      </c>
      <c r="Q706" s="9">
        <v>9.0299999999999994</v>
      </c>
      <c r="R706" s="10">
        <v>6.2253499999999997</v>
      </c>
      <c r="S706" s="9">
        <v>3.8</v>
      </c>
      <c r="T706" s="10">
        <v>1.01</v>
      </c>
      <c r="U706" s="10">
        <v>0.93793196513196664</v>
      </c>
      <c r="V706" s="22">
        <v>200.5351359375</v>
      </c>
      <c r="W706" s="188">
        <f t="shared" si="41"/>
        <v>1.2264591370470665</v>
      </c>
      <c r="X706" s="192">
        <f t="shared" si="42"/>
        <v>9.4250000000000007</v>
      </c>
      <c r="AA706" s="39" t="str">
        <f t="shared" si="39"/>
        <v>S</v>
      </c>
    </row>
    <row r="707" spans="1:27" x14ac:dyDescent="0.2">
      <c r="A707" s="2" t="s">
        <v>310</v>
      </c>
      <c r="B707" s="2" t="s">
        <v>542</v>
      </c>
      <c r="C707" s="2" t="s">
        <v>400</v>
      </c>
      <c r="D707" s="9">
        <v>28</v>
      </c>
      <c r="E707" s="10">
        <v>8.1199999999999992</v>
      </c>
      <c r="F707" s="10">
        <v>10</v>
      </c>
      <c r="G707" s="12">
        <v>4.6379999999999999</v>
      </c>
      <c r="H707" s="12">
        <v>0.438</v>
      </c>
      <c r="I707" s="12">
        <v>0.44500000000000001</v>
      </c>
      <c r="J707" s="44">
        <f t="shared" si="40"/>
        <v>0.44500000000000001</v>
      </c>
      <c r="K707" s="10">
        <v>5.2112359550561802</v>
      </c>
      <c r="L707" s="9">
        <v>18.1337899543379</v>
      </c>
      <c r="M707" s="9">
        <v>121.66</v>
      </c>
      <c r="N707" s="9">
        <v>28.778859999999984</v>
      </c>
      <c r="O707" s="9">
        <v>24.3</v>
      </c>
      <c r="P707" s="10">
        <v>3.87</v>
      </c>
      <c r="Q707" s="9">
        <v>6.35</v>
      </c>
      <c r="R707" s="10">
        <v>4.7968319999999984</v>
      </c>
      <c r="S707" s="9">
        <v>2.74</v>
      </c>
      <c r="T707" s="10">
        <v>0.88</v>
      </c>
      <c r="U707" s="10">
        <v>0.6950265414450939</v>
      </c>
      <c r="V707" s="22">
        <v>144.93561468749999</v>
      </c>
      <c r="W707" s="188">
        <f t="shared" si="41"/>
        <v>1.1173367254434499</v>
      </c>
      <c r="X707" s="192">
        <f t="shared" si="42"/>
        <v>9.5549999999999997</v>
      </c>
      <c r="AA707" s="39" t="str">
        <f t="shared" si="39"/>
        <v>S</v>
      </c>
    </row>
    <row r="708" spans="1:27" x14ac:dyDescent="0.2">
      <c r="A708" s="2" t="s">
        <v>310</v>
      </c>
      <c r="B708" s="2" t="s">
        <v>543</v>
      </c>
      <c r="C708" s="2" t="s">
        <v>400</v>
      </c>
      <c r="D708" s="9">
        <v>27</v>
      </c>
      <c r="E708" s="10">
        <v>7.9</v>
      </c>
      <c r="F708" s="10">
        <v>10</v>
      </c>
      <c r="G708" s="12">
        <v>4.8099999999999996</v>
      </c>
      <c r="H708" s="12">
        <v>0.37</v>
      </c>
      <c r="I708" s="12">
        <v>0.48499999999999999</v>
      </c>
      <c r="J708" s="44">
        <f t="shared" si="40"/>
        <v>0.48499999999999999</v>
      </c>
      <c r="K708" s="10">
        <v>4.9587628865979383</v>
      </c>
      <c r="L708" s="9">
        <v>21.142162162162162</v>
      </c>
      <c r="M708" s="9">
        <v>127.4</v>
      </c>
      <c r="N708" s="9">
        <v>29.699308000000013</v>
      </c>
      <c r="O708" s="9">
        <v>25.5</v>
      </c>
      <c r="P708" s="10">
        <v>4</v>
      </c>
      <c r="Q708" s="9">
        <v>7.6</v>
      </c>
      <c r="R708" s="10">
        <v>5.3774320000000024</v>
      </c>
      <c r="S708" s="9">
        <v>3.2</v>
      </c>
      <c r="T708" s="10">
        <v>0.98</v>
      </c>
      <c r="U708" s="10">
        <v>0.69068901224383472</v>
      </c>
      <c r="V708" s="22">
        <v>172.01692750000001</v>
      </c>
      <c r="W708" s="188">
        <f t="shared" si="41"/>
        <v>1.190765119000154</v>
      </c>
      <c r="X708" s="192">
        <f t="shared" si="42"/>
        <v>9.5150000000000006</v>
      </c>
      <c r="AA708" s="39" t="str">
        <f t="shared" ref="AA708:AA772" si="43">A708</f>
        <v>S</v>
      </c>
    </row>
    <row r="709" spans="1:27" x14ac:dyDescent="0.2">
      <c r="A709" s="2" t="s">
        <v>310</v>
      </c>
      <c r="B709" s="2" t="s">
        <v>544</v>
      </c>
      <c r="C709" s="2" t="s">
        <v>400</v>
      </c>
      <c r="D709" s="2">
        <v>25.9</v>
      </c>
      <c r="E709" s="10">
        <v>7.49</v>
      </c>
      <c r="F709" s="10">
        <v>10</v>
      </c>
      <c r="G709" s="12">
        <v>4.5750000000000002</v>
      </c>
      <c r="H709" s="12">
        <v>0.375</v>
      </c>
      <c r="I709" s="12">
        <v>0.44500000000000001</v>
      </c>
      <c r="J709" s="44">
        <f t="shared" si="40"/>
        <v>0.44500000000000001</v>
      </c>
      <c r="K709" s="10">
        <v>5.1404494382022481</v>
      </c>
      <c r="L709" s="9">
        <v>21.180266666666668</v>
      </c>
      <c r="M709" s="9">
        <v>116.41</v>
      </c>
      <c r="N709" s="9">
        <v>27.203859999999981</v>
      </c>
      <c r="O709" s="9">
        <v>23.3</v>
      </c>
      <c r="P709" s="10">
        <v>3.94</v>
      </c>
      <c r="Q709" s="9">
        <v>6.05</v>
      </c>
      <c r="R709" s="10">
        <v>4.5510374999999978</v>
      </c>
      <c r="S709" s="9">
        <v>2.64</v>
      </c>
      <c r="T709" s="10">
        <v>0.9</v>
      </c>
      <c r="U709" s="10">
        <v>0.57318973622255764</v>
      </c>
      <c r="V709" s="22">
        <v>138.08826281249998</v>
      </c>
      <c r="W709" s="188">
        <f t="shared" si="41"/>
        <v>1.1137816916489336</v>
      </c>
      <c r="X709" s="192">
        <f t="shared" si="42"/>
        <v>9.5549999999999997</v>
      </c>
      <c r="AA709" s="39" t="str">
        <f t="shared" si="43"/>
        <v>S</v>
      </c>
    </row>
    <row r="710" spans="1:27" x14ac:dyDescent="0.2">
      <c r="A710" s="2" t="s">
        <v>310</v>
      </c>
      <c r="B710" s="2" t="s">
        <v>545</v>
      </c>
      <c r="C710" s="2" t="s">
        <v>400</v>
      </c>
      <c r="D710" s="2">
        <v>25.5</v>
      </c>
      <c r="E710" s="10">
        <v>7.5</v>
      </c>
      <c r="F710" s="10">
        <v>10</v>
      </c>
      <c r="G710" s="12">
        <v>4.75</v>
      </c>
      <c r="H710" s="12">
        <v>0.32</v>
      </c>
      <c r="I710" s="12">
        <v>0.48499999999999999</v>
      </c>
      <c r="J710" s="44">
        <f t="shared" si="40"/>
        <v>0.48499999999999999</v>
      </c>
      <c r="K710" s="10">
        <v>4.8969072164948457</v>
      </c>
      <c r="L710" s="9">
        <v>24.445625</v>
      </c>
      <c r="M710" s="9">
        <v>123.7</v>
      </c>
      <c r="N710" s="9">
        <v>28.403251000000019</v>
      </c>
      <c r="O710" s="9">
        <v>24.7</v>
      </c>
      <c r="P710" s="10">
        <v>4.0599999999999996</v>
      </c>
      <c r="Q710" s="9">
        <v>7.32</v>
      </c>
      <c r="R710" s="10">
        <v>5.1628895000000048</v>
      </c>
      <c r="S710" s="9">
        <v>3.08</v>
      </c>
      <c r="T710" s="10">
        <v>0.99</v>
      </c>
      <c r="U710" s="10">
        <v>0.61108648649299879</v>
      </c>
      <c r="V710" s="22">
        <v>165.67946175000003</v>
      </c>
      <c r="W710" s="188">
        <f t="shared" si="41"/>
        <v>1.1873984081836582</v>
      </c>
      <c r="X710" s="192">
        <f t="shared" si="42"/>
        <v>9.5150000000000006</v>
      </c>
      <c r="AA710" s="39" t="str">
        <f t="shared" si="43"/>
        <v>S</v>
      </c>
    </row>
    <row r="711" spans="1:27" x14ac:dyDescent="0.2">
      <c r="A711" s="2" t="s">
        <v>310</v>
      </c>
      <c r="B711" s="2" t="s">
        <v>546</v>
      </c>
      <c r="C711" s="2" t="s">
        <v>400</v>
      </c>
      <c r="D711" s="9">
        <v>25</v>
      </c>
      <c r="E711" s="10">
        <v>7.5</v>
      </c>
      <c r="F711" s="10">
        <v>10</v>
      </c>
      <c r="G711" s="12">
        <v>4.74</v>
      </c>
      <c r="H711" s="12">
        <v>0.31</v>
      </c>
      <c r="I711" s="12">
        <v>0.48499999999999999</v>
      </c>
      <c r="J711" s="44">
        <f t="shared" si="40"/>
        <v>0.48499999999999999</v>
      </c>
      <c r="K711" s="10">
        <v>4.8865979381443303</v>
      </c>
      <c r="L711" s="9">
        <v>25.234193548387097</v>
      </c>
      <c r="M711" s="9">
        <v>122.5</v>
      </c>
      <c r="N711" s="9">
        <v>28.153251000000004</v>
      </c>
      <c r="O711" s="9">
        <v>24.5</v>
      </c>
      <c r="P711" s="10">
        <v>4.0599999999999996</v>
      </c>
      <c r="Q711" s="9">
        <v>7.27</v>
      </c>
      <c r="R711" s="10">
        <v>5.1256540000000017</v>
      </c>
      <c r="S711" s="9">
        <v>3.07</v>
      </c>
      <c r="T711" s="10">
        <v>0.99</v>
      </c>
      <c r="U711" s="10">
        <v>0.59731884307408611</v>
      </c>
      <c r="V711" s="22">
        <v>164.54777143750002</v>
      </c>
      <c r="W711" s="188">
        <f t="shared" si="41"/>
        <v>1.1881562633435254</v>
      </c>
      <c r="X711" s="192">
        <f t="shared" si="42"/>
        <v>9.5150000000000006</v>
      </c>
      <c r="AA711" s="39" t="str">
        <f t="shared" si="43"/>
        <v>S</v>
      </c>
    </row>
    <row r="712" spans="1:27" x14ac:dyDescent="0.2">
      <c r="A712" s="2" t="s">
        <v>310</v>
      </c>
      <c r="B712" s="2" t="s">
        <v>547</v>
      </c>
      <c r="C712" s="2" t="s">
        <v>400</v>
      </c>
      <c r="D712" s="2">
        <v>23.8</v>
      </c>
      <c r="E712" s="10">
        <v>7</v>
      </c>
      <c r="F712" s="10">
        <v>10</v>
      </c>
      <c r="G712" s="12">
        <v>4.72</v>
      </c>
      <c r="H712" s="12">
        <v>0.28100000000000003</v>
      </c>
      <c r="I712" s="12">
        <v>0.46899999999999997</v>
      </c>
      <c r="J712" s="44">
        <f t="shared" si="40"/>
        <v>0.46899999999999997</v>
      </c>
      <c r="K712" s="10">
        <v>5.0319829424307034</v>
      </c>
      <c r="L712" s="9">
        <v>28.08777224199288</v>
      </c>
      <c r="M712" s="9">
        <v>117.7</v>
      </c>
      <c r="N712" s="9">
        <v>26.831493952999978</v>
      </c>
      <c r="O712" s="9">
        <v>23.5</v>
      </c>
      <c r="P712" s="10">
        <v>3.88</v>
      </c>
      <c r="Q712" s="9">
        <v>7.09</v>
      </c>
      <c r="R712" s="10">
        <v>4.8908481994999979</v>
      </c>
      <c r="S712" s="9">
        <v>3</v>
      </c>
      <c r="T712" s="10">
        <v>0.95</v>
      </c>
      <c r="U712" s="10">
        <v>0.51595188779027312</v>
      </c>
      <c r="V712" s="22">
        <v>161.01383087250002</v>
      </c>
      <c r="W712" s="188">
        <f t="shared" si="41"/>
        <v>1.1990669244715668</v>
      </c>
      <c r="X712" s="192">
        <f t="shared" si="42"/>
        <v>9.5310000000000006</v>
      </c>
      <c r="AA712" s="39" t="str">
        <f t="shared" si="43"/>
        <v>S</v>
      </c>
    </row>
    <row r="713" spans="1:27" x14ac:dyDescent="0.2">
      <c r="A713" s="2" t="s">
        <v>310</v>
      </c>
      <c r="B713" s="2" t="s">
        <v>548</v>
      </c>
      <c r="C713" s="2" t="s">
        <v>400</v>
      </c>
      <c r="D713" s="2">
        <v>23.5</v>
      </c>
      <c r="E713" s="10">
        <v>6.91</v>
      </c>
      <c r="F713" s="10">
        <v>10</v>
      </c>
      <c r="G713" s="12">
        <v>4.5</v>
      </c>
      <c r="H713" s="12">
        <v>0.3</v>
      </c>
      <c r="I713" s="12">
        <v>0.44500000000000001</v>
      </c>
      <c r="J713" s="44">
        <f t="shared" si="40"/>
        <v>0.44500000000000001</v>
      </c>
      <c r="K713" s="10">
        <v>5.0561797752808992</v>
      </c>
      <c r="L713" s="9">
        <v>26.13</v>
      </c>
      <c r="M713" s="9">
        <v>112.42</v>
      </c>
      <c r="N713" s="9">
        <v>25.324660000000002</v>
      </c>
      <c r="O713" s="9">
        <v>22.48</v>
      </c>
      <c r="P713" s="10">
        <v>4.03</v>
      </c>
      <c r="Q713" s="9">
        <v>5.76</v>
      </c>
      <c r="R713" s="10">
        <v>4.2549000000000028</v>
      </c>
      <c r="S713" s="9">
        <v>2.56</v>
      </c>
      <c r="T713" s="10">
        <v>0.91</v>
      </c>
      <c r="U713" s="10">
        <v>0.48226674430027222</v>
      </c>
      <c r="V713" s="22">
        <v>131.469156</v>
      </c>
      <c r="W713" s="188">
        <f t="shared" si="41"/>
        <v>1.10640323294855</v>
      </c>
      <c r="X713" s="192">
        <f t="shared" si="42"/>
        <v>9.5549999999999997</v>
      </c>
      <c r="AA713" s="39" t="str">
        <f t="shared" si="43"/>
        <v>S</v>
      </c>
    </row>
    <row r="714" spans="1:27" x14ac:dyDescent="0.2">
      <c r="A714" s="2" t="s">
        <v>310</v>
      </c>
      <c r="B714" s="2" t="s">
        <v>549</v>
      </c>
      <c r="C714" s="2" t="s">
        <v>400</v>
      </c>
      <c r="D714" s="9">
        <v>23</v>
      </c>
      <c r="E714" s="10">
        <v>6.77</v>
      </c>
      <c r="F714" s="10">
        <v>9.9</v>
      </c>
      <c r="G714" s="12">
        <v>5.79</v>
      </c>
      <c r="H714" s="12">
        <v>0.28999999999999998</v>
      </c>
      <c r="I714" s="12">
        <v>0.34950000000000003</v>
      </c>
      <c r="J714" s="44">
        <f t="shared" si="40"/>
        <v>0.34950000000000003</v>
      </c>
      <c r="K714" s="10">
        <v>8.2832618025751064</v>
      </c>
      <c r="L714" s="9">
        <v>28.777241379310347</v>
      </c>
      <c r="M714" s="9">
        <v>112.1</v>
      </c>
      <c r="N714" s="9">
        <v>25.440138166666678</v>
      </c>
      <c r="O714" s="9">
        <v>22.6</v>
      </c>
      <c r="P714" s="10">
        <v>4.09</v>
      </c>
      <c r="Q714" s="9">
        <v>9.57</v>
      </c>
      <c r="R714" s="10">
        <v>5.4745166666666707</v>
      </c>
      <c r="S714" s="9">
        <v>3.3</v>
      </c>
      <c r="T714" s="10">
        <v>1.19</v>
      </c>
      <c r="U714" s="10">
        <v>0.30166063179284247</v>
      </c>
      <c r="V714" s="22">
        <v>218.224830223125</v>
      </c>
      <c r="W714" s="188">
        <f t="shared" si="41"/>
        <v>1.4220006861205916</v>
      </c>
      <c r="X714" s="192">
        <f t="shared" si="42"/>
        <v>9.5504999999999995</v>
      </c>
      <c r="AA714" s="39" t="str">
        <f t="shared" si="43"/>
        <v>S</v>
      </c>
    </row>
    <row r="715" spans="1:27" x14ac:dyDescent="0.2">
      <c r="A715" s="2" t="s">
        <v>310</v>
      </c>
      <c r="B715" s="2" t="s">
        <v>550</v>
      </c>
      <c r="C715" s="2" t="s">
        <v>400</v>
      </c>
      <c r="D715" s="9">
        <v>22</v>
      </c>
      <c r="E715" s="10">
        <v>6.52</v>
      </c>
      <c r="F715" s="10">
        <v>10</v>
      </c>
      <c r="G715" s="12">
        <v>4.67</v>
      </c>
      <c r="H715" s="12">
        <v>0.23200000000000001</v>
      </c>
      <c r="I715" s="12">
        <v>0.46200000000000002</v>
      </c>
      <c r="J715" s="44">
        <f t="shared" si="40"/>
        <v>0.46200000000000002</v>
      </c>
      <c r="K715" s="10">
        <v>5.054112554112554</v>
      </c>
      <c r="L715" s="9">
        <v>34.320517241379306</v>
      </c>
      <c r="M715" s="9">
        <v>113.9</v>
      </c>
      <c r="N715" s="9">
        <v>25.305665344666686</v>
      </c>
      <c r="O715" s="9">
        <v>22.8</v>
      </c>
      <c r="P715" s="10">
        <v>4.18</v>
      </c>
      <c r="Q715" s="9">
        <v>6.4</v>
      </c>
      <c r="R715" s="10">
        <v>4.5526940326666621</v>
      </c>
      <c r="S715" s="9">
        <v>2.7</v>
      </c>
      <c r="T715" s="10">
        <v>0.99</v>
      </c>
      <c r="U715" s="10">
        <v>0.45026726301663833</v>
      </c>
      <c r="V715" s="22">
        <v>145.55751040000001</v>
      </c>
      <c r="W715" s="188">
        <f t="shared" si="41"/>
        <v>1.1570076346622207</v>
      </c>
      <c r="X715" s="192">
        <f t="shared" si="42"/>
        <v>9.5380000000000003</v>
      </c>
      <c r="AA715" s="39" t="str">
        <f t="shared" si="43"/>
        <v>S</v>
      </c>
    </row>
    <row r="716" spans="1:27" x14ac:dyDescent="0.2">
      <c r="A716" s="2" t="s">
        <v>310</v>
      </c>
      <c r="B716" s="2" t="s">
        <v>551</v>
      </c>
      <c r="C716" s="2" t="s">
        <v>400</v>
      </c>
      <c r="D716" s="9">
        <v>21</v>
      </c>
      <c r="E716" s="10">
        <v>6.18</v>
      </c>
      <c r="F716" s="10">
        <v>9.9</v>
      </c>
      <c r="G716" s="12">
        <v>5.74</v>
      </c>
      <c r="H716" s="12">
        <v>0.24</v>
      </c>
      <c r="I716" s="12">
        <v>0.34950000000000003</v>
      </c>
      <c r="J716" s="44">
        <f t="shared" si="40"/>
        <v>0.34950000000000003</v>
      </c>
      <c r="K716" s="10">
        <v>8.2117310443490688</v>
      </c>
      <c r="L716" s="9">
        <v>34.772500000000001</v>
      </c>
      <c r="M716" s="9">
        <v>107.5</v>
      </c>
      <c r="N716" s="9">
        <v>24.215013166666687</v>
      </c>
      <c r="O716" s="9">
        <v>21.7</v>
      </c>
      <c r="P716" s="10">
        <v>4.17</v>
      </c>
      <c r="Q716" s="9">
        <v>9.3000000000000007</v>
      </c>
      <c r="R716" s="10">
        <v>5.3128166666666718</v>
      </c>
      <c r="S716" s="9">
        <v>3.24</v>
      </c>
      <c r="T716" s="10">
        <v>1.22</v>
      </c>
      <c r="U716" s="10">
        <v>0.2597770005536979</v>
      </c>
      <c r="V716" s="22">
        <v>212.06801683124999</v>
      </c>
      <c r="W716" s="188">
        <f t="shared" si="41"/>
        <v>1.4305718137464174</v>
      </c>
      <c r="X716" s="192">
        <f t="shared" si="42"/>
        <v>9.5504999999999995</v>
      </c>
      <c r="AA716" s="39" t="str">
        <f t="shared" si="43"/>
        <v>S</v>
      </c>
    </row>
    <row r="717" spans="1:27" x14ac:dyDescent="0.2">
      <c r="A717" s="2" t="s">
        <v>310</v>
      </c>
      <c r="B717" s="2" t="s">
        <v>552</v>
      </c>
      <c r="C717" s="2" t="s">
        <v>400</v>
      </c>
      <c r="D717" s="9">
        <v>35</v>
      </c>
      <c r="E717" s="10">
        <v>10.36</v>
      </c>
      <c r="F717" s="10">
        <v>9</v>
      </c>
      <c r="G717" s="12">
        <v>5.0140000000000002</v>
      </c>
      <c r="H717" s="12">
        <v>0.57400000000000007</v>
      </c>
      <c r="I717" s="12">
        <v>0.58499999999999996</v>
      </c>
      <c r="J717" s="44">
        <f t="shared" si="40"/>
        <v>0.58499999999999996</v>
      </c>
      <c r="K717" s="10">
        <v>4.2854700854700862</v>
      </c>
      <c r="L717" s="9">
        <v>11.654146341463413</v>
      </c>
      <c r="M717" s="9">
        <v>126.6</v>
      </c>
      <c r="N717" s="9">
        <v>33.440328000000008</v>
      </c>
      <c r="O717" s="9">
        <v>28.1</v>
      </c>
      <c r="P717" s="10">
        <v>3.5</v>
      </c>
      <c r="Q717" s="9">
        <v>10.91</v>
      </c>
      <c r="R717" s="10">
        <v>7.4563326000000014</v>
      </c>
      <c r="S717" s="9">
        <v>4.3499999999999996</v>
      </c>
      <c r="T717" s="10">
        <v>1.03</v>
      </c>
      <c r="U717" s="10">
        <v>1.4736215981435707</v>
      </c>
      <c r="V717" s="22">
        <v>193.14034368749995</v>
      </c>
      <c r="W717" s="188">
        <f t="shared" si="41"/>
        <v>1.278118960931186</v>
      </c>
      <c r="X717" s="192">
        <f t="shared" si="42"/>
        <v>8.4149999999999991</v>
      </c>
      <c r="AA717" s="39" t="str">
        <f t="shared" si="43"/>
        <v>S</v>
      </c>
    </row>
    <row r="718" spans="1:27" x14ac:dyDescent="0.2">
      <c r="A718" s="2" t="s">
        <v>310</v>
      </c>
      <c r="B718" s="2" t="s">
        <v>553</v>
      </c>
      <c r="C718" s="2" t="s">
        <v>400</v>
      </c>
      <c r="D718" s="9">
        <v>33</v>
      </c>
      <c r="E718" s="10">
        <v>9.6999999999999993</v>
      </c>
      <c r="F718" s="10">
        <v>9</v>
      </c>
      <c r="G718" s="12">
        <v>4.95</v>
      </c>
      <c r="H718" s="12">
        <v>0.51</v>
      </c>
      <c r="I718" s="12">
        <v>0.58499999999999996</v>
      </c>
      <c r="J718" s="44">
        <f t="shared" si="40"/>
        <v>0.58499999999999996</v>
      </c>
      <c r="K718" s="10">
        <v>4.2307692307692308</v>
      </c>
      <c r="L718" s="9">
        <v>13.116627450980392</v>
      </c>
      <c r="M718" s="9">
        <v>122.6</v>
      </c>
      <c r="N718" s="9">
        <v>32.144328000000002</v>
      </c>
      <c r="O718" s="9">
        <v>27.2</v>
      </c>
      <c r="P718" s="10">
        <v>3.55</v>
      </c>
      <c r="Q718" s="9">
        <v>10.43</v>
      </c>
      <c r="R718" s="10">
        <v>7.1340030000000034</v>
      </c>
      <c r="S718" s="9">
        <v>4.21</v>
      </c>
      <c r="T718" s="10">
        <v>1.04</v>
      </c>
      <c r="U718" s="10">
        <v>1.2780720248842437</v>
      </c>
      <c r="V718" s="22">
        <v>184.64287668749995</v>
      </c>
      <c r="W718" s="188">
        <f t="shared" si="41"/>
        <v>1.2701931447618506</v>
      </c>
      <c r="X718" s="192">
        <f t="shared" si="42"/>
        <v>8.4149999999999991</v>
      </c>
      <c r="AA718" s="39" t="str">
        <f t="shared" si="43"/>
        <v>S</v>
      </c>
    </row>
    <row r="719" spans="1:27" x14ac:dyDescent="0.2">
      <c r="A719" s="2" t="s">
        <v>310</v>
      </c>
      <c r="B719" s="2" t="s">
        <v>554</v>
      </c>
      <c r="C719" s="2" t="s">
        <v>400</v>
      </c>
      <c r="D719" s="9">
        <v>30</v>
      </c>
      <c r="E719" s="10">
        <v>8.9600000000000009</v>
      </c>
      <c r="F719" s="10">
        <v>9</v>
      </c>
      <c r="G719" s="12">
        <v>4.6239999999999997</v>
      </c>
      <c r="H719" s="12">
        <v>0.58399999999999996</v>
      </c>
      <c r="I719" s="12">
        <v>0.45850000000000002</v>
      </c>
      <c r="J719" s="44">
        <f t="shared" si="40"/>
        <v>0.45850000000000002</v>
      </c>
      <c r="K719" s="10">
        <v>5.0425299890948736</v>
      </c>
      <c r="L719" s="9">
        <v>11.933082191780823</v>
      </c>
      <c r="M719" s="9">
        <v>102.66</v>
      </c>
      <c r="N719" s="9">
        <v>27.609527213333337</v>
      </c>
      <c r="O719" s="9">
        <v>22.8</v>
      </c>
      <c r="P719" s="10">
        <v>3.38</v>
      </c>
      <c r="Q719" s="9">
        <v>6.49</v>
      </c>
      <c r="R719" s="10">
        <v>5.1325044266666628</v>
      </c>
      <c r="S719" s="9">
        <v>2.81</v>
      </c>
      <c r="T719" s="10">
        <v>0.85</v>
      </c>
      <c r="U719" s="10">
        <v>1.0549794279930211</v>
      </c>
      <c r="V719" s="22">
        <v>118.37309310062498</v>
      </c>
      <c r="W719" s="188">
        <f t="shared" si="41"/>
        <v>1.1025721025076185</v>
      </c>
      <c r="X719" s="192">
        <f t="shared" si="42"/>
        <v>8.5414999999999992</v>
      </c>
      <c r="AA719" s="39" t="str">
        <f t="shared" si="43"/>
        <v>S</v>
      </c>
    </row>
    <row r="720" spans="1:27" x14ac:dyDescent="0.2">
      <c r="A720" s="2" t="s">
        <v>310</v>
      </c>
      <c r="B720" s="2" t="s">
        <v>555</v>
      </c>
      <c r="C720" s="2" t="s">
        <v>400</v>
      </c>
      <c r="D720" s="2">
        <v>28.6</v>
      </c>
      <c r="E720" s="10">
        <v>8.41</v>
      </c>
      <c r="F720" s="10">
        <v>9</v>
      </c>
      <c r="G720" s="12">
        <v>4.58</v>
      </c>
      <c r="H720" s="12">
        <v>0.56000000000000005</v>
      </c>
      <c r="I720" s="12">
        <v>0.42</v>
      </c>
      <c r="J720" s="44">
        <f t="shared" si="40"/>
        <v>0.42</v>
      </c>
      <c r="K720" s="10">
        <v>5.4523809523809517</v>
      </c>
      <c r="L720" s="9">
        <v>12.594214285714285</v>
      </c>
      <c r="M720" s="9">
        <v>95.98</v>
      </c>
      <c r="N720" s="9">
        <v>25.800208000000012</v>
      </c>
      <c r="O720" s="9">
        <v>21.33</v>
      </c>
      <c r="P720" s="10">
        <v>3.38</v>
      </c>
      <c r="Q720" s="9">
        <v>5.1100000000000003</v>
      </c>
      <c r="R720" s="10">
        <v>4.6677120000000034</v>
      </c>
      <c r="S720" s="9">
        <v>2.23</v>
      </c>
      <c r="T720" s="10">
        <v>0.78</v>
      </c>
      <c r="U720" s="10">
        <v>0.8853917570819746</v>
      </c>
      <c r="V720" s="22">
        <v>94.044950999999998</v>
      </c>
      <c r="W720" s="188">
        <f t="shared" si="41"/>
        <v>1.0137798816225148</v>
      </c>
      <c r="X720" s="192">
        <f t="shared" si="42"/>
        <v>8.58</v>
      </c>
      <c r="AA720" s="39" t="str">
        <f t="shared" si="43"/>
        <v>S</v>
      </c>
    </row>
    <row r="721" spans="1:27" x14ac:dyDescent="0.2">
      <c r="A721" s="2" t="s">
        <v>310</v>
      </c>
      <c r="B721" s="2" t="s">
        <v>556</v>
      </c>
      <c r="C721" s="2" t="s">
        <v>400</v>
      </c>
      <c r="D721" s="9">
        <v>27</v>
      </c>
      <c r="E721" s="10">
        <v>7.9</v>
      </c>
      <c r="F721" s="10">
        <v>9</v>
      </c>
      <c r="G721" s="12">
        <v>4.75</v>
      </c>
      <c r="H721" s="12">
        <v>0.31</v>
      </c>
      <c r="I721" s="12">
        <v>0.58499999999999996</v>
      </c>
      <c r="J721" s="44">
        <f t="shared" si="40"/>
        <v>0.58499999999999996</v>
      </c>
      <c r="K721" s="10">
        <v>4.0598290598290605</v>
      </c>
      <c r="L721" s="9">
        <v>21.578967741935482</v>
      </c>
      <c r="M721" s="9">
        <v>110.6</v>
      </c>
      <c r="N721" s="9">
        <v>28.094328000000004</v>
      </c>
      <c r="O721" s="9">
        <v>24.6</v>
      </c>
      <c r="P721" s="10">
        <v>3.72</v>
      </c>
      <c r="Q721" s="9">
        <v>9.1</v>
      </c>
      <c r="R721" s="10">
        <v>6.2455229999999977</v>
      </c>
      <c r="S721" s="9">
        <v>3.83</v>
      </c>
      <c r="T721" s="10">
        <v>1.07</v>
      </c>
      <c r="U721" s="10">
        <v>0.87254082943148759</v>
      </c>
      <c r="V721" s="22">
        <v>161.09781187499996</v>
      </c>
      <c r="W721" s="188">
        <f t="shared" si="41"/>
        <v>1.2475708103467587</v>
      </c>
      <c r="X721" s="192">
        <f t="shared" si="42"/>
        <v>8.4149999999999991</v>
      </c>
      <c r="AA721" s="39" t="str">
        <f t="shared" si="43"/>
        <v>S</v>
      </c>
    </row>
    <row r="722" spans="1:27" x14ac:dyDescent="0.2">
      <c r="A722" s="2" t="s">
        <v>310</v>
      </c>
      <c r="B722" s="2" t="s">
        <v>557</v>
      </c>
      <c r="C722" s="2" t="s">
        <v>400</v>
      </c>
      <c r="D722" s="9">
        <v>26</v>
      </c>
      <c r="E722" s="10">
        <v>7.69</v>
      </c>
      <c r="F722" s="10">
        <v>9</v>
      </c>
      <c r="G722" s="12">
        <v>4.67</v>
      </c>
      <c r="H722" s="12">
        <v>0.44</v>
      </c>
      <c r="I722" s="12">
        <v>0.44</v>
      </c>
      <c r="J722" s="44">
        <f t="shared" ref="J722:J782" si="44">I722</f>
        <v>0.44</v>
      </c>
      <c r="K722" s="10">
        <v>5.3068181818181817</v>
      </c>
      <c r="L722" s="9">
        <v>15.885181818181819</v>
      </c>
      <c r="M722" s="9">
        <v>94.32</v>
      </c>
      <c r="N722" s="9">
        <v>24.805776000000009</v>
      </c>
      <c r="O722" s="9">
        <v>21</v>
      </c>
      <c r="P722" s="10">
        <v>3.5</v>
      </c>
      <c r="Q722" s="9">
        <v>6.29</v>
      </c>
      <c r="R722" s="10">
        <v>4.7138220000000004</v>
      </c>
      <c r="S722" s="9">
        <v>2.69</v>
      </c>
      <c r="T722" s="10">
        <v>0.9</v>
      </c>
      <c r="U722" s="10">
        <v>0.65757612514306396</v>
      </c>
      <c r="V722" s="22">
        <v>115.222736</v>
      </c>
      <c r="W722" s="188">
        <f t="shared" si="41"/>
        <v>1.1322375655143688</v>
      </c>
      <c r="X722" s="192">
        <f t="shared" si="42"/>
        <v>8.56</v>
      </c>
      <c r="AA722" s="39" t="str">
        <f t="shared" si="43"/>
        <v>S</v>
      </c>
    </row>
    <row r="723" spans="1:27" x14ac:dyDescent="0.2">
      <c r="A723" s="2" t="s">
        <v>310</v>
      </c>
      <c r="B723" s="2" t="s">
        <v>558</v>
      </c>
      <c r="C723" s="2" t="s">
        <v>400</v>
      </c>
      <c r="D723" s="9">
        <v>25</v>
      </c>
      <c r="E723" s="10">
        <v>7.49</v>
      </c>
      <c r="F723" s="10">
        <v>9</v>
      </c>
      <c r="G723" s="12">
        <v>4.4610000000000003</v>
      </c>
      <c r="H723" s="12">
        <v>0.42099999999999999</v>
      </c>
      <c r="I723" s="12">
        <v>0.45850000000000002</v>
      </c>
      <c r="J723" s="44">
        <f t="shared" si="44"/>
        <v>0.45850000000000002</v>
      </c>
      <c r="K723" s="10">
        <v>4.8647764449291166</v>
      </c>
      <c r="L723" s="9">
        <v>16.553254156769597</v>
      </c>
      <c r="M723" s="9">
        <v>92.76</v>
      </c>
      <c r="N723" s="9">
        <v>24.308777213333343</v>
      </c>
      <c r="O723" s="9">
        <v>20.6</v>
      </c>
      <c r="P723" s="10">
        <v>3.52</v>
      </c>
      <c r="Q723" s="9">
        <v>5.71</v>
      </c>
      <c r="R723" s="10">
        <v>4.4619892566666612</v>
      </c>
      <c r="S723" s="9">
        <v>2.56</v>
      </c>
      <c r="T723" s="10">
        <v>0.87</v>
      </c>
      <c r="U723" s="10">
        <v>0.64388170596241345</v>
      </c>
      <c r="V723" s="22">
        <v>104.14643476187499</v>
      </c>
      <c r="W723" s="188">
        <f t="shared" si="41"/>
        <v>1.0880190982939717</v>
      </c>
      <c r="X723" s="192">
        <f t="shared" si="42"/>
        <v>8.5414999999999992</v>
      </c>
      <c r="AA723" s="39" t="str">
        <f t="shared" si="43"/>
        <v>S</v>
      </c>
    </row>
    <row r="724" spans="1:27" x14ac:dyDescent="0.2">
      <c r="A724" s="2" t="s">
        <v>310</v>
      </c>
      <c r="B724" s="2" t="s">
        <v>559</v>
      </c>
      <c r="C724" s="2" t="s">
        <v>400</v>
      </c>
      <c r="D724" s="2">
        <v>24.5</v>
      </c>
      <c r="E724" s="10">
        <v>7.2</v>
      </c>
      <c r="F724" s="10">
        <v>9</v>
      </c>
      <c r="G724" s="12">
        <v>4.6710000000000003</v>
      </c>
      <c r="H724" s="12">
        <v>0.29599999999999999</v>
      </c>
      <c r="I724" s="12">
        <v>0.53150000000000008</v>
      </c>
      <c r="J724" s="44">
        <f t="shared" si="44"/>
        <v>0.53150000000000008</v>
      </c>
      <c r="K724" s="10">
        <v>4.3941674506114765</v>
      </c>
      <c r="L724" s="9">
        <v>23.041108108108109</v>
      </c>
      <c r="M724" s="9">
        <v>101.1</v>
      </c>
      <c r="N724" s="9">
        <v>25.650191041666666</v>
      </c>
      <c r="O724" s="9">
        <v>22.5</v>
      </c>
      <c r="P724" s="10">
        <v>3.74</v>
      </c>
      <c r="Q724" s="9">
        <v>7.8</v>
      </c>
      <c r="R724" s="10">
        <v>5.472798291666666</v>
      </c>
      <c r="S724" s="9">
        <v>3.3</v>
      </c>
      <c r="T724" s="10">
        <v>1.04</v>
      </c>
      <c r="U724" s="10">
        <v>0.67123070881883351</v>
      </c>
      <c r="V724" s="22">
        <v>139.8452098875</v>
      </c>
      <c r="W724" s="188">
        <f t="shared" si="41"/>
        <v>1.2115582253170227</v>
      </c>
      <c r="X724" s="192">
        <f t="shared" si="42"/>
        <v>8.4685000000000006</v>
      </c>
      <c r="AA724" s="39" t="str">
        <f t="shared" si="43"/>
        <v>S</v>
      </c>
    </row>
    <row r="725" spans="1:27" x14ac:dyDescent="0.2">
      <c r="A725" s="2" t="s">
        <v>310</v>
      </c>
      <c r="B725" s="2" t="s">
        <v>560</v>
      </c>
      <c r="C725" s="2" t="s">
        <v>400</v>
      </c>
      <c r="D725" s="2">
        <v>21.8</v>
      </c>
      <c r="E725" s="10">
        <v>6.41</v>
      </c>
      <c r="F725" s="10">
        <v>9</v>
      </c>
      <c r="G725" s="12">
        <v>4.33</v>
      </c>
      <c r="H725" s="12">
        <v>0.28999999999999998</v>
      </c>
      <c r="I725" s="12">
        <v>0.45850000000000002</v>
      </c>
      <c r="J725" s="44">
        <f t="shared" si="44"/>
        <v>0.45850000000000002</v>
      </c>
      <c r="K725" s="10">
        <v>4.7219193020719734</v>
      </c>
      <c r="L725" s="9">
        <v>24.03075862068966</v>
      </c>
      <c r="M725" s="9">
        <v>85.6</v>
      </c>
      <c r="N725" s="9">
        <v>21.656027213333346</v>
      </c>
      <c r="O725" s="9">
        <v>19</v>
      </c>
      <c r="P725" s="10">
        <v>3.65</v>
      </c>
      <c r="Q725" s="9">
        <v>5.16</v>
      </c>
      <c r="R725" s="10">
        <v>4.0097654666666651</v>
      </c>
      <c r="S725" s="9">
        <v>2.38</v>
      </c>
      <c r="T725" s="10">
        <v>0.9</v>
      </c>
      <c r="U725" s="10">
        <v>0.45445354842632085</v>
      </c>
      <c r="V725" s="9">
        <v>94.114816702499979</v>
      </c>
      <c r="W725" s="188">
        <f t="shared" si="41"/>
        <v>1.0769613686078459</v>
      </c>
      <c r="X725" s="192">
        <f t="shared" si="42"/>
        <v>8.5414999999999992</v>
      </c>
      <c r="AA725" s="39" t="str">
        <f t="shared" si="43"/>
        <v>S</v>
      </c>
    </row>
    <row r="726" spans="1:27" x14ac:dyDescent="0.2">
      <c r="A726" s="2" t="s">
        <v>310</v>
      </c>
      <c r="B726" s="2" t="s">
        <v>561</v>
      </c>
      <c r="C726" s="2" t="s">
        <v>400</v>
      </c>
      <c r="D726" s="9">
        <v>21</v>
      </c>
      <c r="E726" s="10">
        <v>6.31</v>
      </c>
      <c r="F726" s="10">
        <v>9</v>
      </c>
      <c r="G726" s="12">
        <v>4.33</v>
      </c>
      <c r="H726" s="12">
        <v>0.28999999999999998</v>
      </c>
      <c r="I726" s="12">
        <v>0.45850000000000002</v>
      </c>
      <c r="J726" s="44">
        <f t="shared" si="44"/>
        <v>0.45850000000000002</v>
      </c>
      <c r="K726" s="10">
        <v>4.7219193020719734</v>
      </c>
      <c r="L726" s="9">
        <v>24.03075862068966</v>
      </c>
      <c r="M726" s="9">
        <v>84.9</v>
      </c>
      <c r="N726" s="9">
        <v>21.656027213333346</v>
      </c>
      <c r="O726" s="9">
        <v>18.899999999999999</v>
      </c>
      <c r="P726" s="10">
        <v>3.67</v>
      </c>
      <c r="Q726" s="9">
        <v>5.16</v>
      </c>
      <c r="R726" s="10">
        <v>4.0097654666666651</v>
      </c>
      <c r="S726" s="9">
        <v>2.4</v>
      </c>
      <c r="T726" s="10">
        <v>0.9</v>
      </c>
      <c r="U726" s="10">
        <v>0.45445354842632085</v>
      </c>
      <c r="V726" s="9">
        <v>94.114816702499979</v>
      </c>
      <c r="W726" s="188">
        <f t="shared" si="41"/>
        <v>1.0798067140384615</v>
      </c>
      <c r="X726" s="192">
        <f t="shared" si="42"/>
        <v>8.5414999999999992</v>
      </c>
      <c r="AA726" s="39" t="str">
        <f t="shared" si="43"/>
        <v>S</v>
      </c>
    </row>
    <row r="727" spans="1:27" x14ac:dyDescent="0.2">
      <c r="A727" s="2" t="s">
        <v>310</v>
      </c>
      <c r="B727" s="2" t="s">
        <v>562</v>
      </c>
      <c r="C727" s="2" t="s">
        <v>400</v>
      </c>
      <c r="D727" s="2">
        <v>20.5</v>
      </c>
      <c r="E727" s="10">
        <v>6.04</v>
      </c>
      <c r="F727" s="10">
        <v>9</v>
      </c>
      <c r="G727" s="12">
        <v>4.3</v>
      </c>
      <c r="H727" s="12">
        <v>0.28000000000000003</v>
      </c>
      <c r="I727" s="12">
        <v>0.42</v>
      </c>
      <c r="J727" s="44">
        <f t="shared" si="44"/>
        <v>0.42</v>
      </c>
      <c r="K727" s="10">
        <v>5.1190476190476186</v>
      </c>
      <c r="L727" s="9">
        <v>25.236428571428569</v>
      </c>
      <c r="M727" s="9">
        <v>80.78</v>
      </c>
      <c r="N727" s="9">
        <v>20.126321999999988</v>
      </c>
      <c r="O727" s="9">
        <v>17.95</v>
      </c>
      <c r="P727" s="10">
        <v>3.66</v>
      </c>
      <c r="Q727" s="9">
        <v>4.72</v>
      </c>
      <c r="R727" s="10">
        <v>3.6388259999999919</v>
      </c>
      <c r="S727" s="9">
        <v>2.2000000000000002</v>
      </c>
      <c r="T727" s="10">
        <v>0.88</v>
      </c>
      <c r="U727" s="10">
        <v>0.36401141026535233</v>
      </c>
      <c r="V727" s="9">
        <v>86.867351999999997</v>
      </c>
      <c r="W727" s="188">
        <f t="shared" si="41"/>
        <v>1.0621049158947</v>
      </c>
      <c r="X727" s="192">
        <f t="shared" si="42"/>
        <v>8.58</v>
      </c>
      <c r="AA727" s="39" t="str">
        <f t="shared" si="43"/>
        <v>S</v>
      </c>
    </row>
    <row r="728" spans="1:27" x14ac:dyDescent="0.2">
      <c r="A728" s="2" t="s">
        <v>310</v>
      </c>
      <c r="B728" s="2" t="s">
        <v>563</v>
      </c>
      <c r="C728" s="2" t="s">
        <v>400</v>
      </c>
      <c r="D728" s="2">
        <v>19.75</v>
      </c>
      <c r="E728" s="10">
        <v>5.8</v>
      </c>
      <c r="F728" s="10">
        <v>9</v>
      </c>
      <c r="G728" s="12">
        <v>4.3899999999999997</v>
      </c>
      <c r="H728" s="12">
        <v>0.26600000000000001</v>
      </c>
      <c r="I728" s="12">
        <v>0.42200000000000004</v>
      </c>
      <c r="J728" s="44">
        <f t="shared" si="44"/>
        <v>0.42200000000000004</v>
      </c>
      <c r="K728" s="10">
        <v>5.2014218009478661</v>
      </c>
      <c r="L728" s="9">
        <v>26.579578947368418</v>
      </c>
      <c r="M728" s="9">
        <v>79.8</v>
      </c>
      <c r="N728" s="9">
        <v>20.287703835999984</v>
      </c>
      <c r="O728" s="9">
        <v>17.8</v>
      </c>
      <c r="P728" s="10">
        <v>3.71</v>
      </c>
      <c r="Q728" s="9">
        <v>5.03</v>
      </c>
      <c r="R728" s="10">
        <v>3.8110112479999962</v>
      </c>
      <c r="S728" s="9">
        <v>2.2999999999999998</v>
      </c>
      <c r="T728" s="10">
        <v>0.92</v>
      </c>
      <c r="U728" s="10">
        <v>0.36083405991622902</v>
      </c>
      <c r="V728" s="9">
        <v>92.529470629999992</v>
      </c>
      <c r="W728" s="188">
        <f t="shared" si="41"/>
        <v>1.1009105016232108</v>
      </c>
      <c r="X728" s="192">
        <f t="shared" si="42"/>
        <v>8.5779999999999994</v>
      </c>
      <c r="AA728" s="39" t="str">
        <f t="shared" si="43"/>
        <v>S</v>
      </c>
    </row>
    <row r="729" spans="1:27" x14ac:dyDescent="0.2">
      <c r="A729" s="2" t="s">
        <v>310</v>
      </c>
      <c r="B729" s="2" t="s">
        <v>564</v>
      </c>
      <c r="C729" s="2" t="s">
        <v>400</v>
      </c>
      <c r="D729" s="9">
        <v>32</v>
      </c>
      <c r="E729" s="10">
        <v>8.56</v>
      </c>
      <c r="F729" s="10">
        <v>8</v>
      </c>
      <c r="G729" s="12">
        <v>4.7889999999999997</v>
      </c>
      <c r="H729" s="12">
        <v>0.53900000000000003</v>
      </c>
      <c r="I729" s="12">
        <v>0.5</v>
      </c>
      <c r="J729" s="44">
        <f t="shared" si="44"/>
        <v>0.5</v>
      </c>
      <c r="K729" s="10">
        <v>4.7889999999999997</v>
      </c>
      <c r="L729" s="9">
        <v>11.012987012987011</v>
      </c>
      <c r="M729" s="9">
        <v>82.85</v>
      </c>
      <c r="N729" s="9">
        <v>24.527023999999997</v>
      </c>
      <c r="O729" s="9">
        <v>20.7</v>
      </c>
      <c r="P729" s="10">
        <v>3.11</v>
      </c>
      <c r="Q729" s="9">
        <v>7.75</v>
      </c>
      <c r="R729" s="10">
        <v>5.7724169999999955</v>
      </c>
      <c r="S729" s="9">
        <v>3.24</v>
      </c>
      <c r="T729" s="10">
        <v>0.95</v>
      </c>
      <c r="U729" s="10">
        <v>0.97992146397407121</v>
      </c>
      <c r="V729" s="22">
        <v>108.984375</v>
      </c>
      <c r="W729" s="188">
        <f t="shared" si="41"/>
        <v>1.1848989438962199</v>
      </c>
      <c r="X729" s="192">
        <f t="shared" si="42"/>
        <v>7.5</v>
      </c>
      <c r="AA729" s="39" t="str">
        <f t="shared" si="43"/>
        <v>S</v>
      </c>
    </row>
    <row r="730" spans="1:27" x14ac:dyDescent="0.2">
      <c r="A730" s="2" t="s">
        <v>310</v>
      </c>
      <c r="B730" s="2" t="s">
        <v>565</v>
      </c>
      <c r="C730" s="2" t="s">
        <v>400</v>
      </c>
      <c r="D730" s="9">
        <v>27</v>
      </c>
      <c r="E730" s="10">
        <v>7.98</v>
      </c>
      <c r="F730" s="10">
        <v>8</v>
      </c>
      <c r="G730" s="12">
        <v>4.6849999999999996</v>
      </c>
      <c r="H730" s="12">
        <v>0.45500000000000002</v>
      </c>
      <c r="I730" s="12">
        <v>0.51</v>
      </c>
      <c r="J730" s="44">
        <f t="shared" si="44"/>
        <v>0.51</v>
      </c>
      <c r="K730" s="10">
        <v>4.5931372549019605</v>
      </c>
      <c r="L730" s="9">
        <v>13.00298901098901</v>
      </c>
      <c r="M730" s="9">
        <v>79.8</v>
      </c>
      <c r="N730" s="9">
        <v>23.402081000000003</v>
      </c>
      <c r="O730" s="9">
        <v>20</v>
      </c>
      <c r="P730" s="10">
        <v>3.16</v>
      </c>
      <c r="Q730" s="9">
        <v>7.57</v>
      </c>
      <c r="R730" s="10">
        <v>5.4811670000000019</v>
      </c>
      <c r="S730" s="9">
        <v>3.23</v>
      </c>
      <c r="T730" s="10">
        <v>0.97</v>
      </c>
      <c r="U730" s="10">
        <v>0.81689103415879272</v>
      </c>
      <c r="V730" s="22">
        <v>106.16943925000001</v>
      </c>
      <c r="W730" s="188">
        <f t="shared" si="41"/>
        <v>1.1905807406471851</v>
      </c>
      <c r="X730" s="192">
        <f t="shared" si="42"/>
        <v>7.49</v>
      </c>
      <c r="AA730" s="39" t="str">
        <f t="shared" si="43"/>
        <v>S</v>
      </c>
    </row>
    <row r="731" spans="1:27" x14ac:dyDescent="0.2">
      <c r="A731" s="2" t="s">
        <v>310</v>
      </c>
      <c r="B731" s="2" t="s">
        <v>566</v>
      </c>
      <c r="C731" s="2" t="s">
        <v>400</v>
      </c>
      <c r="D731" s="2">
        <v>25.5</v>
      </c>
      <c r="E731" s="10">
        <v>7.54</v>
      </c>
      <c r="F731" s="10">
        <v>8</v>
      </c>
      <c r="G731" s="12">
        <v>4.2759999999999998</v>
      </c>
      <c r="H731" s="12">
        <v>0.54600000000000004</v>
      </c>
      <c r="I731" s="12">
        <v>0.42549999999999999</v>
      </c>
      <c r="J731" s="44">
        <f t="shared" si="44"/>
        <v>0.42549999999999999</v>
      </c>
      <c r="K731" s="10">
        <v>5.0246768507638073</v>
      </c>
      <c r="L731" s="9">
        <v>11.1618315018315</v>
      </c>
      <c r="M731" s="9">
        <v>68.680000000000007</v>
      </c>
      <c r="N731" s="9">
        <v>20.727538456666672</v>
      </c>
      <c r="O731" s="9">
        <v>17.170000000000002</v>
      </c>
      <c r="P731" s="10">
        <v>3.02</v>
      </c>
      <c r="Q731" s="9">
        <v>4.78</v>
      </c>
      <c r="R731" s="10">
        <v>4.0621902733333322</v>
      </c>
      <c r="S731" s="9">
        <v>2.2400000000000002</v>
      </c>
      <c r="T731" s="10">
        <v>0.8</v>
      </c>
      <c r="U731" s="10">
        <v>0.7745136708545548</v>
      </c>
      <c r="V731" s="9">
        <v>68.560795048750009</v>
      </c>
      <c r="W731" s="188">
        <f t="shared" si="41"/>
        <v>1.0268116509709062</v>
      </c>
      <c r="X731" s="192">
        <f t="shared" si="42"/>
        <v>7.5745000000000005</v>
      </c>
      <c r="AA731" s="39" t="str">
        <f t="shared" si="43"/>
        <v>S</v>
      </c>
    </row>
    <row r="732" spans="1:27" x14ac:dyDescent="0.2">
      <c r="A732" s="2" t="s">
        <v>310</v>
      </c>
      <c r="B732" s="2" t="s">
        <v>567</v>
      </c>
      <c r="C732" s="2" t="s">
        <v>400</v>
      </c>
      <c r="D732" s="2">
        <v>24.3</v>
      </c>
      <c r="E732" s="10">
        <v>7.15</v>
      </c>
      <c r="F732" s="10">
        <v>8</v>
      </c>
      <c r="G732" s="12">
        <v>4.26</v>
      </c>
      <c r="H732" s="12">
        <v>0.52</v>
      </c>
      <c r="I732" s="12">
        <v>0.39</v>
      </c>
      <c r="J732" s="44">
        <f t="shared" si="44"/>
        <v>0.39</v>
      </c>
      <c r="K732" s="10">
        <v>5.4615384615384608</v>
      </c>
      <c r="L732" s="9">
        <v>11.858076923076922</v>
      </c>
      <c r="M732" s="9">
        <v>64.31</v>
      </c>
      <c r="N732" s="9">
        <v>19.398877333333324</v>
      </c>
      <c r="O732" s="9">
        <v>16.079999999999998</v>
      </c>
      <c r="P732" s="10">
        <v>3</v>
      </c>
      <c r="Q732" s="9">
        <v>3.8</v>
      </c>
      <c r="R732" s="10">
        <v>3.7237893333333298</v>
      </c>
      <c r="S732" s="9">
        <v>1.78</v>
      </c>
      <c r="T732" s="10">
        <v>0.73</v>
      </c>
      <c r="U732" s="10">
        <v>0.64486396241157495</v>
      </c>
      <c r="V732" s="9">
        <v>55.016494999999999</v>
      </c>
      <c r="W732" s="188">
        <f t="shared" si="41"/>
        <v>0.94825710769208438</v>
      </c>
      <c r="X732" s="192">
        <f t="shared" si="42"/>
        <v>7.61</v>
      </c>
      <c r="AA732" s="39" t="str">
        <f t="shared" si="43"/>
        <v>S</v>
      </c>
    </row>
    <row r="733" spans="1:27" x14ac:dyDescent="0.2">
      <c r="A733" s="2" t="s">
        <v>310</v>
      </c>
      <c r="B733" s="2" t="s">
        <v>568</v>
      </c>
      <c r="C733" s="2" t="s">
        <v>400</v>
      </c>
      <c r="D733" s="9">
        <v>22</v>
      </c>
      <c r="E733" s="10">
        <v>6.5</v>
      </c>
      <c r="F733" s="10">
        <v>8</v>
      </c>
      <c r="G733" s="12">
        <v>4.5</v>
      </c>
      <c r="H733" s="12">
        <v>0.27</v>
      </c>
      <c r="I733" s="12">
        <v>0.51</v>
      </c>
      <c r="J733" s="44">
        <f t="shared" si="44"/>
        <v>0.51</v>
      </c>
      <c r="K733" s="10">
        <v>4.4117647058823533</v>
      </c>
      <c r="L733" s="9">
        <v>21.912444444444443</v>
      </c>
      <c r="M733" s="9">
        <v>71.900000000000006</v>
      </c>
      <c r="N733" s="9">
        <v>20.442080999999995</v>
      </c>
      <c r="O733" s="9">
        <v>18</v>
      </c>
      <c r="P733" s="10">
        <v>3.33</v>
      </c>
      <c r="Q733" s="9">
        <v>6.62</v>
      </c>
      <c r="R733" s="10">
        <v>4.813816500000005</v>
      </c>
      <c r="S733" s="9">
        <v>2.94</v>
      </c>
      <c r="T733" s="10">
        <v>1.01</v>
      </c>
      <c r="U733" s="10">
        <v>0.55435717154422504</v>
      </c>
      <c r="V733" s="9">
        <v>92.84566550000001</v>
      </c>
      <c r="W733" s="188">
        <f t="shared" si="41"/>
        <v>1.1735960880037808</v>
      </c>
      <c r="X733" s="192">
        <f t="shared" si="42"/>
        <v>7.49</v>
      </c>
      <c r="AA733" s="39" t="str">
        <f t="shared" si="43"/>
        <v>S</v>
      </c>
    </row>
    <row r="734" spans="1:27" x14ac:dyDescent="0.2">
      <c r="A734" s="2" t="s">
        <v>310</v>
      </c>
      <c r="B734" s="2" t="s">
        <v>569</v>
      </c>
      <c r="C734" s="2" t="s">
        <v>400</v>
      </c>
      <c r="D734" s="9">
        <v>21</v>
      </c>
      <c r="E734" s="10">
        <v>6.18</v>
      </c>
      <c r="F734" s="10">
        <v>8</v>
      </c>
      <c r="G734" s="12">
        <v>5.4</v>
      </c>
      <c r="H734" s="12">
        <v>0.38</v>
      </c>
      <c r="I734" s="12">
        <v>0.30449999999999999</v>
      </c>
      <c r="J734" s="44">
        <f t="shared" si="44"/>
        <v>0.30449999999999999</v>
      </c>
      <c r="K734" s="10">
        <v>8.8669950738916263</v>
      </c>
      <c r="L734" s="9">
        <v>17.251052631578947</v>
      </c>
      <c r="M734" s="9">
        <v>62.3</v>
      </c>
      <c r="N734" s="9">
        <v>17.824991126666674</v>
      </c>
      <c r="O734" s="9">
        <v>15.6</v>
      </c>
      <c r="P734" s="10">
        <v>3.18</v>
      </c>
      <c r="Q734" s="9">
        <v>6.8</v>
      </c>
      <c r="R734" s="10">
        <v>4.267518133333339</v>
      </c>
      <c r="S734" s="9">
        <v>2.52</v>
      </c>
      <c r="T734" s="10">
        <v>1.05</v>
      </c>
      <c r="U734" s="10">
        <v>0.29485720285228151</v>
      </c>
      <c r="V734" s="22">
        <v>100.675224425</v>
      </c>
      <c r="W734" s="188">
        <f t="shared" si="41"/>
        <v>1.2950769702895497</v>
      </c>
      <c r="X734" s="192">
        <f t="shared" si="42"/>
        <v>7.6955</v>
      </c>
      <c r="AA734" s="39" t="str">
        <f t="shared" si="43"/>
        <v>S</v>
      </c>
    </row>
    <row r="735" spans="1:27" x14ac:dyDescent="0.2">
      <c r="A735" s="2" t="s">
        <v>310</v>
      </c>
      <c r="B735" s="2" t="s">
        <v>570</v>
      </c>
      <c r="C735" s="2" t="s">
        <v>400</v>
      </c>
      <c r="D735" s="2">
        <v>20.5</v>
      </c>
      <c r="E735" s="10">
        <v>6.07</v>
      </c>
      <c r="F735" s="10">
        <v>8</v>
      </c>
      <c r="G735" s="12">
        <v>4.0919999999999996</v>
      </c>
      <c r="H735" s="12">
        <v>0.36199999999999999</v>
      </c>
      <c r="I735" s="12">
        <v>0.42549999999999999</v>
      </c>
      <c r="J735" s="44">
        <f t="shared" si="44"/>
        <v>0.42549999999999999</v>
      </c>
      <c r="K735" s="10">
        <v>4.8084606345475907</v>
      </c>
      <c r="L735" s="9">
        <v>16.835248618784529</v>
      </c>
      <c r="M735" s="9">
        <v>60.83</v>
      </c>
      <c r="N735" s="9">
        <v>17.783538456666669</v>
      </c>
      <c r="O735" s="9">
        <v>15.21</v>
      </c>
      <c r="P735" s="10">
        <v>3.17</v>
      </c>
      <c r="Q735" s="9">
        <v>4.09</v>
      </c>
      <c r="R735" s="10">
        <v>3.4360171133333326</v>
      </c>
      <c r="S735" s="9">
        <v>2</v>
      </c>
      <c r="T735" s="10">
        <v>0.82</v>
      </c>
      <c r="U735" s="10">
        <v>0.43159055403429297</v>
      </c>
      <c r="V735" s="9">
        <v>58.663943880625006</v>
      </c>
      <c r="W735" s="188">
        <f t="shared" si="41"/>
        <v>1.0091576903133002</v>
      </c>
      <c r="X735" s="192">
        <f t="shared" si="42"/>
        <v>7.5745000000000005</v>
      </c>
      <c r="AA735" s="39" t="str">
        <f t="shared" si="43"/>
        <v>S</v>
      </c>
    </row>
    <row r="736" spans="1:27" x14ac:dyDescent="0.2">
      <c r="A736" s="2" t="s">
        <v>310</v>
      </c>
      <c r="B736" s="2" t="s">
        <v>571</v>
      </c>
      <c r="C736" s="2" t="s">
        <v>400</v>
      </c>
      <c r="D736" s="9">
        <v>20</v>
      </c>
      <c r="E736" s="10">
        <v>5.9</v>
      </c>
      <c r="F736" s="10">
        <v>8</v>
      </c>
      <c r="G736" s="12">
        <v>4.2</v>
      </c>
      <c r="H736" s="12">
        <v>0.32</v>
      </c>
      <c r="I736" s="12">
        <v>0.41499999999999998</v>
      </c>
      <c r="J736" s="44">
        <f t="shared" si="44"/>
        <v>0.41499999999999998</v>
      </c>
      <c r="K736" s="10">
        <v>5.0602409638554215</v>
      </c>
      <c r="L736" s="9">
        <v>19.176124999999999</v>
      </c>
      <c r="M736" s="9">
        <v>59.9</v>
      </c>
      <c r="N736" s="9">
        <v>17.30617466666666</v>
      </c>
      <c r="O736" s="9">
        <v>15</v>
      </c>
      <c r="P736" s="10">
        <v>3.22</v>
      </c>
      <c r="Q736" s="9">
        <v>4.33</v>
      </c>
      <c r="R736" s="10">
        <v>3.4800373333333319</v>
      </c>
      <c r="S736" s="9">
        <v>2.06</v>
      </c>
      <c r="T736" s="10">
        <v>0.86</v>
      </c>
      <c r="U736" s="10">
        <v>0.37135768875963721</v>
      </c>
      <c r="V736" s="9">
        <v>62.278633562499998</v>
      </c>
      <c r="W736" s="188">
        <f t="shared" si="41"/>
        <v>1.0463117763522178</v>
      </c>
      <c r="X736" s="192">
        <f t="shared" si="42"/>
        <v>7.585</v>
      </c>
      <c r="AA736" s="39" t="str">
        <f t="shared" si="43"/>
        <v>S</v>
      </c>
    </row>
    <row r="737" spans="1:27" x14ac:dyDescent="0.2">
      <c r="A737" s="2" t="s">
        <v>310</v>
      </c>
      <c r="B737" s="2" t="s">
        <v>572</v>
      </c>
      <c r="C737" s="2" t="s">
        <v>400</v>
      </c>
      <c r="D737" s="9">
        <v>19</v>
      </c>
      <c r="E737" s="10">
        <v>5.59</v>
      </c>
      <c r="F737" s="10">
        <v>8</v>
      </c>
      <c r="G737" s="12">
        <v>5.32</v>
      </c>
      <c r="H737" s="12">
        <v>0.31</v>
      </c>
      <c r="I737" s="12">
        <v>0.30449999999999999</v>
      </c>
      <c r="J737" s="44">
        <f t="shared" si="44"/>
        <v>0.30449999999999999</v>
      </c>
      <c r="K737" s="10">
        <v>8.7356321839080469</v>
      </c>
      <c r="L737" s="9">
        <v>21.146451612903228</v>
      </c>
      <c r="M737" s="9">
        <v>59.2</v>
      </c>
      <c r="N737" s="9">
        <v>16.681594729999997</v>
      </c>
      <c r="O737" s="9">
        <v>14.8</v>
      </c>
      <c r="P737" s="10">
        <v>3.26</v>
      </c>
      <c r="Q737" s="9">
        <v>6.45</v>
      </c>
      <c r="R737" s="10">
        <v>4.0494491000000012</v>
      </c>
      <c r="S737" s="9">
        <v>2.42</v>
      </c>
      <c r="T737" s="10">
        <v>1.08</v>
      </c>
      <c r="U737" s="10">
        <v>0.22297981972672618</v>
      </c>
      <c r="V737" s="9">
        <v>95.493411403124995</v>
      </c>
      <c r="W737" s="188">
        <f t="shared" si="41"/>
        <v>1.294948279776956</v>
      </c>
      <c r="X737" s="192">
        <f t="shared" si="42"/>
        <v>7.6955</v>
      </c>
      <c r="AA737" s="39" t="str">
        <f t="shared" si="43"/>
        <v>S</v>
      </c>
    </row>
    <row r="738" spans="1:27" x14ac:dyDescent="0.2">
      <c r="A738" s="2" t="s">
        <v>310</v>
      </c>
      <c r="B738" s="2" t="s">
        <v>573</v>
      </c>
      <c r="C738" s="2" t="s">
        <v>400</v>
      </c>
      <c r="D738" s="9">
        <v>18</v>
      </c>
      <c r="E738" s="10">
        <v>5.34</v>
      </c>
      <c r="F738" s="10">
        <v>8</v>
      </c>
      <c r="G738" s="12">
        <v>4</v>
      </c>
      <c r="H738" s="12">
        <v>0.27</v>
      </c>
      <c r="I738" s="12">
        <v>0.42549999999999999</v>
      </c>
      <c r="J738" s="44">
        <f t="shared" si="44"/>
        <v>0.42549999999999999</v>
      </c>
      <c r="K738" s="10">
        <v>4.7003525264394828</v>
      </c>
      <c r="L738" s="9">
        <v>22.571703703703701</v>
      </c>
      <c r="M738" s="9">
        <v>56.9</v>
      </c>
      <c r="N738" s="9">
        <v>16.311538456666668</v>
      </c>
      <c r="O738" s="9">
        <v>14.23</v>
      </c>
      <c r="P738" s="10">
        <v>3.26</v>
      </c>
      <c r="Q738" s="9">
        <v>3.79</v>
      </c>
      <c r="R738" s="10">
        <v>3.1737145333333343</v>
      </c>
      <c r="S738" s="9">
        <v>1.9</v>
      </c>
      <c r="T738" s="10">
        <v>0.84</v>
      </c>
      <c r="U738" s="10">
        <v>0.33519274573054625</v>
      </c>
      <c r="V738" s="9">
        <v>54.360965111875004</v>
      </c>
      <c r="W738" s="188">
        <f t="shared" si="41"/>
        <v>1.0043362590051674</v>
      </c>
      <c r="X738" s="192">
        <f t="shared" si="42"/>
        <v>7.5745000000000005</v>
      </c>
      <c r="AA738" s="39" t="str">
        <f t="shared" si="43"/>
        <v>S</v>
      </c>
    </row>
    <row r="739" spans="1:27" x14ac:dyDescent="0.2">
      <c r="A739" s="2" t="s">
        <v>310</v>
      </c>
      <c r="B739" s="2" t="s">
        <v>574</v>
      </c>
      <c r="C739" s="2" t="s">
        <v>400</v>
      </c>
      <c r="D739" s="9">
        <v>17</v>
      </c>
      <c r="E739" s="10">
        <v>5</v>
      </c>
      <c r="F739" s="10">
        <v>8</v>
      </c>
      <c r="G739" s="12">
        <v>5.25</v>
      </c>
      <c r="H739" s="12">
        <v>0.24</v>
      </c>
      <c r="I739" s="12">
        <v>0.30449999999999999</v>
      </c>
      <c r="J739" s="44">
        <f t="shared" si="44"/>
        <v>0.30449999999999999</v>
      </c>
      <c r="K739" s="10">
        <v>8.6206896551724146</v>
      </c>
      <c r="L739" s="9">
        <v>27.314166666666669</v>
      </c>
      <c r="M739" s="9">
        <v>56</v>
      </c>
      <c r="N739" s="9">
        <v>15.561594730000007</v>
      </c>
      <c r="O739" s="9">
        <v>14</v>
      </c>
      <c r="P739" s="10">
        <v>3.35</v>
      </c>
      <c r="Q739" s="9">
        <v>6.16</v>
      </c>
      <c r="R739" s="10">
        <v>3.8656609500000005</v>
      </c>
      <c r="S739" s="9">
        <v>2.35</v>
      </c>
      <c r="T739" s="10">
        <v>1.1100000000000001</v>
      </c>
      <c r="U739" s="10">
        <v>0.17375054810500307</v>
      </c>
      <c r="V739" s="9">
        <v>91.199909184999996</v>
      </c>
      <c r="W739" s="188">
        <f t="shared" si="41"/>
        <v>1.3011571772848967</v>
      </c>
      <c r="X739" s="192">
        <f t="shared" si="42"/>
        <v>7.6955</v>
      </c>
      <c r="AA739" s="39" t="str">
        <f t="shared" si="43"/>
        <v>S</v>
      </c>
    </row>
    <row r="740" spans="1:27" x14ac:dyDescent="0.2">
      <c r="A740" s="2" t="s">
        <v>310</v>
      </c>
      <c r="B740" s="2" t="s">
        <v>575</v>
      </c>
      <c r="C740" s="2" t="s">
        <v>400</v>
      </c>
      <c r="D740" s="2">
        <v>25.2</v>
      </c>
      <c r="E740" s="10">
        <v>7.4</v>
      </c>
      <c r="F740" s="10">
        <v>7</v>
      </c>
      <c r="G740" s="12">
        <v>4.556</v>
      </c>
      <c r="H740" s="12">
        <v>0.55800000000000005</v>
      </c>
      <c r="I740" s="12">
        <v>0.45350000000000001</v>
      </c>
      <c r="J740" s="44">
        <f t="shared" si="44"/>
        <v>0.45350000000000001</v>
      </c>
      <c r="K740" s="10">
        <v>5.0231532524807054</v>
      </c>
      <c r="L740" s="9">
        <v>9.2538781362007168</v>
      </c>
      <c r="M740" s="9">
        <v>54.7</v>
      </c>
      <c r="N740" s="9">
        <v>18.678606151333341</v>
      </c>
      <c r="O740" s="9">
        <v>15.6</v>
      </c>
      <c r="P740" s="10">
        <v>2.72</v>
      </c>
      <c r="Q740" s="9">
        <v>6.08</v>
      </c>
      <c r="R740" s="10">
        <v>4.8066737073333385</v>
      </c>
      <c r="S740" s="9">
        <v>2.67</v>
      </c>
      <c r="T740" s="10">
        <v>0.91</v>
      </c>
      <c r="U740" s="10">
        <v>0.79864931779313397</v>
      </c>
      <c r="V740" s="9">
        <v>65.142126619999999</v>
      </c>
      <c r="W740" s="188">
        <f t="shared" si="41"/>
        <v>1.1294813876856074</v>
      </c>
      <c r="X740" s="192">
        <f t="shared" si="42"/>
        <v>6.5465</v>
      </c>
      <c r="AA740" s="39" t="str">
        <f t="shared" si="43"/>
        <v>S</v>
      </c>
    </row>
    <row r="741" spans="1:27" x14ac:dyDescent="0.2">
      <c r="A741" s="2" t="s">
        <v>310</v>
      </c>
      <c r="B741" s="2" t="s">
        <v>576</v>
      </c>
      <c r="C741" s="2" t="s">
        <v>400</v>
      </c>
      <c r="D741" s="9">
        <v>22</v>
      </c>
      <c r="E741" s="10">
        <v>6.49</v>
      </c>
      <c r="F741" s="10">
        <v>7</v>
      </c>
      <c r="G741" s="12">
        <v>4.3339999999999996</v>
      </c>
      <c r="H741" s="12">
        <v>0.35399999999999998</v>
      </c>
      <c r="I741" s="12">
        <v>0.5</v>
      </c>
      <c r="J741" s="44">
        <f t="shared" si="44"/>
        <v>0.5</v>
      </c>
      <c r="K741" s="10">
        <v>4.3339999999999996</v>
      </c>
      <c r="L741" s="9">
        <v>14.18994350282486</v>
      </c>
      <c r="M741" s="9">
        <v>52.1</v>
      </c>
      <c r="N741" s="9">
        <v>17.24165</v>
      </c>
      <c r="O741" s="9">
        <v>14.9</v>
      </c>
      <c r="P741" s="10">
        <v>2.83</v>
      </c>
      <c r="Q741" s="9">
        <v>5.91</v>
      </c>
      <c r="R741" s="10">
        <v>4.487853000000003</v>
      </c>
      <c r="S741" s="9">
        <v>2.73</v>
      </c>
      <c r="T741" s="10">
        <v>0.95</v>
      </c>
      <c r="U741" s="10">
        <v>0.56836382618744696</v>
      </c>
      <c r="V741" s="9">
        <v>62.424374999999998</v>
      </c>
      <c r="W741" s="188">
        <f t="shared" si="41"/>
        <v>1.1353827371118268</v>
      </c>
      <c r="X741" s="192">
        <f t="shared" si="42"/>
        <v>6.5</v>
      </c>
      <c r="AA741" s="39" t="str">
        <f t="shared" si="43"/>
        <v>S</v>
      </c>
    </row>
    <row r="742" spans="1:27" x14ac:dyDescent="0.2">
      <c r="A742" s="2" t="s">
        <v>310</v>
      </c>
      <c r="B742" s="2" t="s">
        <v>578</v>
      </c>
      <c r="C742" s="2" t="s">
        <v>400</v>
      </c>
      <c r="D742" s="9">
        <v>19</v>
      </c>
      <c r="E742" s="10">
        <v>5.63</v>
      </c>
      <c r="F742" s="10">
        <v>7</v>
      </c>
      <c r="G742" s="12">
        <v>4.1470000000000002</v>
      </c>
      <c r="H742" s="12">
        <v>0.377</v>
      </c>
      <c r="I742" s="12">
        <v>0.39</v>
      </c>
      <c r="J742" s="44">
        <f t="shared" si="44"/>
        <v>0.39</v>
      </c>
      <c r="K742" s="10">
        <v>5.3166666666666664</v>
      </c>
      <c r="L742" s="9">
        <v>13.960848806366046</v>
      </c>
      <c r="M742" s="9">
        <v>42.8</v>
      </c>
      <c r="N742" s="9">
        <v>14.312302333333328</v>
      </c>
      <c r="O742" s="9">
        <v>12.23</v>
      </c>
      <c r="P742" s="10">
        <v>2.76</v>
      </c>
      <c r="Q742" s="9">
        <v>3.91</v>
      </c>
      <c r="R742" s="10">
        <v>3.2429100166666709</v>
      </c>
      <c r="S742" s="9">
        <v>1.89</v>
      </c>
      <c r="T742" s="10">
        <v>0.83</v>
      </c>
      <c r="U742" s="10">
        <v>0.36494274167194085</v>
      </c>
      <c r="V742" s="9">
        <v>42.709027750000004</v>
      </c>
      <c r="W742" s="188">
        <f t="shared" si="41"/>
        <v>1.0279237064886706</v>
      </c>
      <c r="X742" s="192">
        <f t="shared" ref="X742:X782" si="45">F742-I742</f>
        <v>6.61</v>
      </c>
      <c r="AA742" s="39" t="str">
        <f t="shared" si="43"/>
        <v>S</v>
      </c>
    </row>
    <row r="743" spans="1:27" x14ac:dyDescent="0.2">
      <c r="A743" s="2" t="s">
        <v>310</v>
      </c>
      <c r="B743" s="2" t="s">
        <v>579</v>
      </c>
      <c r="C743" s="2" t="s">
        <v>400</v>
      </c>
      <c r="D743" s="9">
        <v>18</v>
      </c>
      <c r="E743" s="10">
        <v>5.3</v>
      </c>
      <c r="F743" s="10">
        <v>7</v>
      </c>
      <c r="G743" s="12">
        <v>4.1150000000000002</v>
      </c>
      <c r="H743" s="12">
        <v>0.36499999999999999</v>
      </c>
      <c r="I743" s="12">
        <v>0.375</v>
      </c>
      <c r="J743" s="44">
        <f t="shared" si="44"/>
        <v>0.375</v>
      </c>
      <c r="K743" s="10">
        <v>5.4866666666666672</v>
      </c>
      <c r="L743" s="9">
        <v>14.66209315068493</v>
      </c>
      <c r="M743" s="9">
        <v>41.2</v>
      </c>
      <c r="N743" s="9">
        <v>13.768125</v>
      </c>
      <c r="O743" s="9">
        <v>11.8</v>
      </c>
      <c r="P743" s="10">
        <v>2.79</v>
      </c>
      <c r="Q743" s="9">
        <v>4.28</v>
      </c>
      <c r="R743" s="10">
        <v>3.0901750000000012</v>
      </c>
      <c r="S743" s="9">
        <v>2.08</v>
      </c>
      <c r="T743" s="10">
        <v>0.9</v>
      </c>
      <c r="U743" s="10">
        <v>0.3205233723712016</v>
      </c>
      <c r="V743" s="9">
        <v>46.962968750000002</v>
      </c>
      <c r="W743" s="188">
        <f t="shared" si="41"/>
        <v>1.0961218229957186</v>
      </c>
      <c r="X743" s="192">
        <f t="shared" si="45"/>
        <v>6.625</v>
      </c>
      <c r="AA743" s="39" t="str">
        <f t="shared" si="43"/>
        <v>S</v>
      </c>
    </row>
    <row r="744" spans="1:27" x14ac:dyDescent="0.2">
      <c r="A744" s="2" t="s">
        <v>310</v>
      </c>
      <c r="B744" s="2" t="s">
        <v>580</v>
      </c>
      <c r="C744" s="2" t="s">
        <v>400</v>
      </c>
      <c r="D744" s="2">
        <v>17.5</v>
      </c>
      <c r="E744" s="10">
        <v>5.17</v>
      </c>
      <c r="F744" s="10">
        <v>7</v>
      </c>
      <c r="G744" s="12">
        <v>3.766</v>
      </c>
      <c r="H744" s="12">
        <v>0.35599999999999998</v>
      </c>
      <c r="I744" s="12">
        <v>0.39200000000000002</v>
      </c>
      <c r="J744" s="44">
        <f t="shared" si="44"/>
        <v>0.39200000000000002</v>
      </c>
      <c r="K744" s="10">
        <v>4.8035714285714288</v>
      </c>
      <c r="L744" s="9">
        <v>14.667977528089889</v>
      </c>
      <c r="M744" s="9">
        <v>39.29</v>
      </c>
      <c r="N744" s="9">
        <v>13.171126013333327</v>
      </c>
      <c r="O744" s="9">
        <v>11.23</v>
      </c>
      <c r="P744" s="10">
        <v>2.76</v>
      </c>
      <c r="Q744" s="9">
        <v>2.95</v>
      </c>
      <c r="R744" s="10">
        <v>2.7015695533333322</v>
      </c>
      <c r="S744" s="9">
        <v>1.57</v>
      </c>
      <c r="T744" s="10">
        <v>0.76</v>
      </c>
      <c r="U744" s="10">
        <v>0.32879915387694469</v>
      </c>
      <c r="V744" s="9">
        <v>32.203427199999993</v>
      </c>
      <c r="W744" s="188">
        <f t="shared" si="41"/>
        <v>0.93162503205752734</v>
      </c>
      <c r="X744" s="192">
        <f t="shared" si="45"/>
        <v>6.6079999999999997</v>
      </c>
      <c r="AA744" s="39" t="str">
        <f t="shared" si="43"/>
        <v>S</v>
      </c>
    </row>
    <row r="745" spans="1:27" x14ac:dyDescent="0.2">
      <c r="A745" s="2" t="s">
        <v>310</v>
      </c>
      <c r="B745" s="2" t="s">
        <v>581</v>
      </c>
      <c r="C745" s="2" t="s">
        <v>400</v>
      </c>
      <c r="D745" s="9">
        <v>15</v>
      </c>
      <c r="E745" s="10">
        <v>4.42</v>
      </c>
      <c r="F745" s="10">
        <v>7</v>
      </c>
      <c r="G745" s="12">
        <v>3.66</v>
      </c>
      <c r="H745" s="12">
        <v>0.25</v>
      </c>
      <c r="I745" s="12">
        <v>0.39</v>
      </c>
      <c r="J745" s="44">
        <f t="shared" si="44"/>
        <v>0.39</v>
      </c>
      <c r="K745" s="10">
        <v>4.6923076923076925</v>
      </c>
      <c r="L745" s="9">
        <v>20.919199999999996</v>
      </c>
      <c r="M745" s="9">
        <v>36.61</v>
      </c>
      <c r="N745" s="9">
        <v>11.83086033333333</v>
      </c>
      <c r="O745" s="9">
        <v>10.5</v>
      </c>
      <c r="P745" s="10">
        <v>2.88</v>
      </c>
      <c r="Q745" s="9">
        <v>2.64</v>
      </c>
      <c r="R745" s="10">
        <v>2.4380071666666669</v>
      </c>
      <c r="S745" s="9">
        <v>1.44</v>
      </c>
      <c r="T745" s="10">
        <v>0.78</v>
      </c>
      <c r="U745" s="10">
        <v>0.23694181573917164</v>
      </c>
      <c r="V745" s="9">
        <v>28.836786000000004</v>
      </c>
      <c r="W745" s="188">
        <f t="shared" ref="W745:W782" si="46">SQRT((Q745*X745)/(2*O745))</f>
        <v>0.91157634270061483</v>
      </c>
      <c r="X745" s="192">
        <f t="shared" si="45"/>
        <v>6.61</v>
      </c>
      <c r="AA745" s="39" t="str">
        <f t="shared" si="43"/>
        <v>S</v>
      </c>
    </row>
    <row r="746" spans="1:27" x14ac:dyDescent="0.2">
      <c r="A746" s="2" t="s">
        <v>310</v>
      </c>
      <c r="B746" s="2" t="s">
        <v>582</v>
      </c>
      <c r="C746" s="2" t="s">
        <v>400</v>
      </c>
      <c r="D746" s="2">
        <v>46.1</v>
      </c>
      <c r="E746" s="10">
        <v>13.56</v>
      </c>
      <c r="F746" s="10">
        <v>6</v>
      </c>
      <c r="G746" s="12">
        <v>5.5</v>
      </c>
      <c r="H746" s="12">
        <v>0.88</v>
      </c>
      <c r="I746" s="12">
        <v>0.84</v>
      </c>
      <c r="J746" s="44">
        <f t="shared" si="44"/>
        <v>0.84</v>
      </c>
      <c r="K746" s="10">
        <v>3.2738095238095233</v>
      </c>
      <c r="L746" s="9">
        <v>2.8420454545454543</v>
      </c>
      <c r="M746" s="9">
        <v>68.569999999999993</v>
      </c>
      <c r="N746" s="9">
        <v>27.870392000000002</v>
      </c>
      <c r="O746" s="9">
        <v>22.86</v>
      </c>
      <c r="P746" s="10">
        <v>2.25</v>
      </c>
      <c r="Q746" s="9">
        <v>21.15</v>
      </c>
      <c r="R746" s="10">
        <v>12.758724000000001</v>
      </c>
      <c r="S746" s="9">
        <v>7.69</v>
      </c>
      <c r="T746" s="10">
        <v>1.25</v>
      </c>
      <c r="U746" s="10">
        <v>4.5570870386155171</v>
      </c>
      <c r="V746" s="22">
        <v>140.78286</v>
      </c>
      <c r="W746" s="188">
        <f t="shared" si="46"/>
        <v>1.5449944576003332</v>
      </c>
      <c r="X746" s="192">
        <f t="shared" si="45"/>
        <v>5.16</v>
      </c>
      <c r="AA746" s="39" t="str">
        <f t="shared" si="43"/>
        <v>S</v>
      </c>
    </row>
    <row r="747" spans="1:27" x14ac:dyDescent="0.2">
      <c r="A747" s="2" t="s">
        <v>310</v>
      </c>
      <c r="B747" s="2" t="s">
        <v>583</v>
      </c>
      <c r="C747" s="2" t="s">
        <v>400</v>
      </c>
      <c r="D747" s="9">
        <v>41</v>
      </c>
      <c r="E747" s="10">
        <v>12.06</v>
      </c>
      <c r="F747" s="10">
        <v>6</v>
      </c>
      <c r="G747" s="12">
        <v>5.25</v>
      </c>
      <c r="H747" s="12">
        <v>0.63</v>
      </c>
      <c r="I747" s="12">
        <v>0.84</v>
      </c>
      <c r="J747" s="44">
        <f t="shared" si="44"/>
        <v>0.84</v>
      </c>
      <c r="K747" s="10">
        <v>3.125</v>
      </c>
      <c r="L747" s="9">
        <v>3.9698412698412695</v>
      </c>
      <c r="M747" s="9">
        <v>64.069999999999993</v>
      </c>
      <c r="N747" s="9">
        <v>25.620392000000002</v>
      </c>
      <c r="O747" s="9">
        <v>21.36</v>
      </c>
      <c r="P747" s="10">
        <v>2.2999999999999998</v>
      </c>
      <c r="Q747" s="9">
        <v>17.86</v>
      </c>
      <c r="R747" s="10">
        <v>11.222274000000001</v>
      </c>
      <c r="S747" s="9">
        <v>6.8</v>
      </c>
      <c r="T747" s="10">
        <v>1.22</v>
      </c>
      <c r="U747" s="10">
        <v>3.3506078977763254</v>
      </c>
      <c r="V747" s="22">
        <v>118.88330400000001</v>
      </c>
      <c r="W747" s="188">
        <f t="shared" si="46"/>
        <v>1.4687570224551221</v>
      </c>
      <c r="X747" s="192">
        <f t="shared" si="45"/>
        <v>5.16</v>
      </c>
      <c r="AA747" s="39" t="str">
        <f t="shared" si="43"/>
        <v>S</v>
      </c>
    </row>
    <row r="748" spans="1:27" x14ac:dyDescent="0.2">
      <c r="A748" s="2" t="s">
        <v>310</v>
      </c>
      <c r="B748" s="2" t="s">
        <v>584</v>
      </c>
      <c r="C748" s="2" t="s">
        <v>400</v>
      </c>
      <c r="D748" s="2">
        <v>37.4</v>
      </c>
      <c r="E748" s="10">
        <v>10.99</v>
      </c>
      <c r="F748" s="10">
        <v>6</v>
      </c>
      <c r="G748" s="12">
        <v>5.13</v>
      </c>
      <c r="H748" s="12">
        <v>0.75</v>
      </c>
      <c r="I748" s="12">
        <v>0.68500000000000005</v>
      </c>
      <c r="J748" s="44">
        <f t="shared" si="44"/>
        <v>0.68500000000000005</v>
      </c>
      <c r="K748" s="10">
        <v>3.7445255474452552</v>
      </c>
      <c r="L748" s="9">
        <v>3.841333333333333</v>
      </c>
      <c r="M748" s="9">
        <v>57.03</v>
      </c>
      <c r="N748" s="9">
        <v>22.646626000000001</v>
      </c>
      <c r="O748" s="9">
        <v>19.010000000000002</v>
      </c>
      <c r="P748" s="10">
        <v>2.2799999999999998</v>
      </c>
      <c r="Q748" s="9">
        <v>13.87</v>
      </c>
      <c r="R748" s="10">
        <v>9.0731130000000011</v>
      </c>
      <c r="S748" s="9">
        <v>5.41</v>
      </c>
      <c r="T748" s="10">
        <v>1.1200000000000001</v>
      </c>
      <c r="U748" s="10">
        <v>2.626972581130945</v>
      </c>
      <c r="V748" s="9">
        <v>97.954187687499982</v>
      </c>
      <c r="W748" s="188">
        <f t="shared" si="46"/>
        <v>1.3924634636617308</v>
      </c>
      <c r="X748" s="192">
        <f t="shared" si="45"/>
        <v>5.3149999999999995</v>
      </c>
      <c r="AA748" s="39" t="str">
        <f t="shared" si="43"/>
        <v>S</v>
      </c>
    </row>
    <row r="749" spans="1:27" x14ac:dyDescent="0.2">
      <c r="A749" s="2" t="s">
        <v>310</v>
      </c>
      <c r="B749" s="2" t="s">
        <v>585</v>
      </c>
      <c r="C749" s="2" t="s">
        <v>400</v>
      </c>
      <c r="D749" s="2">
        <v>32.299999999999997</v>
      </c>
      <c r="E749" s="10">
        <v>9.49</v>
      </c>
      <c r="F749" s="10">
        <v>6</v>
      </c>
      <c r="G749" s="12">
        <v>4.88</v>
      </c>
      <c r="H749" s="12">
        <v>0.5</v>
      </c>
      <c r="I749" s="12">
        <v>0.68500000000000005</v>
      </c>
      <c r="J749" s="44">
        <f t="shared" si="44"/>
        <v>0.68500000000000005</v>
      </c>
      <c r="K749" s="10">
        <v>3.5620437956204376</v>
      </c>
      <c r="L749" s="9">
        <v>5.7619999999999996</v>
      </c>
      <c r="M749" s="9">
        <v>52.53</v>
      </c>
      <c r="N749" s="9">
        <v>20.396626000000001</v>
      </c>
      <c r="O749" s="9">
        <v>17.510000000000002</v>
      </c>
      <c r="P749" s="10">
        <v>2.35</v>
      </c>
      <c r="Q749" s="9">
        <v>11.74</v>
      </c>
      <c r="R749" s="10">
        <v>7.8542879999999942</v>
      </c>
      <c r="S749" s="9">
        <v>4.8099999999999996</v>
      </c>
      <c r="T749" s="10">
        <v>1.1100000000000001</v>
      </c>
      <c r="U749" s="10">
        <v>1.7958463162126586</v>
      </c>
      <c r="V749" s="9">
        <v>82.911475374999995</v>
      </c>
      <c r="W749" s="188">
        <f t="shared" si="46"/>
        <v>1.3348350813715932</v>
      </c>
      <c r="X749" s="192">
        <f t="shared" si="45"/>
        <v>5.3149999999999995</v>
      </c>
      <c r="AA749" s="39" t="str">
        <f t="shared" si="43"/>
        <v>S</v>
      </c>
    </row>
    <row r="750" spans="1:27" x14ac:dyDescent="0.2">
      <c r="A750" s="2" t="s">
        <v>310</v>
      </c>
      <c r="B750" s="2" t="s">
        <v>586</v>
      </c>
      <c r="C750" s="2" t="s">
        <v>400</v>
      </c>
      <c r="D750" s="2">
        <v>27.7</v>
      </c>
      <c r="E750" s="10">
        <v>8.15</v>
      </c>
      <c r="F750" s="10">
        <v>6</v>
      </c>
      <c r="G750" s="12">
        <v>4.9359999999999999</v>
      </c>
      <c r="H750" s="12">
        <v>0.56600000000000006</v>
      </c>
      <c r="I750" s="12">
        <v>0.52500000000000002</v>
      </c>
      <c r="J750" s="44">
        <f t="shared" si="44"/>
        <v>0.52500000000000002</v>
      </c>
      <c r="K750" s="10">
        <v>4.7009523809523808</v>
      </c>
      <c r="L750" s="9">
        <v>6.3939929328621909</v>
      </c>
      <c r="M750" s="9">
        <v>45.53</v>
      </c>
      <c r="N750" s="9">
        <v>17.605164333333327</v>
      </c>
      <c r="O750" s="9">
        <v>15.1</v>
      </c>
      <c r="P750" s="10">
        <v>2.36</v>
      </c>
      <c r="Q750" s="9">
        <v>8.99</v>
      </c>
      <c r="R750" s="10">
        <v>6.2031946666666631</v>
      </c>
      <c r="S750" s="9">
        <v>3.64</v>
      </c>
      <c r="T750" s="10">
        <v>1.05</v>
      </c>
      <c r="U750" s="10">
        <v>1.1016074966607341</v>
      </c>
      <c r="V750" s="9">
        <v>67.370217187499989</v>
      </c>
      <c r="W750" s="188">
        <f t="shared" si="46"/>
        <v>1.2766399659453744</v>
      </c>
      <c r="X750" s="192">
        <f t="shared" si="45"/>
        <v>5.4749999999999996</v>
      </c>
      <c r="AA750" s="39" t="str">
        <f t="shared" si="43"/>
        <v>S</v>
      </c>
    </row>
    <row r="751" spans="1:27" x14ac:dyDescent="0.2">
      <c r="A751" s="2" t="s">
        <v>310</v>
      </c>
      <c r="B751" s="2" t="s">
        <v>587</v>
      </c>
      <c r="C751" s="2" t="s">
        <v>400</v>
      </c>
      <c r="D751" s="2">
        <v>23.9</v>
      </c>
      <c r="E751" s="10">
        <v>7.03</v>
      </c>
      <c r="F751" s="10">
        <v>6</v>
      </c>
      <c r="G751" s="12">
        <v>4.75</v>
      </c>
      <c r="H751" s="12">
        <v>0.38</v>
      </c>
      <c r="I751" s="12">
        <v>0.52500000000000002</v>
      </c>
      <c r="J751" s="44">
        <f t="shared" si="44"/>
        <v>0.52500000000000002</v>
      </c>
      <c r="K751" s="10">
        <v>4.5238095238095237</v>
      </c>
      <c r="L751" s="9">
        <v>9.5236842105263158</v>
      </c>
      <c r="M751" s="9">
        <v>41.98</v>
      </c>
      <c r="N751" s="9">
        <v>15.931164333333328</v>
      </c>
      <c r="O751" s="9">
        <v>14</v>
      </c>
      <c r="P751" s="10">
        <v>2.44</v>
      </c>
      <c r="Q751" s="9">
        <v>7.89</v>
      </c>
      <c r="R751" s="10">
        <v>5.5125301666666671</v>
      </c>
      <c r="S751" s="9">
        <v>3.32</v>
      </c>
      <c r="T751" s="10">
        <v>1.06</v>
      </c>
      <c r="U751" s="10">
        <v>0.7667878742061337</v>
      </c>
      <c r="V751" s="9">
        <v>59.12692031249999</v>
      </c>
      <c r="W751" s="188">
        <f t="shared" si="46"/>
        <v>1.2420856595719496</v>
      </c>
      <c r="X751" s="192">
        <f t="shared" si="45"/>
        <v>5.4749999999999996</v>
      </c>
      <c r="AA751" s="39" t="str">
        <f t="shared" si="43"/>
        <v>S</v>
      </c>
    </row>
    <row r="752" spans="1:27" x14ac:dyDescent="0.2">
      <c r="A752" s="2" t="s">
        <v>310</v>
      </c>
      <c r="B752" s="2" t="s">
        <v>588</v>
      </c>
      <c r="C752" s="2" t="s">
        <v>400</v>
      </c>
      <c r="D752" s="9">
        <v>20</v>
      </c>
      <c r="E752" s="10">
        <v>5.95</v>
      </c>
      <c r="F752" s="10">
        <v>6</v>
      </c>
      <c r="G752" s="12">
        <v>3.98</v>
      </c>
      <c r="H752" s="12">
        <v>0.48099999999999998</v>
      </c>
      <c r="I752" s="12">
        <v>0.43800000000000006</v>
      </c>
      <c r="J752" s="44">
        <f t="shared" si="44"/>
        <v>0.43800000000000006</v>
      </c>
      <c r="K752" s="10">
        <v>4.5433789954337893</v>
      </c>
      <c r="L752" s="9">
        <v>8.8963991683991672</v>
      </c>
      <c r="M752" s="9">
        <v>32.06</v>
      </c>
      <c r="N752" s="9">
        <v>12.834885885666669</v>
      </c>
      <c r="O752" s="9">
        <v>10.69</v>
      </c>
      <c r="P752" s="10">
        <v>2.3199999999999998</v>
      </c>
      <c r="Q752" s="9">
        <v>4.09</v>
      </c>
      <c r="R752" s="10">
        <v>3.5103585201666667</v>
      </c>
      <c r="S752" s="9">
        <v>2.14</v>
      </c>
      <c r="T752" s="10">
        <v>0.83</v>
      </c>
      <c r="U752" s="10">
        <v>0.52164337261805471</v>
      </c>
      <c r="V752" s="9">
        <v>31.631900490000003</v>
      </c>
      <c r="W752" s="188">
        <f t="shared" si="46"/>
        <v>1.0315096513838518</v>
      </c>
      <c r="X752" s="192">
        <f t="shared" si="45"/>
        <v>5.5620000000000003</v>
      </c>
      <c r="AA752" s="39" t="str">
        <f t="shared" si="43"/>
        <v>S</v>
      </c>
    </row>
    <row r="753" spans="1:27" x14ac:dyDescent="0.2">
      <c r="A753" s="2" t="s">
        <v>310</v>
      </c>
      <c r="B753" s="2" t="s">
        <v>589</v>
      </c>
      <c r="C753" s="2" t="s">
        <v>400</v>
      </c>
      <c r="D753" s="9">
        <v>18</v>
      </c>
      <c r="E753" s="10">
        <v>5.27</v>
      </c>
      <c r="F753" s="10">
        <v>6</v>
      </c>
      <c r="G753" s="12">
        <v>3.7450000000000001</v>
      </c>
      <c r="H753" s="12">
        <v>0.47499999999999998</v>
      </c>
      <c r="I753" s="12">
        <v>0.375</v>
      </c>
      <c r="J753" s="44">
        <f t="shared" si="44"/>
        <v>0.375</v>
      </c>
      <c r="K753" s="10">
        <v>4.9933333333333332</v>
      </c>
      <c r="L753" s="9">
        <v>9.242357894736843</v>
      </c>
      <c r="M753" s="9">
        <v>27.91</v>
      </c>
      <c r="N753" s="9">
        <v>11.155625000000001</v>
      </c>
      <c r="O753" s="9">
        <v>9.3000000000000007</v>
      </c>
      <c r="P753" s="10">
        <v>2.2999999999999998</v>
      </c>
      <c r="Q753" s="9">
        <v>2.86</v>
      </c>
      <c r="R753" s="10">
        <v>2.7030562500000039</v>
      </c>
      <c r="S753" s="9">
        <v>1.53</v>
      </c>
      <c r="T753" s="10">
        <v>0.74</v>
      </c>
      <c r="U753" s="10">
        <v>0.40661585472884959</v>
      </c>
      <c r="V753" s="9">
        <v>22.623046875</v>
      </c>
      <c r="W753" s="188">
        <f t="shared" si="46"/>
        <v>0.93001040576904814</v>
      </c>
      <c r="X753" s="192">
        <f t="shared" si="45"/>
        <v>5.625</v>
      </c>
      <c r="AA753" s="39" t="str">
        <f t="shared" si="43"/>
        <v>S</v>
      </c>
    </row>
    <row r="754" spans="1:27" x14ac:dyDescent="0.2">
      <c r="A754" s="2" t="s">
        <v>310</v>
      </c>
      <c r="B754" s="2" t="s">
        <v>590</v>
      </c>
      <c r="C754" s="2" t="s">
        <v>400</v>
      </c>
      <c r="D754" s="2">
        <v>17.5</v>
      </c>
      <c r="E754" s="10">
        <v>5</v>
      </c>
      <c r="F754" s="10">
        <v>6</v>
      </c>
      <c r="G754" s="12">
        <v>3.64</v>
      </c>
      <c r="H754" s="12">
        <v>0.37</v>
      </c>
      <c r="I754" s="12">
        <v>0.42499999999999999</v>
      </c>
      <c r="J754" s="44">
        <f t="shared" si="44"/>
        <v>0.42499999999999999</v>
      </c>
      <c r="K754" s="10">
        <v>4.2823529411764705</v>
      </c>
      <c r="L754" s="9">
        <v>11.558594594594593</v>
      </c>
      <c r="M754" s="9">
        <v>28.7</v>
      </c>
      <c r="N754" s="9">
        <v>11.063441000000001</v>
      </c>
      <c r="O754" s="9">
        <v>9.57</v>
      </c>
      <c r="P754" s="10">
        <v>2.39</v>
      </c>
      <c r="Q754" s="9">
        <v>3.03</v>
      </c>
      <c r="R754" s="10">
        <v>2.7868515000000031</v>
      </c>
      <c r="S754" s="9">
        <v>1.67</v>
      </c>
      <c r="T754" s="10">
        <v>0.78</v>
      </c>
      <c r="U754" s="10">
        <v>0.34969294132760925</v>
      </c>
      <c r="V754" s="9">
        <v>23.543573437500001</v>
      </c>
      <c r="W754" s="188">
        <f t="shared" si="46"/>
        <v>0.93944808048383643</v>
      </c>
      <c r="X754" s="192">
        <f t="shared" si="45"/>
        <v>5.5750000000000002</v>
      </c>
      <c r="AA754" s="39" t="str">
        <f t="shared" si="43"/>
        <v>S</v>
      </c>
    </row>
    <row r="755" spans="1:27" x14ac:dyDescent="0.2">
      <c r="A755" s="2" t="s">
        <v>310</v>
      </c>
      <c r="B755" s="2" t="s">
        <v>591</v>
      </c>
      <c r="C755" s="2" t="s">
        <v>400</v>
      </c>
      <c r="D755" s="2">
        <v>16.600000000000001</v>
      </c>
      <c r="E755" s="10">
        <v>4.9000000000000004</v>
      </c>
      <c r="F755" s="10">
        <v>6</v>
      </c>
      <c r="G755" s="12">
        <v>3.7650000000000001</v>
      </c>
      <c r="H755" s="12">
        <v>0.26500000000000001</v>
      </c>
      <c r="I755" s="12">
        <v>0.43800000000000006</v>
      </c>
      <c r="J755" s="44">
        <f t="shared" si="44"/>
        <v>0.43800000000000006</v>
      </c>
      <c r="K755" s="10">
        <v>4.2979452054794516</v>
      </c>
      <c r="L755" s="9">
        <v>16.147803773584904</v>
      </c>
      <c r="M755" s="9">
        <v>28.4</v>
      </c>
      <c r="N755" s="9">
        <v>10.893316833333335</v>
      </c>
      <c r="O755" s="9">
        <v>9.5</v>
      </c>
      <c r="P755" s="10">
        <v>2.4</v>
      </c>
      <c r="Q755" s="9">
        <v>3.39</v>
      </c>
      <c r="R755" s="10">
        <v>2.9391241666666708</v>
      </c>
      <c r="S755" s="9">
        <v>1.8</v>
      </c>
      <c r="T755" s="10">
        <v>0.83</v>
      </c>
      <c r="U755" s="10">
        <v>0.29939089282819104</v>
      </c>
      <c r="V755" s="9">
        <v>26.218127790000004</v>
      </c>
      <c r="W755" s="188">
        <f t="shared" si="46"/>
        <v>0.99618165749869236</v>
      </c>
      <c r="X755" s="192">
        <f t="shared" si="45"/>
        <v>5.5620000000000003</v>
      </c>
      <c r="AA755" s="39" t="str">
        <f t="shared" si="43"/>
        <v>S</v>
      </c>
    </row>
    <row r="756" spans="1:27" x14ac:dyDescent="0.2">
      <c r="A756" s="2" t="s">
        <v>310</v>
      </c>
      <c r="B756" s="2" t="s">
        <v>592</v>
      </c>
      <c r="C756" s="2" t="s">
        <v>400</v>
      </c>
      <c r="D756" s="9">
        <v>16</v>
      </c>
      <c r="E756" s="10">
        <v>4.7</v>
      </c>
      <c r="F756" s="10">
        <v>6</v>
      </c>
      <c r="G756" s="12">
        <v>3.625</v>
      </c>
      <c r="H756" s="12">
        <v>0.26</v>
      </c>
      <c r="I756" s="12">
        <v>0.46500000000000002</v>
      </c>
      <c r="J756" s="44">
        <f t="shared" si="44"/>
        <v>0.46500000000000002</v>
      </c>
      <c r="K756" s="10">
        <v>3.8978494623655915</v>
      </c>
      <c r="L756" s="9">
        <v>16.192769230769233</v>
      </c>
      <c r="M756" s="9">
        <v>28.6</v>
      </c>
      <c r="N756" s="9">
        <v>10.983226833333328</v>
      </c>
      <c r="O756" s="9">
        <v>9.5399999999999991</v>
      </c>
      <c r="P756" s="10">
        <v>2.4700000000000002</v>
      </c>
      <c r="Q756" s="9">
        <v>3.24</v>
      </c>
      <c r="R756" s="10">
        <v>2.9049777916666644</v>
      </c>
      <c r="S756" s="9">
        <v>1.79</v>
      </c>
      <c r="T756" s="10">
        <v>0.83</v>
      </c>
      <c r="U756" s="10">
        <v>0.33040188883958715</v>
      </c>
      <c r="V756" s="9">
        <v>24.815342250000004</v>
      </c>
      <c r="W756" s="188">
        <f t="shared" si="46"/>
        <v>0.96948731831693324</v>
      </c>
      <c r="X756" s="192">
        <f t="shared" si="45"/>
        <v>5.5350000000000001</v>
      </c>
      <c r="AA756" s="39" t="str">
        <f t="shared" si="43"/>
        <v>S</v>
      </c>
    </row>
    <row r="757" spans="1:27" x14ac:dyDescent="0.2">
      <c r="A757" s="2" t="s">
        <v>310</v>
      </c>
      <c r="B757" s="2" t="s">
        <v>593</v>
      </c>
      <c r="C757" s="2" t="s">
        <v>400</v>
      </c>
      <c r="D757" s="2">
        <v>15.5</v>
      </c>
      <c r="E757" s="10">
        <v>4.51</v>
      </c>
      <c r="F757" s="10">
        <v>6</v>
      </c>
      <c r="G757" s="12">
        <v>3.6349999999999998</v>
      </c>
      <c r="H757" s="12">
        <v>0.38500000000000001</v>
      </c>
      <c r="I757" s="12">
        <v>0.33850000000000002</v>
      </c>
      <c r="J757" s="44">
        <f t="shared" si="44"/>
        <v>0.33850000000000002</v>
      </c>
      <c r="K757" s="10">
        <v>5.369276218611521</v>
      </c>
      <c r="L757" s="9">
        <v>11.603033766233766</v>
      </c>
      <c r="M757" s="9">
        <v>24.47</v>
      </c>
      <c r="N757" s="9">
        <v>9.6749082500000014</v>
      </c>
      <c r="O757" s="9">
        <v>8.16</v>
      </c>
      <c r="P757" s="10">
        <v>2.33</v>
      </c>
      <c r="Q757" s="9">
        <v>2.27</v>
      </c>
      <c r="R757" s="10">
        <v>2.2038543750000019</v>
      </c>
      <c r="S757" s="9">
        <v>1.25</v>
      </c>
      <c r="T757" s="10">
        <v>0.71</v>
      </c>
      <c r="U757" s="10">
        <v>0.256887536959372</v>
      </c>
      <c r="V757" s="9">
        <v>18.189840426875001</v>
      </c>
      <c r="W757" s="188">
        <f t="shared" si="46"/>
        <v>0.88739833027148951</v>
      </c>
      <c r="X757" s="192">
        <f t="shared" si="45"/>
        <v>5.6615000000000002</v>
      </c>
      <c r="AA757" s="39" t="str">
        <f t="shared" si="43"/>
        <v>S</v>
      </c>
    </row>
    <row r="758" spans="1:27" x14ac:dyDescent="0.2">
      <c r="A758" s="2" t="s">
        <v>310</v>
      </c>
      <c r="B758" s="2" t="s">
        <v>594</v>
      </c>
      <c r="C758" s="2" t="s">
        <v>400</v>
      </c>
      <c r="D758" s="2">
        <v>15.2</v>
      </c>
      <c r="E758" s="10">
        <v>4.47</v>
      </c>
      <c r="F758" s="10">
        <v>6</v>
      </c>
      <c r="G758" s="12">
        <v>3.56</v>
      </c>
      <c r="H758" s="12">
        <v>0.38</v>
      </c>
      <c r="I758" s="12">
        <v>0.33</v>
      </c>
      <c r="J758" s="44">
        <f t="shared" si="44"/>
        <v>0.33</v>
      </c>
      <c r="K758" s="10">
        <v>5.3939393939393936</v>
      </c>
      <c r="L758" s="9">
        <v>11.772105263157894</v>
      </c>
      <c r="M758" s="9">
        <v>24.02</v>
      </c>
      <c r="N758" s="9">
        <v>9.3548339999999968</v>
      </c>
      <c r="O758" s="9">
        <v>8.01</v>
      </c>
      <c r="P758" s="10">
        <v>2.3199999999999998</v>
      </c>
      <c r="Q758" s="9">
        <v>2.14</v>
      </c>
      <c r="R758" s="10">
        <v>2.0816700000000004</v>
      </c>
      <c r="S758" s="9">
        <v>1.2</v>
      </c>
      <c r="T758" s="10">
        <v>0.69</v>
      </c>
      <c r="U758" s="10">
        <v>0.2410105660723047</v>
      </c>
      <c r="V758" s="9">
        <v>17.199661500000001</v>
      </c>
      <c r="W758" s="188">
        <f t="shared" si="46"/>
        <v>0.87029634627354302</v>
      </c>
      <c r="X758" s="192">
        <f t="shared" si="45"/>
        <v>5.67</v>
      </c>
      <c r="AA758" s="39" t="str">
        <f t="shared" si="43"/>
        <v>S</v>
      </c>
    </row>
    <row r="759" spans="1:27" x14ac:dyDescent="0.2">
      <c r="A759" s="2" t="s">
        <v>310</v>
      </c>
      <c r="B759" s="2" t="s">
        <v>595</v>
      </c>
      <c r="C759" s="2" t="s">
        <v>400</v>
      </c>
      <c r="D759" s="9">
        <v>15</v>
      </c>
      <c r="E759" s="10">
        <v>4.3899999999999997</v>
      </c>
      <c r="F759" s="10">
        <v>6</v>
      </c>
      <c r="G759" s="12">
        <v>3.5979999999999999</v>
      </c>
      <c r="H759" s="12">
        <v>0.32800000000000001</v>
      </c>
      <c r="I759" s="12">
        <v>0.375</v>
      </c>
      <c r="J759" s="44">
        <f t="shared" si="44"/>
        <v>0.375</v>
      </c>
      <c r="K759" s="10">
        <v>4.7973333333333334</v>
      </c>
      <c r="L759" s="9">
        <v>13.384512195121951</v>
      </c>
      <c r="M759" s="9">
        <v>25.26</v>
      </c>
      <c r="N759" s="9">
        <v>9.8326249999999966</v>
      </c>
      <c r="O759" s="9">
        <v>8.42</v>
      </c>
      <c r="P759" s="10">
        <v>2.4</v>
      </c>
      <c r="Q759" s="9">
        <v>2.5</v>
      </c>
      <c r="R759" s="10">
        <v>2.3457359999999969</v>
      </c>
      <c r="S759" s="9">
        <v>1.39</v>
      </c>
      <c r="T759" s="10">
        <v>0.75</v>
      </c>
      <c r="U759" s="10">
        <v>0.24687906989205366</v>
      </c>
      <c r="V759" s="9">
        <v>19.775390625</v>
      </c>
      <c r="W759" s="188">
        <f t="shared" si="46"/>
        <v>0.91381908530358624</v>
      </c>
      <c r="X759" s="192">
        <f t="shared" si="45"/>
        <v>5.625</v>
      </c>
      <c r="AA759" s="39" t="str">
        <f t="shared" si="43"/>
        <v>S</v>
      </c>
    </row>
    <row r="760" spans="1:27" x14ac:dyDescent="0.2">
      <c r="A760" s="2" t="s">
        <v>310</v>
      </c>
      <c r="B760" s="2" t="s">
        <v>596</v>
      </c>
      <c r="C760" s="2" t="s">
        <v>400</v>
      </c>
      <c r="D760" s="2">
        <v>14.75</v>
      </c>
      <c r="E760" s="10">
        <v>4.34</v>
      </c>
      <c r="F760" s="10">
        <v>6</v>
      </c>
      <c r="G760" s="12">
        <v>3.452</v>
      </c>
      <c r="H760" s="12">
        <v>0.35199999999999998</v>
      </c>
      <c r="I760" s="12">
        <v>0.35899999999999999</v>
      </c>
      <c r="J760" s="44">
        <f t="shared" si="44"/>
        <v>0.35899999999999999</v>
      </c>
      <c r="K760" s="10">
        <v>4.8077994428969362</v>
      </c>
      <c r="L760" s="9">
        <v>12.350113636363638</v>
      </c>
      <c r="M760" s="9">
        <v>24</v>
      </c>
      <c r="N760" s="9">
        <v>9.4286731999999969</v>
      </c>
      <c r="O760" s="9">
        <v>8</v>
      </c>
      <c r="P760" s="10">
        <v>2.35</v>
      </c>
      <c r="Q760" s="9">
        <v>2.1</v>
      </c>
      <c r="R760" s="10">
        <v>2.0959768000000008</v>
      </c>
      <c r="S760" s="9">
        <v>1.2</v>
      </c>
      <c r="T760" s="10">
        <v>0.69</v>
      </c>
      <c r="U760" s="10">
        <v>0.24807700036043906</v>
      </c>
      <c r="V760" s="9">
        <v>16.705962525</v>
      </c>
      <c r="W760" s="188">
        <f t="shared" si="46"/>
        <v>0.86045409523111693</v>
      </c>
      <c r="X760" s="192">
        <f t="shared" si="45"/>
        <v>5.641</v>
      </c>
      <c r="AA760" s="39" t="str">
        <f t="shared" si="43"/>
        <v>S</v>
      </c>
    </row>
    <row r="761" spans="1:27" x14ac:dyDescent="0.2">
      <c r="A761" s="2" t="s">
        <v>310</v>
      </c>
      <c r="B761" s="2" t="s">
        <v>597</v>
      </c>
      <c r="C761" s="2" t="s">
        <v>400</v>
      </c>
      <c r="D761" s="9">
        <v>13</v>
      </c>
      <c r="E761" s="10">
        <v>3.8</v>
      </c>
      <c r="F761" s="10">
        <v>6</v>
      </c>
      <c r="G761" s="12">
        <v>3.5</v>
      </c>
      <c r="H761" s="12">
        <v>0.23</v>
      </c>
      <c r="I761" s="12">
        <v>0.375</v>
      </c>
      <c r="J761" s="44">
        <f t="shared" si="44"/>
        <v>0.375</v>
      </c>
      <c r="K761" s="10">
        <v>4.666666666666667</v>
      </c>
      <c r="L761" s="9">
        <v>19.087478260869567</v>
      </c>
      <c r="M761" s="9">
        <v>23.5</v>
      </c>
      <c r="N761" s="9">
        <v>8.9506250000000005</v>
      </c>
      <c r="O761" s="9">
        <v>7.83</v>
      </c>
      <c r="P761" s="10">
        <v>2.48</v>
      </c>
      <c r="Q761" s="9">
        <v>2.27</v>
      </c>
      <c r="R761" s="10">
        <v>2.143537499999999</v>
      </c>
      <c r="S761" s="9">
        <v>1.3</v>
      </c>
      <c r="T761" s="10">
        <v>0.77</v>
      </c>
      <c r="U761" s="10">
        <v>0.18624187153561961</v>
      </c>
      <c r="V761" s="9">
        <v>17.9560546875</v>
      </c>
      <c r="W761" s="188">
        <f t="shared" si="46"/>
        <v>0.90298037809156784</v>
      </c>
      <c r="X761" s="192">
        <f t="shared" si="45"/>
        <v>5.625</v>
      </c>
      <c r="AA761" s="39" t="str">
        <f t="shared" si="43"/>
        <v>S</v>
      </c>
    </row>
    <row r="762" spans="1:27" x14ac:dyDescent="0.2">
      <c r="A762" s="2" t="s">
        <v>310</v>
      </c>
      <c r="B762" s="2" t="s">
        <v>598</v>
      </c>
      <c r="C762" s="2" t="s">
        <v>400</v>
      </c>
      <c r="D762" s="9">
        <v>12</v>
      </c>
      <c r="E762" s="10">
        <v>3.6</v>
      </c>
      <c r="F762" s="10">
        <v>6</v>
      </c>
      <c r="G762" s="12">
        <v>3.38</v>
      </c>
      <c r="H762" s="12">
        <v>0.22</v>
      </c>
      <c r="I762" s="12">
        <v>0.33500000000000002</v>
      </c>
      <c r="J762" s="44">
        <f t="shared" si="44"/>
        <v>0.33500000000000002</v>
      </c>
      <c r="K762" s="10">
        <v>5.044776119402985</v>
      </c>
      <c r="L762" s="9">
        <v>20.348545454545455</v>
      </c>
      <c r="M762" s="9">
        <v>21.7</v>
      </c>
      <c r="N762" s="9">
        <v>7.9653559999999981</v>
      </c>
      <c r="O762" s="9">
        <v>7.25</v>
      </c>
      <c r="P762" s="10">
        <v>2.4700000000000002</v>
      </c>
      <c r="Q762" s="9">
        <v>1.91</v>
      </c>
      <c r="R762" s="10">
        <v>1.8033320000000008</v>
      </c>
      <c r="S762" s="9">
        <v>1.1299999999999999</v>
      </c>
      <c r="T762" s="10">
        <v>0.73</v>
      </c>
      <c r="U762" s="10">
        <v>0.13707180252244652</v>
      </c>
      <c r="V762" s="9">
        <v>15.324037437499999</v>
      </c>
      <c r="W762" s="188">
        <f t="shared" si="46"/>
        <v>0.86383866629094019</v>
      </c>
      <c r="X762" s="192">
        <f t="shared" si="45"/>
        <v>5.665</v>
      </c>
      <c r="AA762" s="39" t="str">
        <f t="shared" si="43"/>
        <v>S</v>
      </c>
    </row>
    <row r="763" spans="1:27" x14ac:dyDescent="0.2">
      <c r="A763" s="2" t="s">
        <v>310</v>
      </c>
      <c r="B763" s="2" t="s">
        <v>599</v>
      </c>
      <c r="C763" s="2" t="s">
        <v>400</v>
      </c>
      <c r="D763" s="2">
        <v>11.6</v>
      </c>
      <c r="E763" s="10">
        <v>3.42</v>
      </c>
      <c r="F763" s="10">
        <v>6</v>
      </c>
      <c r="G763" s="12">
        <v>3.4</v>
      </c>
      <c r="H763" s="12">
        <v>0.22</v>
      </c>
      <c r="I763" s="12">
        <v>0.33</v>
      </c>
      <c r="J763" s="44">
        <f t="shared" si="44"/>
        <v>0.33</v>
      </c>
      <c r="K763" s="10">
        <v>5.1515151515151514</v>
      </c>
      <c r="L763" s="9">
        <v>20.196545454545454</v>
      </c>
      <c r="M763" s="9">
        <v>20.77</v>
      </c>
      <c r="N763" s="9">
        <v>7.9172720000000032</v>
      </c>
      <c r="O763" s="9">
        <v>6.92</v>
      </c>
      <c r="P763" s="10">
        <v>2.46</v>
      </c>
      <c r="Q763" s="9">
        <v>1.85</v>
      </c>
      <c r="R763" s="10">
        <v>1.786619999999999</v>
      </c>
      <c r="S763" s="9">
        <v>1.0900000000000001</v>
      </c>
      <c r="T763" s="10">
        <v>0.73</v>
      </c>
      <c r="U763" s="10">
        <v>0.13638212841006483</v>
      </c>
      <c r="V763" s="9">
        <v>14.86886625</v>
      </c>
      <c r="W763" s="188">
        <f t="shared" si="46"/>
        <v>0.87058132860232118</v>
      </c>
      <c r="X763" s="192">
        <f t="shared" si="45"/>
        <v>5.67</v>
      </c>
      <c r="AA763" s="39" t="str">
        <f t="shared" si="43"/>
        <v>S</v>
      </c>
    </row>
    <row r="764" spans="1:27" x14ac:dyDescent="0.2">
      <c r="A764" s="2" t="s">
        <v>310</v>
      </c>
      <c r="B764" s="2" t="s">
        <v>600</v>
      </c>
      <c r="C764" s="2" t="s">
        <v>400</v>
      </c>
      <c r="D764" s="9">
        <v>16</v>
      </c>
      <c r="E764" s="10">
        <v>4.84</v>
      </c>
      <c r="F764" s="10">
        <v>5</v>
      </c>
      <c r="G764" s="12">
        <v>3.2360000000000002</v>
      </c>
      <c r="H764" s="12">
        <v>0.48599999999999999</v>
      </c>
      <c r="I764" s="12">
        <v>0.43800000000000006</v>
      </c>
      <c r="J764" s="44">
        <f t="shared" si="44"/>
        <v>0.43800000000000006</v>
      </c>
      <c r="K764" s="10">
        <v>3.6940639269406392</v>
      </c>
      <c r="L764" s="9">
        <v>6.8539094650205756</v>
      </c>
      <c r="M764" s="9">
        <v>17.57</v>
      </c>
      <c r="N764" s="9">
        <v>8.5181060833333362</v>
      </c>
      <c r="O764" s="9">
        <v>7.03</v>
      </c>
      <c r="P764" s="10">
        <v>1.91</v>
      </c>
      <c r="Q764" s="9">
        <v>2.2200000000000002</v>
      </c>
      <c r="R764" s="10">
        <v>2.3792674166666665</v>
      </c>
      <c r="S764" s="9">
        <v>1.37</v>
      </c>
      <c r="T764" s="10">
        <v>0.68</v>
      </c>
      <c r="U764" s="10">
        <v>0.43021005627815606</v>
      </c>
      <c r="V764" s="9">
        <v>11.550573420000003</v>
      </c>
      <c r="W764" s="188">
        <f t="shared" si="46"/>
        <v>0.84871419775663248</v>
      </c>
      <c r="X764" s="192">
        <f t="shared" si="45"/>
        <v>4.5620000000000003</v>
      </c>
      <c r="AA764" s="39" t="str">
        <f t="shared" si="43"/>
        <v>S</v>
      </c>
    </row>
    <row r="765" spans="1:27" x14ac:dyDescent="0.2">
      <c r="A765" s="2" t="s">
        <v>310</v>
      </c>
      <c r="B765" s="2" t="s">
        <v>601</v>
      </c>
      <c r="C765" s="2" t="s">
        <v>400</v>
      </c>
      <c r="D765" s="9">
        <v>15</v>
      </c>
      <c r="E765" s="10">
        <v>4.4800000000000004</v>
      </c>
      <c r="F765" s="10">
        <v>5</v>
      </c>
      <c r="G765" s="12">
        <v>3.2949999999999999</v>
      </c>
      <c r="H765" s="12">
        <v>0.51500000000000001</v>
      </c>
      <c r="I765" s="12">
        <v>0.33500000000000002</v>
      </c>
      <c r="J765" s="44">
        <f t="shared" si="44"/>
        <v>0.33500000000000002</v>
      </c>
      <c r="K765" s="10">
        <v>4.9179104477611935</v>
      </c>
      <c r="L765" s="9">
        <v>6.9456310679611644</v>
      </c>
      <c r="M765" s="9">
        <v>15.47</v>
      </c>
      <c r="N765" s="9">
        <v>7.5530480000000013</v>
      </c>
      <c r="O765" s="9">
        <v>6.19</v>
      </c>
      <c r="P765" s="10">
        <v>1.86</v>
      </c>
      <c r="Q765" s="9">
        <v>1.8</v>
      </c>
      <c r="R765" s="10">
        <v>1.9704107499999992</v>
      </c>
      <c r="S765" s="9">
        <v>1.0900000000000001</v>
      </c>
      <c r="T765" s="10">
        <v>0.63</v>
      </c>
      <c r="U765" s="10">
        <v>0.34438688056362349</v>
      </c>
      <c r="V765" s="9">
        <v>9.7930012500000014</v>
      </c>
      <c r="W765" s="188">
        <f t="shared" si="46"/>
        <v>0.8235723438124487</v>
      </c>
      <c r="X765" s="192">
        <f t="shared" si="45"/>
        <v>4.665</v>
      </c>
      <c r="AA765" s="39" t="str">
        <f t="shared" si="43"/>
        <v>S</v>
      </c>
    </row>
    <row r="766" spans="1:27" x14ac:dyDescent="0.2">
      <c r="A766" s="2" t="s">
        <v>310</v>
      </c>
      <c r="B766" s="2" t="s">
        <v>602</v>
      </c>
      <c r="C766" s="2" t="s">
        <v>400</v>
      </c>
      <c r="D766" s="9">
        <v>14</v>
      </c>
      <c r="E766" s="10">
        <v>4.18</v>
      </c>
      <c r="F766" s="10">
        <v>5</v>
      </c>
      <c r="G766" s="12">
        <v>3.2360000000000002</v>
      </c>
      <c r="H766" s="12">
        <v>0.45600000000000002</v>
      </c>
      <c r="I766" s="12">
        <v>0.33500000000000002</v>
      </c>
      <c r="J766" s="44">
        <f t="shared" si="44"/>
        <v>0.33500000000000002</v>
      </c>
      <c r="K766" s="10">
        <v>4.8298507462686571</v>
      </c>
      <c r="L766" s="9">
        <v>7.8442982456140351</v>
      </c>
      <c r="M766" s="9">
        <v>14.86</v>
      </c>
      <c r="N766" s="9">
        <v>7.184298000000001</v>
      </c>
      <c r="O766" s="9">
        <v>5.94</v>
      </c>
      <c r="P766" s="10">
        <v>1.88</v>
      </c>
      <c r="Q766" s="9">
        <v>1.68</v>
      </c>
      <c r="R766" s="10">
        <v>1.8438528000000003</v>
      </c>
      <c r="S766" s="9">
        <v>1.04</v>
      </c>
      <c r="T766" s="10">
        <v>0.63</v>
      </c>
      <c r="U766" s="10">
        <v>0.27404802896543667</v>
      </c>
      <c r="V766" s="10">
        <v>9.1401345000000003</v>
      </c>
      <c r="W766" s="188">
        <f t="shared" si="46"/>
        <v>0.81221731679210685</v>
      </c>
      <c r="X766" s="192">
        <f t="shared" si="45"/>
        <v>4.665</v>
      </c>
      <c r="AA766" s="39" t="str">
        <f t="shared" si="43"/>
        <v>S</v>
      </c>
    </row>
    <row r="767" spans="1:27" x14ac:dyDescent="0.2">
      <c r="A767" s="2" t="s">
        <v>310</v>
      </c>
      <c r="B767" s="2" t="s">
        <v>603</v>
      </c>
      <c r="C767" s="2" t="s">
        <v>400</v>
      </c>
      <c r="D767" s="9">
        <v>13</v>
      </c>
      <c r="E767" s="10">
        <v>3.8</v>
      </c>
      <c r="F767" s="10">
        <v>5</v>
      </c>
      <c r="G767" s="12">
        <v>3.13</v>
      </c>
      <c r="H767" s="12">
        <v>0.26</v>
      </c>
      <c r="I767" s="12">
        <v>0.435</v>
      </c>
      <c r="J767" s="44">
        <f t="shared" si="44"/>
        <v>0.435</v>
      </c>
      <c r="K767" s="10">
        <v>3.5977011494252866</v>
      </c>
      <c r="L767" s="9">
        <v>12.988461538461538</v>
      </c>
      <c r="M767" s="9">
        <v>15.7</v>
      </c>
      <c r="N767" s="9">
        <v>7.3136270000000003</v>
      </c>
      <c r="O767" s="9">
        <v>6.28</v>
      </c>
      <c r="P767" s="10">
        <v>2.0299999999999998</v>
      </c>
      <c r="Q767" s="9">
        <v>1.99</v>
      </c>
      <c r="R767" s="10">
        <v>2.0564770000000019</v>
      </c>
      <c r="S767" s="9">
        <v>1.27</v>
      </c>
      <c r="T767" s="10">
        <v>0.72</v>
      </c>
      <c r="U767" s="10">
        <v>0.23465940735479809</v>
      </c>
      <c r="V767" s="9">
        <v>10.367514437499997</v>
      </c>
      <c r="W767" s="188">
        <f t="shared" si="46"/>
        <v>0.85045650910869641</v>
      </c>
      <c r="X767" s="192">
        <f t="shared" si="45"/>
        <v>4.5650000000000004</v>
      </c>
      <c r="AA767" s="39" t="str">
        <f t="shared" si="43"/>
        <v>S</v>
      </c>
    </row>
    <row r="768" spans="1:27" x14ac:dyDescent="0.2">
      <c r="A768" s="2" t="s">
        <v>310</v>
      </c>
      <c r="B768" s="2" t="s">
        <v>604</v>
      </c>
      <c r="C768" s="2" t="s">
        <v>400</v>
      </c>
      <c r="D768" s="9">
        <v>12</v>
      </c>
      <c r="E768" s="10">
        <v>3.6</v>
      </c>
      <c r="F768" s="10">
        <v>5</v>
      </c>
      <c r="G768" s="12">
        <v>3.1179999999999999</v>
      </c>
      <c r="H768" s="12">
        <v>0.33800000000000002</v>
      </c>
      <c r="I768" s="12">
        <v>0.33500000000000002</v>
      </c>
      <c r="J768" s="44">
        <f t="shared" si="44"/>
        <v>0.33500000000000002</v>
      </c>
      <c r="K768" s="10">
        <v>4.6537313432835816</v>
      </c>
      <c r="L768" s="9">
        <v>10.582840236686391</v>
      </c>
      <c r="M768" s="9">
        <v>13.63</v>
      </c>
      <c r="N768" s="9">
        <v>6.446798000000002</v>
      </c>
      <c r="O768" s="9">
        <v>5.45</v>
      </c>
      <c r="P768" s="10">
        <v>1.95</v>
      </c>
      <c r="Q768" s="9">
        <v>1.48</v>
      </c>
      <c r="R768" s="10">
        <v>1.6168443999999988</v>
      </c>
      <c r="S768" s="9">
        <v>0.95</v>
      </c>
      <c r="T768" s="10">
        <v>0.64</v>
      </c>
      <c r="U768" s="10">
        <v>0.17365253599180358</v>
      </c>
      <c r="V768" s="10">
        <v>8.0520232499999995</v>
      </c>
      <c r="W768" s="188">
        <f t="shared" si="46"/>
        <v>0.79587237923972287</v>
      </c>
      <c r="X768" s="192">
        <f t="shared" si="45"/>
        <v>4.665</v>
      </c>
      <c r="AA768" s="39" t="str">
        <f t="shared" si="43"/>
        <v>S</v>
      </c>
    </row>
    <row r="769" spans="1:31" x14ac:dyDescent="0.2">
      <c r="A769" s="2" t="s">
        <v>310</v>
      </c>
      <c r="B769" s="2" t="s">
        <v>605</v>
      </c>
      <c r="C769" s="2" t="s">
        <v>400</v>
      </c>
      <c r="D769" s="2">
        <v>9.1</v>
      </c>
      <c r="E769" s="10">
        <v>2.68</v>
      </c>
      <c r="F769" s="10">
        <v>5</v>
      </c>
      <c r="G769" s="12">
        <v>3</v>
      </c>
      <c r="H769" s="12">
        <v>0.2</v>
      </c>
      <c r="I769" s="12">
        <v>0.3</v>
      </c>
      <c r="J769" s="44">
        <f t="shared" si="44"/>
        <v>0.3</v>
      </c>
      <c r="K769" s="10">
        <v>5</v>
      </c>
      <c r="L769" s="9">
        <v>17.867000000000001</v>
      </c>
      <c r="M769" s="9">
        <v>11.34</v>
      </c>
      <c r="N769" s="9">
        <v>5.1886666666666708</v>
      </c>
      <c r="O769" s="9">
        <v>4.8899999999999997</v>
      </c>
      <c r="P769" s="10">
        <v>2.06</v>
      </c>
      <c r="Q769" s="9">
        <v>1.1200000000000001</v>
      </c>
      <c r="R769" s="10">
        <v>1.263333333333333</v>
      </c>
      <c r="S769" s="9">
        <v>0.75</v>
      </c>
      <c r="T769" s="10">
        <v>0.65</v>
      </c>
      <c r="U769" s="10">
        <v>8.9767708054592318E-2</v>
      </c>
      <c r="V769" s="10">
        <v>6.1852000000000018</v>
      </c>
      <c r="W769" s="188">
        <f t="shared" si="46"/>
        <v>0.73364930913445026</v>
      </c>
      <c r="X769" s="192">
        <f t="shared" si="45"/>
        <v>4.7</v>
      </c>
      <c r="AA769" s="39" t="str">
        <f t="shared" si="43"/>
        <v>S</v>
      </c>
    </row>
    <row r="770" spans="1:31" x14ac:dyDescent="0.2">
      <c r="A770" s="2" t="s">
        <v>310</v>
      </c>
      <c r="B770" s="2" t="s">
        <v>606</v>
      </c>
      <c r="C770" s="2" t="s">
        <v>400</v>
      </c>
      <c r="D770" s="9">
        <v>13</v>
      </c>
      <c r="E770" s="10">
        <v>3.79</v>
      </c>
      <c r="F770" s="10">
        <v>4</v>
      </c>
      <c r="G770" s="12">
        <v>2.972</v>
      </c>
      <c r="H770" s="12">
        <v>0.46200000000000002</v>
      </c>
      <c r="I770" s="12">
        <v>0.39500000000000002</v>
      </c>
      <c r="J770" s="44">
        <f t="shared" si="44"/>
        <v>0.39500000000000002</v>
      </c>
      <c r="K770" s="10">
        <v>3.7620253164556958</v>
      </c>
      <c r="L770" s="9">
        <v>5.4700432900432894</v>
      </c>
      <c r="M770" s="9">
        <v>8.8800000000000008</v>
      </c>
      <c r="N770" s="9">
        <v>5.4146263333333344</v>
      </c>
      <c r="O770" s="9">
        <v>4.4400000000000004</v>
      </c>
      <c r="P770" s="10">
        <v>1.53</v>
      </c>
      <c r="Q770" s="9">
        <v>1.59</v>
      </c>
      <c r="R770" s="12">
        <v>1.8160120666666679</v>
      </c>
      <c r="S770" s="9">
        <v>1.07</v>
      </c>
      <c r="T770" s="10">
        <v>0.65</v>
      </c>
      <c r="U770" s="10">
        <v>0.28716593406044244</v>
      </c>
      <c r="V770" s="10">
        <v>5.1659199375</v>
      </c>
      <c r="W770" s="188">
        <f t="shared" si="46"/>
        <v>0.80342383887016</v>
      </c>
      <c r="X770" s="192">
        <f t="shared" si="45"/>
        <v>3.605</v>
      </c>
      <c r="AA770" s="39" t="str">
        <f t="shared" si="43"/>
        <v>S</v>
      </c>
    </row>
    <row r="771" spans="1:31" x14ac:dyDescent="0.2">
      <c r="A771" s="2" t="s">
        <v>310</v>
      </c>
      <c r="B771" s="2" t="s">
        <v>607</v>
      </c>
      <c r="C771" s="2" t="s">
        <v>400</v>
      </c>
      <c r="D771" s="2">
        <v>11.3</v>
      </c>
      <c r="E771" s="10">
        <v>3.33</v>
      </c>
      <c r="F771" s="10">
        <v>4</v>
      </c>
      <c r="G771" s="12">
        <v>2.82</v>
      </c>
      <c r="H771" s="12">
        <v>0.44</v>
      </c>
      <c r="I771" s="12">
        <v>0.33</v>
      </c>
      <c r="J771" s="44">
        <f t="shared" si="44"/>
        <v>0.33</v>
      </c>
      <c r="K771" s="10">
        <v>4.2727272727272734</v>
      </c>
      <c r="L771" s="9">
        <v>5.7577272727272737</v>
      </c>
      <c r="M771" s="9">
        <v>7.6</v>
      </c>
      <c r="N771" s="9">
        <v>4.6359919999999999</v>
      </c>
      <c r="O771" s="9">
        <v>3.8</v>
      </c>
      <c r="P771" s="10">
        <v>1.51</v>
      </c>
      <c r="Q771" s="9">
        <v>0.92</v>
      </c>
      <c r="R771" s="12">
        <v>1.388836</v>
      </c>
      <c r="S771" s="9">
        <v>0.65</v>
      </c>
      <c r="T771" s="10">
        <v>0.52</v>
      </c>
      <c r="U771" s="10">
        <v>0.21540333253146232</v>
      </c>
      <c r="V771" s="10">
        <v>3.0978470000000002</v>
      </c>
      <c r="W771" s="188">
        <f t="shared" si="46"/>
        <v>0.66653068788671455</v>
      </c>
      <c r="X771" s="192">
        <f t="shared" si="45"/>
        <v>3.67</v>
      </c>
      <c r="AA771" s="39" t="str">
        <f t="shared" si="43"/>
        <v>S</v>
      </c>
    </row>
    <row r="772" spans="1:31" x14ac:dyDescent="0.2">
      <c r="A772" s="2" t="s">
        <v>310</v>
      </c>
      <c r="B772" s="2" t="s">
        <v>608</v>
      </c>
      <c r="C772" s="2" t="s">
        <v>400</v>
      </c>
      <c r="D772" s="9">
        <v>10</v>
      </c>
      <c r="E772" s="10">
        <v>2.99</v>
      </c>
      <c r="F772" s="10">
        <v>4</v>
      </c>
      <c r="G772" s="12">
        <v>2.81</v>
      </c>
      <c r="H772" s="12">
        <v>0.39</v>
      </c>
      <c r="I772" s="12">
        <v>0.28999999999999998</v>
      </c>
      <c r="J772" s="44">
        <f t="shared" si="44"/>
        <v>0.28999999999999998</v>
      </c>
      <c r="K772" s="10">
        <v>4.8448275862068959</v>
      </c>
      <c r="L772" s="9">
        <v>7.0439999999999996</v>
      </c>
      <c r="M772" s="9">
        <v>6.88</v>
      </c>
      <c r="N772" s="9">
        <v>4.1571439999999997</v>
      </c>
      <c r="O772" s="9">
        <v>3.44</v>
      </c>
      <c r="P772" s="10">
        <v>1.52</v>
      </c>
      <c r="Q772" s="9">
        <v>0.96</v>
      </c>
      <c r="R772" s="12">
        <v>1.1871339999999999</v>
      </c>
      <c r="S772" s="9">
        <v>0.68</v>
      </c>
      <c r="T772" s="10">
        <v>0.56999999999999995</v>
      </c>
      <c r="U772" s="10">
        <v>0.14462693547553332</v>
      </c>
      <c r="V772" s="10">
        <v>3.3033839999999999</v>
      </c>
      <c r="W772" s="188">
        <f t="shared" si="46"/>
        <v>0.71949594759432189</v>
      </c>
      <c r="X772" s="192">
        <f t="shared" si="45"/>
        <v>3.71</v>
      </c>
      <c r="AA772" s="39" t="str">
        <f t="shared" si="43"/>
        <v>S</v>
      </c>
    </row>
    <row r="773" spans="1:31" x14ac:dyDescent="0.2">
      <c r="A773" s="2" t="s">
        <v>310</v>
      </c>
      <c r="B773" s="2" t="s">
        <v>609</v>
      </c>
      <c r="C773" s="2" t="s">
        <v>400</v>
      </c>
      <c r="D773" s="9">
        <v>9</v>
      </c>
      <c r="E773" s="10">
        <v>2.64</v>
      </c>
      <c r="F773" s="10">
        <v>4</v>
      </c>
      <c r="G773" s="12">
        <v>2.7360000000000002</v>
      </c>
      <c r="H773" s="12">
        <v>0.311</v>
      </c>
      <c r="I773" s="12">
        <v>0.28999999999999998</v>
      </c>
      <c r="J773" s="44">
        <f t="shared" si="44"/>
        <v>0.28999999999999998</v>
      </c>
      <c r="K773" s="10">
        <v>4.7172413793103445</v>
      </c>
      <c r="L773" s="9">
        <v>8.8333118971061086</v>
      </c>
      <c r="M773" s="9">
        <v>6.49</v>
      </c>
      <c r="N773" s="9">
        <v>3.8465099999999999</v>
      </c>
      <c r="O773" s="9">
        <v>3.25</v>
      </c>
      <c r="P773" s="10">
        <v>1.57</v>
      </c>
      <c r="Q773" s="9">
        <v>0.87</v>
      </c>
      <c r="R773" s="12">
        <v>1.0799129999999999</v>
      </c>
      <c r="S773" s="9">
        <v>0.64</v>
      </c>
      <c r="T773" s="10">
        <v>0.57999999999999996</v>
      </c>
      <c r="U773" s="10">
        <v>0.10289583028190787</v>
      </c>
      <c r="V773" s="10">
        <v>2.99369175</v>
      </c>
      <c r="W773" s="188">
        <f t="shared" si="46"/>
        <v>0.70467668527433969</v>
      </c>
      <c r="X773" s="192">
        <f t="shared" si="45"/>
        <v>3.71</v>
      </c>
      <c r="AA773" s="39" t="str">
        <f t="shared" ref="AA773:AA836" si="47">A773</f>
        <v>S</v>
      </c>
    </row>
    <row r="774" spans="1:31" x14ac:dyDescent="0.2">
      <c r="A774" s="2" t="s">
        <v>310</v>
      </c>
      <c r="B774" s="2" t="s">
        <v>610</v>
      </c>
      <c r="C774" s="2" t="s">
        <v>400</v>
      </c>
      <c r="D774" s="9">
        <v>8</v>
      </c>
      <c r="E774" s="10">
        <v>2.39</v>
      </c>
      <c r="F774" s="10">
        <v>4</v>
      </c>
      <c r="G774" s="12">
        <v>2.3279999999999998</v>
      </c>
      <c r="H774" s="12">
        <v>0.32800000000000001</v>
      </c>
      <c r="I774" s="12">
        <v>0.26</v>
      </c>
      <c r="J774" s="44">
        <f t="shared" si="44"/>
        <v>0.26</v>
      </c>
      <c r="K774" s="10">
        <v>4.4769230769230761</v>
      </c>
      <c r="L774" s="9">
        <v>8.2225609756097562</v>
      </c>
      <c r="M774" s="9">
        <v>5.39</v>
      </c>
      <c r="N774" s="9">
        <v>3.2472000000000012</v>
      </c>
      <c r="O774" s="9">
        <v>2.7</v>
      </c>
      <c r="P774" s="10">
        <v>1.5</v>
      </c>
      <c r="Q774" s="9">
        <v>0.45</v>
      </c>
      <c r="R774" s="12">
        <v>0.71814400000000067</v>
      </c>
      <c r="S774" s="9">
        <v>0.39</v>
      </c>
      <c r="T774" s="10">
        <v>0.43</v>
      </c>
      <c r="U774" s="10">
        <v>9.356164346609025E-2</v>
      </c>
      <c r="V774" s="10">
        <v>1.5736050000000004</v>
      </c>
      <c r="W774" s="188">
        <f t="shared" si="46"/>
        <v>0.55827114081480755</v>
      </c>
      <c r="X774" s="192">
        <f t="shared" si="45"/>
        <v>3.74</v>
      </c>
      <c r="AA774" s="39" t="str">
        <f t="shared" si="47"/>
        <v>S</v>
      </c>
    </row>
    <row r="775" spans="1:31" x14ac:dyDescent="0.2">
      <c r="A775" s="2" t="s">
        <v>310</v>
      </c>
      <c r="B775" s="2" t="s">
        <v>611</v>
      </c>
      <c r="C775" s="2" t="s">
        <v>400</v>
      </c>
      <c r="D775" s="9">
        <v>7</v>
      </c>
      <c r="E775" s="10">
        <v>2.1</v>
      </c>
      <c r="F775" s="10">
        <v>4</v>
      </c>
      <c r="G775" s="12">
        <v>2.59</v>
      </c>
      <c r="H775" s="12">
        <v>0.17</v>
      </c>
      <c r="I775" s="12">
        <v>0.28999999999999998</v>
      </c>
      <c r="J775" s="44">
        <f t="shared" si="44"/>
        <v>0.28999999999999998</v>
      </c>
      <c r="K775" s="10">
        <v>4.4655172413793096</v>
      </c>
      <c r="L775" s="9">
        <v>16.159764705882353</v>
      </c>
      <c r="M775" s="9">
        <v>5.7</v>
      </c>
      <c r="N775" s="9">
        <v>3.2771439999999989</v>
      </c>
      <c r="O775" s="9">
        <v>2.85</v>
      </c>
      <c r="P775" s="10">
        <v>1.66</v>
      </c>
      <c r="Q775" s="9">
        <v>0.72</v>
      </c>
      <c r="R775" s="12">
        <v>0.90953799999999974</v>
      </c>
      <c r="S775" s="9">
        <v>0.56000000000000005</v>
      </c>
      <c r="T775" s="10">
        <v>0.59</v>
      </c>
      <c r="U775" s="10">
        <v>6.077177959936441E-2</v>
      </c>
      <c r="V775" s="10">
        <v>2.4775379999999996</v>
      </c>
      <c r="W775" s="188">
        <f t="shared" si="46"/>
        <v>0.68456670890963456</v>
      </c>
      <c r="X775" s="192">
        <f t="shared" si="45"/>
        <v>3.71</v>
      </c>
      <c r="AA775" s="39" t="str">
        <f t="shared" si="47"/>
        <v>S</v>
      </c>
    </row>
    <row r="776" spans="1:31" x14ac:dyDescent="0.2">
      <c r="A776" s="2" t="s">
        <v>310</v>
      </c>
      <c r="B776" s="2" t="s">
        <v>612</v>
      </c>
      <c r="C776" s="2" t="s">
        <v>400</v>
      </c>
      <c r="D776" s="9">
        <v>6</v>
      </c>
      <c r="E776" s="10">
        <v>1.8</v>
      </c>
      <c r="F776" s="10">
        <v>4</v>
      </c>
      <c r="G776" s="12">
        <v>2.19</v>
      </c>
      <c r="H776" s="12">
        <v>0.18</v>
      </c>
      <c r="I776" s="12">
        <v>0.26</v>
      </c>
      <c r="J776" s="44">
        <f t="shared" si="44"/>
        <v>0.26</v>
      </c>
      <c r="K776" s="10">
        <v>4.2115384615384617</v>
      </c>
      <c r="L776" s="9">
        <v>15.316666666666665</v>
      </c>
      <c r="M776" s="9">
        <v>4.59</v>
      </c>
      <c r="N776" s="9">
        <v>2.6690969999999994</v>
      </c>
      <c r="O776" s="9">
        <v>2.2999999999999998</v>
      </c>
      <c r="P776" s="10">
        <v>1.61</v>
      </c>
      <c r="Q776" s="9">
        <v>0.38</v>
      </c>
      <c r="R776" s="12">
        <v>0.59107949999999931</v>
      </c>
      <c r="S776" s="9">
        <v>0.35</v>
      </c>
      <c r="T776" s="10">
        <v>0.47</v>
      </c>
      <c r="U776" s="10">
        <v>4.4192099189428E-2</v>
      </c>
      <c r="V776" s="10">
        <v>1.3288220000000002</v>
      </c>
      <c r="W776" s="188">
        <f t="shared" si="46"/>
        <v>0.55583857525286107</v>
      </c>
      <c r="X776" s="192">
        <f t="shared" si="45"/>
        <v>3.74</v>
      </c>
      <c r="AA776" s="39" t="str">
        <f t="shared" si="47"/>
        <v>S</v>
      </c>
    </row>
    <row r="777" spans="1:31" x14ac:dyDescent="0.2">
      <c r="A777" s="2" t="s">
        <v>310</v>
      </c>
      <c r="B777" s="2" t="s">
        <v>613</v>
      </c>
      <c r="C777" s="2" t="s">
        <v>400</v>
      </c>
      <c r="D777" s="9">
        <v>6</v>
      </c>
      <c r="E777" s="10">
        <v>1.77</v>
      </c>
      <c r="F777" s="10">
        <v>3.5</v>
      </c>
      <c r="G777" s="12">
        <v>2.33</v>
      </c>
      <c r="H777" s="12">
        <v>0.17</v>
      </c>
      <c r="I777" s="12">
        <v>0.26</v>
      </c>
      <c r="J777" s="44">
        <f t="shared" si="44"/>
        <v>0.26</v>
      </c>
      <c r="K777" s="10">
        <v>4.4807692307692308</v>
      </c>
      <c r="L777" s="9">
        <v>13.079764705882353</v>
      </c>
      <c r="M777" s="9">
        <v>3.6</v>
      </c>
      <c r="N777" s="9">
        <v>2.3343769999999986</v>
      </c>
      <c r="O777" s="9">
        <v>2.1</v>
      </c>
      <c r="P777" s="10">
        <v>1.43</v>
      </c>
      <c r="Q777" s="9">
        <v>0.45</v>
      </c>
      <c r="R777" s="12">
        <v>0.65730349999999982</v>
      </c>
      <c r="S777" s="9">
        <v>0.39</v>
      </c>
      <c r="T777" s="10">
        <v>0.51</v>
      </c>
      <c r="U777" s="10">
        <v>4.5001200724392204E-2</v>
      </c>
      <c r="V777" s="10">
        <v>1.1809800000000004</v>
      </c>
      <c r="W777" s="188">
        <f t="shared" si="46"/>
        <v>0.58918830363717944</v>
      </c>
      <c r="X777" s="192">
        <f t="shared" si="45"/>
        <v>3.24</v>
      </c>
      <c r="AA777" s="39" t="str">
        <f t="shared" si="47"/>
        <v>S</v>
      </c>
    </row>
    <row r="778" spans="1:31" x14ac:dyDescent="0.2">
      <c r="A778" s="2" t="s">
        <v>310</v>
      </c>
      <c r="B778" s="2" t="s">
        <v>614</v>
      </c>
      <c r="C778" s="2" t="s">
        <v>400</v>
      </c>
      <c r="D778" s="9">
        <v>9</v>
      </c>
      <c r="E778" s="10">
        <v>2.6</v>
      </c>
      <c r="F778" s="10">
        <v>3</v>
      </c>
      <c r="G778" s="12">
        <v>2.52</v>
      </c>
      <c r="H778" s="12">
        <v>0.39</v>
      </c>
      <c r="I778" s="12">
        <v>0.35950000000000004</v>
      </c>
      <c r="J778" s="44">
        <f t="shared" si="44"/>
        <v>0.35950000000000004</v>
      </c>
      <c r="K778" s="10">
        <v>3.5048678720445059</v>
      </c>
      <c r="L778" s="9">
        <v>3.8948717948717944</v>
      </c>
      <c r="M778" s="9">
        <v>3.55</v>
      </c>
      <c r="N778" s="9">
        <v>2.89091019</v>
      </c>
      <c r="O778" s="9">
        <v>2.37</v>
      </c>
      <c r="P778" s="10">
        <v>1.17</v>
      </c>
      <c r="Q778" s="9">
        <v>0.85</v>
      </c>
      <c r="R778" s="12">
        <v>1.1454210000000002</v>
      </c>
      <c r="S778" s="9">
        <v>0.67</v>
      </c>
      <c r="T778" s="10">
        <v>0.56999999999999995</v>
      </c>
      <c r="U778" s="10">
        <v>0.16765825415922428</v>
      </c>
      <c r="V778" s="10">
        <v>1.4816010531249999</v>
      </c>
      <c r="W778" s="188">
        <f t="shared" si="46"/>
        <v>0.68811872810311203</v>
      </c>
      <c r="X778" s="192">
        <f t="shared" si="45"/>
        <v>2.6404999999999998</v>
      </c>
      <c r="AA778" s="39" t="str">
        <f t="shared" si="47"/>
        <v>S</v>
      </c>
    </row>
    <row r="779" spans="1:31" x14ac:dyDescent="0.2">
      <c r="A779" s="2" t="s">
        <v>310</v>
      </c>
      <c r="B779" s="2" t="s">
        <v>615</v>
      </c>
      <c r="C779" s="2" t="s">
        <v>400</v>
      </c>
      <c r="D779" s="9">
        <v>7</v>
      </c>
      <c r="E779" s="10">
        <v>2</v>
      </c>
      <c r="F779" s="10">
        <v>3</v>
      </c>
      <c r="G779" s="12">
        <v>2.3199999999999998</v>
      </c>
      <c r="H779" s="12">
        <v>0.19</v>
      </c>
      <c r="I779" s="12">
        <v>0.35950000000000004</v>
      </c>
      <c r="J779" s="44">
        <f t="shared" si="44"/>
        <v>0.35950000000000004</v>
      </c>
      <c r="K779" s="10">
        <v>3.2267037552155764</v>
      </c>
      <c r="L779" s="9">
        <v>7.9947368421052625</v>
      </c>
      <c r="M779" s="9">
        <v>3.1</v>
      </c>
      <c r="N779" s="9">
        <v>2.4409101899999999</v>
      </c>
      <c r="O779" s="9">
        <v>2.1</v>
      </c>
      <c r="P779" s="10">
        <v>1.24</v>
      </c>
      <c r="Q779" s="9">
        <v>0.65</v>
      </c>
      <c r="R779" s="12">
        <v>0.90527399999999991</v>
      </c>
      <c r="S779" s="9">
        <v>0.56000000000000005</v>
      </c>
      <c r="T779" s="10">
        <v>0.56000000000000005</v>
      </c>
      <c r="U779" s="10">
        <v>9.5474816780758795E-2</v>
      </c>
      <c r="V779" s="10">
        <v>1.1329890406250001</v>
      </c>
      <c r="W779" s="188">
        <f t="shared" si="46"/>
        <v>0.63925645051404023</v>
      </c>
      <c r="X779" s="192">
        <f t="shared" si="45"/>
        <v>2.6404999999999998</v>
      </c>
      <c r="AA779" s="39" t="str">
        <f t="shared" si="47"/>
        <v>S</v>
      </c>
    </row>
    <row r="780" spans="1:31" x14ac:dyDescent="0.2">
      <c r="A780" s="2" t="s">
        <v>310</v>
      </c>
      <c r="B780" s="2" t="s">
        <v>616</v>
      </c>
      <c r="C780" s="2" t="s">
        <v>400</v>
      </c>
      <c r="D780" s="9">
        <v>6</v>
      </c>
      <c r="E780" s="10">
        <v>1.8</v>
      </c>
      <c r="F780" s="10">
        <v>3</v>
      </c>
      <c r="G780" s="12">
        <v>2.2599999999999998</v>
      </c>
      <c r="H780" s="12">
        <v>0.2</v>
      </c>
      <c r="I780" s="12">
        <v>0.28499999999999998</v>
      </c>
      <c r="J780" s="44">
        <f t="shared" si="44"/>
        <v>0.28499999999999998</v>
      </c>
      <c r="K780" s="10">
        <v>3.9649122807017534</v>
      </c>
      <c r="L780" s="9">
        <v>8.4849999999999994</v>
      </c>
      <c r="M780" s="9">
        <v>2.6</v>
      </c>
      <c r="N780" s="9">
        <v>2.0377793333333325</v>
      </c>
      <c r="O780" s="9">
        <v>1.74</v>
      </c>
      <c r="P780" s="10">
        <v>1.21</v>
      </c>
      <c r="Q780" s="9">
        <v>0.47</v>
      </c>
      <c r="R780" s="12">
        <v>0.6849426666666667</v>
      </c>
      <c r="S780" s="9">
        <v>0.42</v>
      </c>
      <c r="T780" s="10">
        <v>0.51</v>
      </c>
      <c r="U780" s="10">
        <v>5.625095578012676E-2</v>
      </c>
      <c r="V780" s="10">
        <v>0.8661189374999998</v>
      </c>
      <c r="W780" s="188">
        <f t="shared" si="46"/>
        <v>0.6055419345369556</v>
      </c>
      <c r="X780" s="192">
        <f t="shared" si="45"/>
        <v>2.7149999999999999</v>
      </c>
      <c r="AA780" s="39" t="str">
        <f t="shared" si="47"/>
        <v>S</v>
      </c>
    </row>
    <row r="781" spans="1:31" x14ac:dyDescent="0.2">
      <c r="A781" s="2" t="s">
        <v>310</v>
      </c>
      <c r="B781" s="2" t="s">
        <v>617</v>
      </c>
      <c r="C781" s="2" t="s">
        <v>400</v>
      </c>
      <c r="D781" s="2">
        <v>5.5</v>
      </c>
      <c r="E781" s="10">
        <v>1.62</v>
      </c>
      <c r="F781" s="10">
        <v>3</v>
      </c>
      <c r="G781" s="12">
        <v>2.33</v>
      </c>
      <c r="H781" s="12">
        <v>0.17</v>
      </c>
      <c r="I781" s="12">
        <v>0.26</v>
      </c>
      <c r="J781" s="44">
        <f t="shared" si="44"/>
        <v>0.26</v>
      </c>
      <c r="K781" s="10">
        <v>4.4807692307692308</v>
      </c>
      <c r="L781" s="9">
        <v>10.138588235294115</v>
      </c>
      <c r="M781" s="9">
        <v>2.5</v>
      </c>
      <c r="N781" s="9">
        <v>1.9154519999999993</v>
      </c>
      <c r="O781" s="9">
        <v>1.7</v>
      </c>
      <c r="P781" s="10">
        <v>1.23</v>
      </c>
      <c r="Q781" s="9">
        <v>0.46</v>
      </c>
      <c r="R781" s="12">
        <v>0.65369100000000024</v>
      </c>
      <c r="S781" s="9">
        <v>0.4</v>
      </c>
      <c r="T781" s="10">
        <v>0.53</v>
      </c>
      <c r="U781" s="10">
        <v>4.4182367391058866E-2</v>
      </c>
      <c r="V781" s="10">
        <v>0.8633740000000002</v>
      </c>
      <c r="W781" s="188">
        <f t="shared" si="46"/>
        <v>0.60885620827330089</v>
      </c>
      <c r="X781" s="192">
        <f t="shared" si="45"/>
        <v>2.74</v>
      </c>
      <c r="AA781" s="39" t="str">
        <f t="shared" si="47"/>
        <v>S</v>
      </c>
    </row>
    <row r="782" spans="1:31" x14ac:dyDescent="0.2">
      <c r="A782" s="2" t="s">
        <v>310</v>
      </c>
      <c r="B782" s="2" t="s">
        <v>836</v>
      </c>
      <c r="C782" s="2" t="s">
        <v>400</v>
      </c>
      <c r="D782" s="2">
        <v>5.0999999999999996</v>
      </c>
      <c r="E782" s="10">
        <v>1.5</v>
      </c>
      <c r="F782" s="10">
        <v>3</v>
      </c>
      <c r="G782" s="12">
        <v>2.0299999999999998</v>
      </c>
      <c r="H782" s="12">
        <v>0.156</v>
      </c>
      <c r="I782" s="12">
        <v>0.28150000000000003</v>
      </c>
      <c r="J782" s="44">
        <f t="shared" si="44"/>
        <v>0.28150000000000003</v>
      </c>
      <c r="K782" s="10">
        <v>3.6056838365896975</v>
      </c>
      <c r="L782" s="9">
        <v>11.339743589743589</v>
      </c>
      <c r="M782" s="9">
        <v>2.2999999999999998</v>
      </c>
      <c r="N782" s="9">
        <v>1.7826529193333336</v>
      </c>
      <c r="O782" s="9">
        <v>1.5</v>
      </c>
      <c r="P782" s="10">
        <v>1.23</v>
      </c>
      <c r="Q782" s="9">
        <v>0.35</v>
      </c>
      <c r="R782" s="12">
        <v>0.55826134133333349</v>
      </c>
      <c r="S782" s="9">
        <v>0.34</v>
      </c>
      <c r="T782" s="10">
        <v>0.47</v>
      </c>
      <c r="U782" s="10">
        <v>4.243483192008058E-2</v>
      </c>
      <c r="V782" s="10">
        <v>0.64664619687500002</v>
      </c>
      <c r="W782" s="188">
        <f t="shared" si="46"/>
        <v>0.56316812173038822</v>
      </c>
      <c r="X782" s="192">
        <f t="shared" si="45"/>
        <v>2.7185000000000001</v>
      </c>
      <c r="AA782" s="39" t="str">
        <f t="shared" si="47"/>
        <v>S</v>
      </c>
    </row>
    <row r="783" spans="1:31" s="198" customFormat="1" ht="15" x14ac:dyDescent="0.25">
      <c r="A783" s="185" t="s">
        <v>1237</v>
      </c>
      <c r="B783" s="185" t="s">
        <v>1238</v>
      </c>
      <c r="C783" s="185" t="s">
        <v>618</v>
      </c>
      <c r="D783" s="186">
        <v>50</v>
      </c>
      <c r="E783" s="186">
        <v>14.7</v>
      </c>
      <c r="F783" s="186">
        <v>15</v>
      </c>
      <c r="G783" s="187">
        <v>3.72</v>
      </c>
      <c r="H783" s="190">
        <v>0.71599999999999997</v>
      </c>
      <c r="I783" s="190">
        <v>0.65</v>
      </c>
      <c r="J783" s="187">
        <v>1.44</v>
      </c>
      <c r="K783" s="185">
        <v>5.72</v>
      </c>
      <c r="L783" s="185">
        <v>17.7</v>
      </c>
      <c r="M783" s="185">
        <v>404</v>
      </c>
      <c r="N783" s="186">
        <v>68.5</v>
      </c>
      <c r="O783" s="186">
        <v>53.8</v>
      </c>
      <c r="P783" s="187">
        <v>5.24</v>
      </c>
      <c r="Q783" s="186">
        <v>11</v>
      </c>
      <c r="R783" s="187">
        <v>8.14</v>
      </c>
      <c r="S783" s="187">
        <v>3.77</v>
      </c>
      <c r="T783" s="190">
        <v>0.86499999999999999</v>
      </c>
      <c r="U783" s="187">
        <v>2.65</v>
      </c>
      <c r="V783" s="185">
        <v>492</v>
      </c>
      <c r="W783" s="185">
        <v>1.17</v>
      </c>
      <c r="X783" s="185">
        <v>14.4</v>
      </c>
      <c r="Y783" s="187">
        <v>5.49</v>
      </c>
      <c r="Z783" s="190">
        <v>0.93700000000000006</v>
      </c>
      <c r="AA783" s="39" t="str">
        <f t="shared" si="47"/>
        <v>C</v>
      </c>
      <c r="AD783" s="14">
        <v>0.79900000000000004</v>
      </c>
      <c r="AE783" s="14">
        <v>0.49</v>
      </c>
    </row>
    <row r="784" spans="1:31" s="198" customFormat="1" ht="15" x14ac:dyDescent="0.25">
      <c r="A784" s="185" t="s">
        <v>1237</v>
      </c>
      <c r="B784" s="185" t="s">
        <v>1239</v>
      </c>
      <c r="C784" s="185" t="s">
        <v>618</v>
      </c>
      <c r="D784" s="186">
        <v>40</v>
      </c>
      <c r="E784" s="186">
        <v>11.8</v>
      </c>
      <c r="F784" s="186">
        <v>15</v>
      </c>
      <c r="G784" s="187">
        <v>3.52</v>
      </c>
      <c r="H784" s="190">
        <v>0.52</v>
      </c>
      <c r="I784" s="190">
        <v>0.65</v>
      </c>
      <c r="J784" s="187">
        <v>1.44</v>
      </c>
      <c r="K784" s="185">
        <v>5.42</v>
      </c>
      <c r="L784" s="185">
        <v>24.4</v>
      </c>
      <c r="M784" s="185">
        <v>348</v>
      </c>
      <c r="N784" s="186">
        <v>57.5</v>
      </c>
      <c r="O784" s="186">
        <v>46.5</v>
      </c>
      <c r="P784" s="187">
        <v>5.43</v>
      </c>
      <c r="Q784" s="187">
        <v>9.17</v>
      </c>
      <c r="R784" s="187">
        <v>6.84</v>
      </c>
      <c r="S784" s="187">
        <v>3.34</v>
      </c>
      <c r="T784" s="190">
        <v>0.88300000000000001</v>
      </c>
      <c r="U784" s="187">
        <v>1.45</v>
      </c>
      <c r="V784" s="185">
        <v>410</v>
      </c>
      <c r="W784" s="185">
        <v>1.1499999999999999</v>
      </c>
      <c r="X784" s="185">
        <v>14.4</v>
      </c>
      <c r="Y784" s="187">
        <v>5.71</v>
      </c>
      <c r="Z784" s="190">
        <v>0.92700000000000005</v>
      </c>
      <c r="AA784" s="39" t="str">
        <f t="shared" si="47"/>
        <v>C</v>
      </c>
      <c r="AD784" s="14">
        <v>0.77800000000000002</v>
      </c>
      <c r="AE784" s="14">
        <v>0.39200000000000002</v>
      </c>
    </row>
    <row r="785" spans="1:31" s="198" customFormat="1" ht="15" x14ac:dyDescent="0.25">
      <c r="A785" s="185" t="s">
        <v>1237</v>
      </c>
      <c r="B785" s="185" t="s">
        <v>1240</v>
      </c>
      <c r="C785" s="185" t="s">
        <v>618</v>
      </c>
      <c r="D785" s="186">
        <v>33.9</v>
      </c>
      <c r="E785" s="186">
        <v>10</v>
      </c>
      <c r="F785" s="186">
        <v>15</v>
      </c>
      <c r="G785" s="187">
        <v>3.4</v>
      </c>
      <c r="H785" s="190">
        <v>0.4</v>
      </c>
      <c r="I785" s="190">
        <v>0.65</v>
      </c>
      <c r="J785" s="187">
        <v>1.44</v>
      </c>
      <c r="K785" s="185">
        <v>5.23</v>
      </c>
      <c r="L785" s="185">
        <v>31.8</v>
      </c>
      <c r="M785" s="185">
        <v>315</v>
      </c>
      <c r="N785" s="186">
        <v>50.8</v>
      </c>
      <c r="O785" s="186">
        <v>42</v>
      </c>
      <c r="P785" s="187">
        <v>5.61</v>
      </c>
      <c r="Q785" s="187">
        <v>8.07</v>
      </c>
      <c r="R785" s="187">
        <v>6.19</v>
      </c>
      <c r="S785" s="187">
        <v>3.09</v>
      </c>
      <c r="T785" s="190">
        <v>0.90100000000000002</v>
      </c>
      <c r="U785" s="187">
        <v>1.01</v>
      </c>
      <c r="V785" s="185">
        <v>358</v>
      </c>
      <c r="W785" s="185">
        <v>1.1299999999999999</v>
      </c>
      <c r="X785" s="185">
        <v>14.4</v>
      </c>
      <c r="Y785" s="187">
        <v>5.94</v>
      </c>
      <c r="Z785" s="190">
        <v>0.92</v>
      </c>
      <c r="AA785" s="39" t="str">
        <f t="shared" si="47"/>
        <v>C</v>
      </c>
      <c r="AD785" s="14">
        <v>0.78800000000000003</v>
      </c>
      <c r="AE785" s="14">
        <v>0.33200000000000002</v>
      </c>
    </row>
    <row r="786" spans="1:31" s="198" customFormat="1" ht="15" x14ac:dyDescent="0.25">
      <c r="A786" s="185" t="s">
        <v>1237</v>
      </c>
      <c r="B786" s="185" t="s">
        <v>1241</v>
      </c>
      <c r="C786" s="185" t="s">
        <v>618</v>
      </c>
      <c r="D786" s="186">
        <v>30</v>
      </c>
      <c r="E786" s="187">
        <v>8.81</v>
      </c>
      <c r="F786" s="186">
        <v>12</v>
      </c>
      <c r="G786" s="187">
        <v>3.17</v>
      </c>
      <c r="H786" s="190">
        <v>0.51</v>
      </c>
      <c r="I786" s="190">
        <v>0.501</v>
      </c>
      <c r="J786" s="187">
        <v>1.1299999999999999</v>
      </c>
      <c r="K786" s="185">
        <v>6.33</v>
      </c>
      <c r="L786" s="185">
        <v>20.100000000000001</v>
      </c>
      <c r="M786" s="185">
        <v>162</v>
      </c>
      <c r="N786" s="186">
        <v>33.799999999999997</v>
      </c>
      <c r="O786" s="186">
        <v>27</v>
      </c>
      <c r="P786" s="187">
        <v>4.29</v>
      </c>
      <c r="Q786" s="187">
        <v>5.12</v>
      </c>
      <c r="R786" s="187">
        <v>4.32</v>
      </c>
      <c r="S786" s="187">
        <v>2.0499999999999998</v>
      </c>
      <c r="T786" s="190">
        <v>0.76200000000000001</v>
      </c>
      <c r="U786" s="190">
        <v>0.86099999999999999</v>
      </c>
      <c r="V786" s="185">
        <v>151</v>
      </c>
      <c r="W786" s="185">
        <v>1.01</v>
      </c>
      <c r="X786" s="185">
        <v>11.5</v>
      </c>
      <c r="Y786" s="187">
        <v>4.54</v>
      </c>
      <c r="Z786" s="190">
        <v>0.91900000000000004</v>
      </c>
      <c r="AA786" s="39" t="str">
        <f t="shared" si="47"/>
        <v>C</v>
      </c>
      <c r="AD786" s="14">
        <v>0.67400000000000004</v>
      </c>
      <c r="AE786" s="14">
        <v>0.36699999999999999</v>
      </c>
    </row>
    <row r="787" spans="1:31" s="198" customFormat="1" ht="15" x14ac:dyDescent="0.25">
      <c r="A787" s="185" t="s">
        <v>1237</v>
      </c>
      <c r="B787" s="185" t="s">
        <v>1242</v>
      </c>
      <c r="C787" s="185" t="s">
        <v>618</v>
      </c>
      <c r="D787" s="186">
        <v>25</v>
      </c>
      <c r="E787" s="187">
        <v>7.34</v>
      </c>
      <c r="F787" s="186">
        <v>12</v>
      </c>
      <c r="G787" s="187">
        <v>3.05</v>
      </c>
      <c r="H787" s="190">
        <v>0.38700000000000001</v>
      </c>
      <c r="I787" s="190">
        <v>0.501</v>
      </c>
      <c r="J787" s="187">
        <v>1.1299999999999999</v>
      </c>
      <c r="K787" s="185">
        <v>6.09</v>
      </c>
      <c r="L787" s="185">
        <v>26.5</v>
      </c>
      <c r="M787" s="185">
        <v>144</v>
      </c>
      <c r="N787" s="186">
        <v>29.4</v>
      </c>
      <c r="O787" s="186">
        <v>24</v>
      </c>
      <c r="P787" s="187">
        <v>4.43</v>
      </c>
      <c r="Q787" s="187">
        <v>4.45</v>
      </c>
      <c r="R787" s="187">
        <v>3.82</v>
      </c>
      <c r="S787" s="187">
        <v>1.87</v>
      </c>
      <c r="T787" s="190">
        <v>0.77900000000000003</v>
      </c>
      <c r="U787" s="190">
        <v>0.53800000000000003</v>
      </c>
      <c r="V787" s="185">
        <v>130</v>
      </c>
      <c r="W787" s="187">
        <v>1</v>
      </c>
      <c r="X787" s="185">
        <v>11.5</v>
      </c>
      <c r="Y787" s="187">
        <v>4.72</v>
      </c>
      <c r="Z787" s="190">
        <v>0.90900000000000003</v>
      </c>
      <c r="AA787" s="39" t="str">
        <f t="shared" si="47"/>
        <v>C</v>
      </c>
      <c r="AD787" s="14">
        <v>0.67400000000000004</v>
      </c>
      <c r="AE787" s="14">
        <v>0.30599999999999999</v>
      </c>
    </row>
    <row r="788" spans="1:31" s="198" customFormat="1" ht="15" x14ac:dyDescent="0.25">
      <c r="A788" s="185" t="s">
        <v>1237</v>
      </c>
      <c r="B788" s="185" t="s">
        <v>1243</v>
      </c>
      <c r="C788" s="185" t="s">
        <v>618</v>
      </c>
      <c r="D788" s="186">
        <v>20.7</v>
      </c>
      <c r="E788" s="187">
        <v>6.08</v>
      </c>
      <c r="F788" s="186">
        <v>12</v>
      </c>
      <c r="G788" s="187">
        <v>2.94</v>
      </c>
      <c r="H788" s="190">
        <v>0.28199999999999997</v>
      </c>
      <c r="I788" s="190">
        <v>0.501</v>
      </c>
      <c r="J788" s="187">
        <v>1.1299999999999999</v>
      </c>
      <c r="K788" s="185">
        <v>5.87</v>
      </c>
      <c r="L788" s="185">
        <v>36.299999999999997</v>
      </c>
      <c r="M788" s="185">
        <v>129</v>
      </c>
      <c r="N788" s="186">
        <v>25.6</v>
      </c>
      <c r="O788" s="186">
        <v>21.5</v>
      </c>
      <c r="P788" s="187">
        <v>4.6100000000000003</v>
      </c>
      <c r="Q788" s="187">
        <v>3.86</v>
      </c>
      <c r="R788" s="187">
        <v>3.47</v>
      </c>
      <c r="S788" s="187">
        <v>1.72</v>
      </c>
      <c r="T788" s="190">
        <v>0.79700000000000004</v>
      </c>
      <c r="U788" s="190">
        <v>0.36899999999999999</v>
      </c>
      <c r="V788" s="185">
        <v>112</v>
      </c>
      <c r="W788" s="185">
        <v>0.98299999999999998</v>
      </c>
      <c r="X788" s="185">
        <v>11.5</v>
      </c>
      <c r="Y788" s="187">
        <v>4.93</v>
      </c>
      <c r="Z788" s="190">
        <v>0.89900000000000002</v>
      </c>
      <c r="AA788" s="39" t="str">
        <f t="shared" si="47"/>
        <v>C</v>
      </c>
      <c r="AD788" s="14">
        <v>0.69799999999999995</v>
      </c>
      <c r="AE788" s="14">
        <v>0.253</v>
      </c>
    </row>
    <row r="789" spans="1:31" s="198" customFormat="1" ht="15" x14ac:dyDescent="0.25">
      <c r="A789" s="185" t="s">
        <v>1237</v>
      </c>
      <c r="B789" s="185" t="s">
        <v>1244</v>
      </c>
      <c r="C789" s="185" t="s">
        <v>618</v>
      </c>
      <c r="D789" s="186">
        <v>30</v>
      </c>
      <c r="E789" s="187">
        <v>8.81</v>
      </c>
      <c r="F789" s="186">
        <v>10</v>
      </c>
      <c r="G789" s="187">
        <v>3.03</v>
      </c>
      <c r="H789" s="190">
        <v>0.67300000000000004</v>
      </c>
      <c r="I789" s="190">
        <v>0.436</v>
      </c>
      <c r="J789" s="188">
        <v>1</v>
      </c>
      <c r="K789" s="185">
        <v>6.95</v>
      </c>
      <c r="L789" s="189">
        <v>12.6</v>
      </c>
      <c r="M789" s="189">
        <v>103</v>
      </c>
      <c r="N789" s="192">
        <v>26.7</v>
      </c>
      <c r="O789" s="192">
        <v>20.7</v>
      </c>
      <c r="P789" s="188">
        <v>3.43</v>
      </c>
      <c r="Q789" s="188">
        <v>3.93</v>
      </c>
      <c r="R789" s="188">
        <v>3.78</v>
      </c>
      <c r="S789" s="188">
        <v>1.65</v>
      </c>
      <c r="T789" s="199">
        <v>0.66800000000000004</v>
      </c>
      <c r="U789" s="188">
        <v>1.22</v>
      </c>
      <c r="V789" s="192">
        <v>79.5</v>
      </c>
      <c r="W789" s="185">
        <v>0.92400000000000004</v>
      </c>
      <c r="X789" s="185">
        <v>9.56</v>
      </c>
      <c r="Y789" s="187">
        <v>3.63</v>
      </c>
      <c r="Z789" s="190">
        <v>0.92100000000000004</v>
      </c>
      <c r="AA789" s="39" t="str">
        <f t="shared" si="47"/>
        <v>C</v>
      </c>
      <c r="AD789" s="14">
        <v>0.64900000000000002</v>
      </c>
      <c r="AE789" s="14">
        <v>0.441</v>
      </c>
    </row>
    <row r="790" spans="1:31" s="198" customFormat="1" ht="15" x14ac:dyDescent="0.25">
      <c r="A790" s="185" t="s">
        <v>1237</v>
      </c>
      <c r="B790" s="185" t="s">
        <v>1245</v>
      </c>
      <c r="C790" s="185" t="s">
        <v>618</v>
      </c>
      <c r="D790" s="186">
        <v>25</v>
      </c>
      <c r="E790" s="187">
        <v>7.35</v>
      </c>
      <c r="F790" s="186">
        <v>10</v>
      </c>
      <c r="G790" s="187">
        <v>2.89</v>
      </c>
      <c r="H790" s="190">
        <v>0.52600000000000002</v>
      </c>
      <c r="I790" s="190">
        <v>0.436</v>
      </c>
      <c r="J790" s="188">
        <v>1</v>
      </c>
      <c r="K790" s="185">
        <v>6.63</v>
      </c>
      <c r="L790" s="189">
        <v>16.100000000000001</v>
      </c>
      <c r="M790" s="192">
        <v>91.1</v>
      </c>
      <c r="N790" s="192">
        <v>23.1</v>
      </c>
      <c r="O790" s="192">
        <v>18.2</v>
      </c>
      <c r="P790" s="188">
        <v>3.52</v>
      </c>
      <c r="Q790" s="188">
        <v>3.34</v>
      </c>
      <c r="R790" s="188">
        <v>3.18</v>
      </c>
      <c r="S790" s="188">
        <v>1.47</v>
      </c>
      <c r="T790" s="199">
        <v>0.67500000000000004</v>
      </c>
      <c r="U790" s="199">
        <v>0.68700000000000006</v>
      </c>
      <c r="V790" s="192">
        <v>68.3</v>
      </c>
      <c r="W790" s="185">
        <v>0.91100000000000003</v>
      </c>
      <c r="X790" s="185">
        <v>9.56</v>
      </c>
      <c r="Y790" s="187">
        <v>3.76</v>
      </c>
      <c r="Z790" s="190">
        <v>0.91200000000000003</v>
      </c>
      <c r="AA790" s="39" t="str">
        <f t="shared" si="47"/>
        <v>C</v>
      </c>
      <c r="AD790" s="14">
        <v>0.61699999999999999</v>
      </c>
      <c r="AE790" s="14">
        <v>0.36699999999999999</v>
      </c>
    </row>
    <row r="791" spans="1:31" s="198" customFormat="1" ht="15" x14ac:dyDescent="0.25">
      <c r="A791" s="185" t="s">
        <v>1237</v>
      </c>
      <c r="B791" s="185" t="s">
        <v>1246</v>
      </c>
      <c r="C791" s="185" t="s">
        <v>618</v>
      </c>
      <c r="D791" s="186">
        <v>20</v>
      </c>
      <c r="E791" s="187">
        <v>5.87</v>
      </c>
      <c r="F791" s="186">
        <v>10</v>
      </c>
      <c r="G791" s="187">
        <v>2.74</v>
      </c>
      <c r="H791" s="190">
        <v>0.379</v>
      </c>
      <c r="I791" s="190">
        <v>0.436</v>
      </c>
      <c r="J791" s="188">
        <v>1</v>
      </c>
      <c r="K791" s="185">
        <v>6.28</v>
      </c>
      <c r="L791" s="189">
        <v>22.3</v>
      </c>
      <c r="M791" s="192">
        <v>78.900000000000006</v>
      </c>
      <c r="N791" s="192">
        <v>19.399999999999999</v>
      </c>
      <c r="O791" s="192">
        <v>15.8</v>
      </c>
      <c r="P791" s="188">
        <v>3.67</v>
      </c>
      <c r="Q791" s="188">
        <v>2.8</v>
      </c>
      <c r="R791" s="188">
        <v>2.7</v>
      </c>
      <c r="S791" s="188">
        <v>1.31</v>
      </c>
      <c r="T791" s="199">
        <v>0.69</v>
      </c>
      <c r="U791" s="199">
        <v>0.36799999999999999</v>
      </c>
      <c r="V791" s="192">
        <v>56.9</v>
      </c>
      <c r="W791" s="185">
        <v>0.89400000000000002</v>
      </c>
      <c r="X791" s="185">
        <v>9.56</v>
      </c>
      <c r="Y791" s="187">
        <v>3.93</v>
      </c>
      <c r="Z791" s="190">
        <v>0.9</v>
      </c>
      <c r="AA791" s="39" t="str">
        <f t="shared" si="47"/>
        <v>C</v>
      </c>
      <c r="AD791" s="14">
        <v>0.60599999999999998</v>
      </c>
      <c r="AE791" s="14">
        <v>0.29399999999999998</v>
      </c>
    </row>
    <row r="792" spans="1:31" s="198" customFormat="1" ht="15" x14ac:dyDescent="0.25">
      <c r="A792" s="185" t="s">
        <v>1237</v>
      </c>
      <c r="B792" s="185" t="s">
        <v>1247</v>
      </c>
      <c r="C792" s="185" t="s">
        <v>618</v>
      </c>
      <c r="D792" s="186">
        <v>15.3</v>
      </c>
      <c r="E792" s="187">
        <v>4.4800000000000004</v>
      </c>
      <c r="F792" s="186">
        <v>10</v>
      </c>
      <c r="G792" s="187">
        <v>2.6</v>
      </c>
      <c r="H792" s="190">
        <v>0.24</v>
      </c>
      <c r="I792" s="190">
        <v>0.436</v>
      </c>
      <c r="J792" s="188">
        <v>1</v>
      </c>
      <c r="K792" s="185">
        <v>5.96</v>
      </c>
      <c r="L792" s="189">
        <v>35.299999999999997</v>
      </c>
      <c r="M792" s="192">
        <v>67.3</v>
      </c>
      <c r="N792" s="192">
        <v>15.9</v>
      </c>
      <c r="O792" s="192">
        <v>13.5</v>
      </c>
      <c r="P792" s="188">
        <v>3.88</v>
      </c>
      <c r="Q792" s="188">
        <v>2.27</v>
      </c>
      <c r="R792" s="188">
        <v>2.34</v>
      </c>
      <c r="S792" s="188">
        <v>1.1499999999999999</v>
      </c>
      <c r="T792" s="199">
        <v>0.71099999999999997</v>
      </c>
      <c r="U792" s="199">
        <v>0.20899999999999999</v>
      </c>
      <c r="V792" s="192">
        <v>45.5</v>
      </c>
      <c r="W792" s="185">
        <v>0.86799999999999999</v>
      </c>
      <c r="X792" s="185">
        <v>9.56</v>
      </c>
      <c r="Y792" s="187">
        <v>4.1900000000000004</v>
      </c>
      <c r="Z792" s="190">
        <v>0.88400000000000001</v>
      </c>
      <c r="AA792" s="39" t="str">
        <f t="shared" si="47"/>
        <v>C</v>
      </c>
      <c r="AD792" s="14">
        <v>0.63400000000000001</v>
      </c>
      <c r="AE792" s="14">
        <v>0.224</v>
      </c>
    </row>
    <row r="793" spans="1:31" s="198" customFormat="1" ht="15" x14ac:dyDescent="0.25">
      <c r="A793" s="185" t="s">
        <v>1237</v>
      </c>
      <c r="B793" s="185" t="s">
        <v>1248</v>
      </c>
      <c r="C793" s="185" t="s">
        <v>618</v>
      </c>
      <c r="D793" s="186">
        <v>20</v>
      </c>
      <c r="E793" s="187">
        <v>5.87</v>
      </c>
      <c r="F793" s="187">
        <v>9</v>
      </c>
      <c r="G793" s="187">
        <v>2.65</v>
      </c>
      <c r="H793" s="190">
        <v>0.44800000000000001</v>
      </c>
      <c r="I793" s="190">
        <v>0.41299999999999998</v>
      </c>
      <c r="J793" s="187">
        <v>1</v>
      </c>
      <c r="K793" s="185">
        <v>6.42</v>
      </c>
      <c r="L793" s="185">
        <v>16.8</v>
      </c>
      <c r="M793" s="186">
        <v>60.9</v>
      </c>
      <c r="N793" s="186">
        <v>16.899999999999999</v>
      </c>
      <c r="O793" s="186">
        <v>13.5</v>
      </c>
      <c r="P793" s="187">
        <v>3.22</v>
      </c>
      <c r="Q793" s="187">
        <v>2.41</v>
      </c>
      <c r="R793" s="187">
        <v>2.46</v>
      </c>
      <c r="S793" s="187">
        <v>1.17</v>
      </c>
      <c r="T793" s="190">
        <v>0.64</v>
      </c>
      <c r="U793" s="190">
        <v>0.42699999999999999</v>
      </c>
      <c r="V793" s="186">
        <v>39.4</v>
      </c>
      <c r="W793" s="190">
        <v>0.85</v>
      </c>
      <c r="X793" s="185">
        <v>8.59</v>
      </c>
      <c r="Y793" s="187">
        <v>3.46</v>
      </c>
      <c r="Z793" s="190">
        <v>0.89900000000000002</v>
      </c>
      <c r="AA793" s="39" t="str">
        <f t="shared" si="47"/>
        <v>C</v>
      </c>
      <c r="AD793" s="14">
        <v>0.58299999999999996</v>
      </c>
      <c r="AE793" s="14">
        <v>0.32600000000000001</v>
      </c>
    </row>
    <row r="794" spans="1:31" s="198" customFormat="1" ht="15" x14ac:dyDescent="0.25">
      <c r="A794" s="185" t="s">
        <v>1237</v>
      </c>
      <c r="B794" s="185" t="s">
        <v>1249</v>
      </c>
      <c r="C794" s="185" t="s">
        <v>618</v>
      </c>
      <c r="D794" s="186">
        <v>15</v>
      </c>
      <c r="E794" s="187">
        <v>4.4000000000000004</v>
      </c>
      <c r="F794" s="187">
        <v>9</v>
      </c>
      <c r="G794" s="187">
        <v>2.4900000000000002</v>
      </c>
      <c r="H794" s="190">
        <v>0.28499999999999998</v>
      </c>
      <c r="I794" s="190">
        <v>0.41299999999999998</v>
      </c>
      <c r="J794" s="187">
        <v>1</v>
      </c>
      <c r="K794" s="185">
        <v>6.03</v>
      </c>
      <c r="L794" s="185">
        <v>26.4</v>
      </c>
      <c r="M794" s="186">
        <v>51</v>
      </c>
      <c r="N794" s="186">
        <v>13.6</v>
      </c>
      <c r="O794" s="186">
        <v>11.3</v>
      </c>
      <c r="P794" s="187">
        <v>3.4</v>
      </c>
      <c r="Q794" s="187">
        <v>1.91</v>
      </c>
      <c r="R794" s="187">
        <v>2.04</v>
      </c>
      <c r="S794" s="187">
        <v>1.01</v>
      </c>
      <c r="T794" s="190">
        <v>0.65900000000000003</v>
      </c>
      <c r="U794" s="190">
        <v>0.20799999999999999</v>
      </c>
      <c r="V794" s="186">
        <v>31</v>
      </c>
      <c r="W794" s="185">
        <v>0.82499999999999996</v>
      </c>
      <c r="X794" s="185">
        <v>8.59</v>
      </c>
      <c r="Y794" s="187">
        <v>3.69</v>
      </c>
      <c r="Z794" s="190">
        <v>0.88200000000000001</v>
      </c>
      <c r="AA794" s="39" t="str">
        <f t="shared" si="47"/>
        <v>C</v>
      </c>
      <c r="AD794" s="14">
        <v>0.58599999999999997</v>
      </c>
      <c r="AE794" s="14">
        <v>0.245</v>
      </c>
    </row>
    <row r="795" spans="1:31" s="198" customFormat="1" ht="15" x14ac:dyDescent="0.25">
      <c r="A795" s="185" t="s">
        <v>1237</v>
      </c>
      <c r="B795" s="185" t="s">
        <v>1250</v>
      </c>
      <c r="C795" s="185" t="s">
        <v>618</v>
      </c>
      <c r="D795" s="186">
        <v>13.4</v>
      </c>
      <c r="E795" s="187">
        <v>3.94</v>
      </c>
      <c r="F795" s="187">
        <v>9</v>
      </c>
      <c r="G795" s="187">
        <v>2.4300000000000002</v>
      </c>
      <c r="H795" s="190">
        <v>0.23300000000000001</v>
      </c>
      <c r="I795" s="190">
        <v>0.41299999999999998</v>
      </c>
      <c r="J795" s="187">
        <v>1</v>
      </c>
      <c r="K795" s="185">
        <v>5.88</v>
      </c>
      <c r="L795" s="185">
        <v>32.200000000000003</v>
      </c>
      <c r="M795" s="186">
        <v>47.8</v>
      </c>
      <c r="N795" s="186">
        <v>12.6</v>
      </c>
      <c r="O795" s="186">
        <v>10.6</v>
      </c>
      <c r="P795" s="187">
        <v>3.48</v>
      </c>
      <c r="Q795" s="187">
        <v>1.75</v>
      </c>
      <c r="R795" s="187">
        <v>1.94</v>
      </c>
      <c r="S795" s="190">
        <v>0.95399999999999996</v>
      </c>
      <c r="T795" s="190">
        <v>0.66600000000000004</v>
      </c>
      <c r="U795" s="190">
        <v>0.16800000000000001</v>
      </c>
      <c r="V795" s="186">
        <v>28.2</v>
      </c>
      <c r="W795" s="185">
        <v>0.81399999999999995</v>
      </c>
      <c r="X795" s="185">
        <v>8.59</v>
      </c>
      <c r="Y795" s="187">
        <v>3.79</v>
      </c>
      <c r="Z795" s="190">
        <v>0.875</v>
      </c>
      <c r="AA795" s="39" t="str">
        <f t="shared" si="47"/>
        <v>C</v>
      </c>
      <c r="AD795" s="14">
        <v>0.60099999999999998</v>
      </c>
      <c r="AE795" s="14">
        <v>0.219</v>
      </c>
    </row>
    <row r="796" spans="1:31" s="198" customFormat="1" ht="15" x14ac:dyDescent="0.25">
      <c r="A796" s="185" t="s">
        <v>1237</v>
      </c>
      <c r="B796" s="185" t="s">
        <v>1251</v>
      </c>
      <c r="C796" s="185" t="s">
        <v>618</v>
      </c>
      <c r="D796" s="187">
        <v>18.75</v>
      </c>
      <c r="E796" s="187">
        <v>5.51</v>
      </c>
      <c r="F796" s="187">
        <v>8</v>
      </c>
      <c r="G796" s="187">
        <v>2.5299999999999998</v>
      </c>
      <c r="H796" s="190">
        <v>0.48699999999999999</v>
      </c>
      <c r="I796" s="190">
        <v>0.39</v>
      </c>
      <c r="J796" s="190">
        <v>0.93799999999999994</v>
      </c>
      <c r="K796" s="185">
        <v>6.49</v>
      </c>
      <c r="L796" s="185">
        <v>13.5</v>
      </c>
      <c r="M796" s="186">
        <v>43.9</v>
      </c>
      <c r="N796" s="186">
        <v>13.9</v>
      </c>
      <c r="O796" s="186">
        <v>11</v>
      </c>
      <c r="P796" s="187">
        <v>2.82</v>
      </c>
      <c r="Q796" s="187">
        <v>1.97</v>
      </c>
      <c r="R796" s="187">
        <v>2.17</v>
      </c>
      <c r="S796" s="187">
        <v>1.01</v>
      </c>
      <c r="T796" s="190">
        <v>0.59799999999999998</v>
      </c>
      <c r="U796" s="190">
        <v>0.434</v>
      </c>
      <c r="V796" s="186">
        <v>25.1</v>
      </c>
      <c r="W796" s="190">
        <v>0.8</v>
      </c>
      <c r="X796" s="185">
        <v>7.61</v>
      </c>
      <c r="Y796" s="187">
        <v>3.05</v>
      </c>
      <c r="Z796" s="190">
        <v>0.89400000000000002</v>
      </c>
      <c r="AA796" s="39" t="str">
        <f t="shared" si="47"/>
        <v>C</v>
      </c>
      <c r="AD796" s="14">
        <v>0.56499999999999995</v>
      </c>
      <c r="AE796" s="14">
        <v>0.34399999999999997</v>
      </c>
    </row>
    <row r="797" spans="1:31" s="198" customFormat="1" ht="15" x14ac:dyDescent="0.25">
      <c r="A797" s="185" t="s">
        <v>1237</v>
      </c>
      <c r="B797" s="185" t="s">
        <v>1252</v>
      </c>
      <c r="C797" s="185" t="s">
        <v>618</v>
      </c>
      <c r="D797" s="187">
        <v>13.75</v>
      </c>
      <c r="E797" s="187">
        <v>4.03</v>
      </c>
      <c r="F797" s="187">
        <v>8</v>
      </c>
      <c r="G797" s="187">
        <v>2.34</v>
      </c>
      <c r="H797" s="190">
        <v>0.30299999999999999</v>
      </c>
      <c r="I797" s="190">
        <v>0.39</v>
      </c>
      <c r="J797" s="190">
        <v>0.93799999999999994</v>
      </c>
      <c r="K797" s="187">
        <v>6</v>
      </c>
      <c r="L797" s="185">
        <v>21.8</v>
      </c>
      <c r="M797" s="186">
        <v>36.1</v>
      </c>
      <c r="N797" s="186">
        <v>11</v>
      </c>
      <c r="O797" s="187">
        <v>9.02</v>
      </c>
      <c r="P797" s="187">
        <v>2.99</v>
      </c>
      <c r="Q797" s="187">
        <v>1.52</v>
      </c>
      <c r="R797" s="187">
        <v>1.73</v>
      </c>
      <c r="S797" s="190">
        <v>0.84799999999999998</v>
      </c>
      <c r="T797" s="190">
        <v>0.61299999999999999</v>
      </c>
      <c r="U797" s="190">
        <v>0.186</v>
      </c>
      <c r="V797" s="186">
        <v>19.2</v>
      </c>
      <c r="W797" s="185">
        <v>0.77400000000000002</v>
      </c>
      <c r="X797" s="185">
        <v>7.61</v>
      </c>
      <c r="Y797" s="187">
        <v>3.26</v>
      </c>
      <c r="Z797" s="190">
        <v>0.874</v>
      </c>
      <c r="AA797" s="39" t="str">
        <f t="shared" si="47"/>
        <v>C</v>
      </c>
      <c r="AD797" s="14">
        <v>0.55400000000000005</v>
      </c>
      <c r="AE797" s="14">
        <v>0.252</v>
      </c>
    </row>
    <row r="798" spans="1:31" s="198" customFormat="1" ht="15" x14ac:dyDescent="0.25">
      <c r="A798" s="185" t="s">
        <v>1237</v>
      </c>
      <c r="B798" s="185" t="s">
        <v>1253</v>
      </c>
      <c r="C798" s="185" t="s">
        <v>618</v>
      </c>
      <c r="D798" s="186">
        <v>11.5</v>
      </c>
      <c r="E798" s="187">
        <v>3.37</v>
      </c>
      <c r="F798" s="187">
        <v>8</v>
      </c>
      <c r="G798" s="187">
        <v>2.2599999999999998</v>
      </c>
      <c r="H798" s="190">
        <v>0.22</v>
      </c>
      <c r="I798" s="190">
        <v>0.39</v>
      </c>
      <c r="J798" s="190">
        <v>0.93799999999999994</v>
      </c>
      <c r="K798" s="185">
        <v>5.79</v>
      </c>
      <c r="L798" s="186">
        <v>30</v>
      </c>
      <c r="M798" s="186">
        <v>32.5</v>
      </c>
      <c r="N798" s="187">
        <v>9.6300000000000008</v>
      </c>
      <c r="O798" s="187">
        <v>8.14</v>
      </c>
      <c r="P798" s="187">
        <v>3.11</v>
      </c>
      <c r="Q798" s="187">
        <v>1.31</v>
      </c>
      <c r="R798" s="187">
        <v>1.57</v>
      </c>
      <c r="S798" s="190">
        <v>0.77500000000000002</v>
      </c>
      <c r="T798" s="190">
        <v>0.623</v>
      </c>
      <c r="U798" s="190">
        <v>0.13</v>
      </c>
      <c r="V798" s="186">
        <v>16.5</v>
      </c>
      <c r="W798" s="185">
        <v>0.75600000000000001</v>
      </c>
      <c r="X798" s="185">
        <v>7.61</v>
      </c>
      <c r="Y798" s="187">
        <v>3.41</v>
      </c>
      <c r="Z798" s="190">
        <v>0.86199999999999999</v>
      </c>
      <c r="AA798" s="39" t="str">
        <f t="shared" si="47"/>
        <v>C</v>
      </c>
      <c r="AD798" s="14">
        <v>0.57199999999999995</v>
      </c>
      <c r="AE798" s="14">
        <v>0.21099999999999999</v>
      </c>
    </row>
    <row r="799" spans="1:31" s="198" customFormat="1" ht="15" x14ac:dyDescent="0.25">
      <c r="A799" s="185" t="s">
        <v>1237</v>
      </c>
      <c r="B799" s="185" t="s">
        <v>1254</v>
      </c>
      <c r="C799" s="185" t="s">
        <v>618</v>
      </c>
      <c r="D799" s="187">
        <v>14.75</v>
      </c>
      <c r="E799" s="187">
        <v>4.33</v>
      </c>
      <c r="F799" s="187">
        <v>7</v>
      </c>
      <c r="G799" s="187">
        <v>2.2999999999999998</v>
      </c>
      <c r="H799" s="190">
        <v>0.41899999999999998</v>
      </c>
      <c r="I799" s="190">
        <v>0.36599999999999999</v>
      </c>
      <c r="J799" s="190">
        <v>0.875</v>
      </c>
      <c r="K799" s="185">
        <v>6.28</v>
      </c>
      <c r="L799" s="186">
        <v>13.5</v>
      </c>
      <c r="M799" s="186">
        <v>27.2</v>
      </c>
      <c r="N799" s="187">
        <v>9.75</v>
      </c>
      <c r="O799" s="187">
        <v>7.78</v>
      </c>
      <c r="P799" s="187">
        <v>2.5099999999999998</v>
      </c>
      <c r="Q799" s="187">
        <v>1.37</v>
      </c>
      <c r="R799" s="187">
        <v>1.63</v>
      </c>
      <c r="S799" s="190">
        <v>0.77200000000000002</v>
      </c>
      <c r="T799" s="190">
        <v>0.56100000000000005</v>
      </c>
      <c r="U799" s="190">
        <v>0.26700000000000002</v>
      </c>
      <c r="V799" s="186">
        <v>13.1</v>
      </c>
      <c r="W799" s="185">
        <v>0.73799999999999999</v>
      </c>
      <c r="X799" s="185">
        <v>6.63</v>
      </c>
      <c r="Y799" s="187">
        <v>2.75</v>
      </c>
      <c r="Z799" s="190">
        <v>0.875</v>
      </c>
      <c r="AA799" s="39" t="str">
        <f t="shared" si="47"/>
        <v>C</v>
      </c>
      <c r="AD799" s="14">
        <v>0.53200000000000003</v>
      </c>
      <c r="AE799" s="14">
        <v>0.309</v>
      </c>
    </row>
    <row r="800" spans="1:31" s="198" customFormat="1" ht="15" x14ac:dyDescent="0.25">
      <c r="A800" s="185" t="s">
        <v>1237</v>
      </c>
      <c r="B800" s="185" t="s">
        <v>1255</v>
      </c>
      <c r="C800" s="185" t="s">
        <v>618</v>
      </c>
      <c r="D800" s="187">
        <v>12.25</v>
      </c>
      <c r="E800" s="187">
        <v>3.59</v>
      </c>
      <c r="F800" s="187">
        <v>7</v>
      </c>
      <c r="G800" s="187">
        <v>2.19</v>
      </c>
      <c r="H800" s="190">
        <v>0.314</v>
      </c>
      <c r="I800" s="190">
        <v>0.36599999999999999</v>
      </c>
      <c r="J800" s="190">
        <v>0.875</v>
      </c>
      <c r="K800" s="185">
        <v>5.98</v>
      </c>
      <c r="L800" s="186">
        <v>18</v>
      </c>
      <c r="M800" s="186">
        <v>24.2</v>
      </c>
      <c r="N800" s="187">
        <v>8.4600000000000009</v>
      </c>
      <c r="O800" s="187">
        <v>6.92</v>
      </c>
      <c r="P800" s="187">
        <v>2.59</v>
      </c>
      <c r="Q800" s="187">
        <v>1.1599999999999999</v>
      </c>
      <c r="R800" s="187">
        <v>1.42</v>
      </c>
      <c r="S800" s="190">
        <v>0.69599999999999995</v>
      </c>
      <c r="T800" s="190">
        <v>0.56799999999999995</v>
      </c>
      <c r="U800" s="190">
        <v>0.161</v>
      </c>
      <c r="V800" s="186">
        <v>11.2</v>
      </c>
      <c r="W800" s="185">
        <v>0.72199999999999998</v>
      </c>
      <c r="X800" s="185">
        <v>6.63</v>
      </c>
      <c r="Y800" s="187">
        <v>2.86</v>
      </c>
      <c r="Z800" s="190">
        <v>0.86199999999999999</v>
      </c>
      <c r="AA800" s="39" t="str">
        <f t="shared" si="47"/>
        <v>C</v>
      </c>
      <c r="AD800" s="14">
        <v>0.52500000000000002</v>
      </c>
      <c r="AE800" s="14">
        <v>0.25700000000000001</v>
      </c>
    </row>
    <row r="801" spans="1:31" s="198" customFormat="1" ht="15" x14ac:dyDescent="0.25">
      <c r="A801" s="185" t="s">
        <v>1237</v>
      </c>
      <c r="B801" s="185" t="s">
        <v>1256</v>
      </c>
      <c r="C801" s="185" t="s">
        <v>618</v>
      </c>
      <c r="D801" s="187">
        <v>9.8000000000000007</v>
      </c>
      <c r="E801" s="187">
        <v>2.87</v>
      </c>
      <c r="F801" s="187">
        <v>7</v>
      </c>
      <c r="G801" s="187">
        <v>2.09</v>
      </c>
      <c r="H801" s="190">
        <v>0.21</v>
      </c>
      <c r="I801" s="190">
        <v>0.36599999999999999</v>
      </c>
      <c r="J801" s="190">
        <v>0.875</v>
      </c>
      <c r="K801" s="185">
        <v>5.71</v>
      </c>
      <c r="L801" s="186">
        <v>26.9</v>
      </c>
      <c r="M801" s="186">
        <v>21.2</v>
      </c>
      <c r="N801" s="187">
        <v>7.19</v>
      </c>
      <c r="O801" s="187">
        <v>6.07</v>
      </c>
      <c r="P801" s="187">
        <v>2.72</v>
      </c>
      <c r="Q801" s="190">
        <v>0.95699999999999996</v>
      </c>
      <c r="R801" s="187">
        <v>1.26</v>
      </c>
      <c r="S801" s="190">
        <v>0.61699999999999999</v>
      </c>
      <c r="T801" s="190">
        <v>0.57799999999999996</v>
      </c>
      <c r="U801" s="193">
        <v>9.9599999999999994E-2</v>
      </c>
      <c r="V801" s="187">
        <v>9.15</v>
      </c>
      <c r="W801" s="185">
        <v>0.69799999999999995</v>
      </c>
      <c r="X801" s="185">
        <v>6.63</v>
      </c>
      <c r="Y801" s="187">
        <v>3.02</v>
      </c>
      <c r="Z801" s="190">
        <v>0.84499999999999997</v>
      </c>
      <c r="AA801" s="39" t="str">
        <f t="shared" si="47"/>
        <v>C</v>
      </c>
      <c r="AD801" s="14">
        <v>0.54100000000000004</v>
      </c>
      <c r="AE801" s="14">
        <v>0.20499999999999999</v>
      </c>
    </row>
    <row r="802" spans="1:31" s="198" customFormat="1" ht="15" x14ac:dyDescent="0.25">
      <c r="A802" s="185" t="s">
        <v>1237</v>
      </c>
      <c r="B802" s="185" t="s">
        <v>1257</v>
      </c>
      <c r="C802" s="185" t="s">
        <v>618</v>
      </c>
      <c r="D802" s="186">
        <v>13</v>
      </c>
      <c r="E802" s="187">
        <v>3.82</v>
      </c>
      <c r="F802" s="187">
        <v>6</v>
      </c>
      <c r="G802" s="187">
        <v>2.16</v>
      </c>
      <c r="H802" s="190">
        <v>0.437</v>
      </c>
      <c r="I802" s="190">
        <v>0.34300000000000003</v>
      </c>
      <c r="J802" s="190">
        <v>0.81299999999999994</v>
      </c>
      <c r="K802" s="187">
        <v>6.3</v>
      </c>
      <c r="L802" s="186">
        <v>11</v>
      </c>
      <c r="M802" s="186">
        <v>17.3</v>
      </c>
      <c r="N802" s="187">
        <v>7.29</v>
      </c>
      <c r="O802" s="187">
        <v>5.78</v>
      </c>
      <c r="P802" s="187">
        <v>2.13</v>
      </c>
      <c r="Q802" s="187">
        <v>1.05</v>
      </c>
      <c r="R802" s="187">
        <v>1.35</v>
      </c>
      <c r="S802" s="190">
        <v>0.63800000000000001</v>
      </c>
      <c r="T802" s="190">
        <v>0.52400000000000002</v>
      </c>
      <c r="U802" s="190">
        <v>0.23699999999999999</v>
      </c>
      <c r="V802" s="187">
        <v>7.19</v>
      </c>
      <c r="W802" s="185">
        <v>0.68899999999999995</v>
      </c>
      <c r="X802" s="185">
        <v>5.66</v>
      </c>
      <c r="Y802" s="187">
        <v>2.37</v>
      </c>
      <c r="Z802" s="190">
        <v>0.85799999999999998</v>
      </c>
      <c r="AA802" s="39" t="str">
        <f t="shared" si="47"/>
        <v>C</v>
      </c>
      <c r="AD802" s="14">
        <v>0.51400000000000001</v>
      </c>
      <c r="AE802" s="14">
        <v>0.318</v>
      </c>
    </row>
    <row r="803" spans="1:31" s="198" customFormat="1" ht="15" x14ac:dyDescent="0.25">
      <c r="A803" s="185" t="s">
        <v>1237</v>
      </c>
      <c r="B803" s="185" t="s">
        <v>1258</v>
      </c>
      <c r="C803" s="185" t="s">
        <v>618</v>
      </c>
      <c r="D803" s="186">
        <v>10.5</v>
      </c>
      <c r="E803" s="187">
        <v>3.07</v>
      </c>
      <c r="F803" s="187">
        <v>6</v>
      </c>
      <c r="G803" s="187">
        <v>2.0299999999999998</v>
      </c>
      <c r="H803" s="190">
        <v>0.314</v>
      </c>
      <c r="I803" s="190">
        <v>0.34300000000000003</v>
      </c>
      <c r="J803" s="190">
        <v>0.81299999999999994</v>
      </c>
      <c r="K803" s="185">
        <v>5.92</v>
      </c>
      <c r="L803" s="186">
        <v>15.3</v>
      </c>
      <c r="M803" s="186">
        <v>15.1</v>
      </c>
      <c r="N803" s="187">
        <v>6.18</v>
      </c>
      <c r="O803" s="187">
        <v>5.04</v>
      </c>
      <c r="P803" s="187">
        <v>2.2200000000000002</v>
      </c>
      <c r="Q803" s="190">
        <v>0.86</v>
      </c>
      <c r="R803" s="187">
        <v>1.1399999999999999</v>
      </c>
      <c r="S803" s="190">
        <v>0.56100000000000005</v>
      </c>
      <c r="T803" s="190">
        <v>0.52900000000000003</v>
      </c>
      <c r="U803" s="190">
        <v>0.128</v>
      </c>
      <c r="V803" s="187">
        <v>5.91</v>
      </c>
      <c r="W803" s="185">
        <v>0.66900000000000004</v>
      </c>
      <c r="X803" s="185">
        <v>5.66</v>
      </c>
      <c r="Y803" s="187">
        <v>2.48</v>
      </c>
      <c r="Z803" s="190">
        <v>0.84199999999999997</v>
      </c>
      <c r="AA803" s="39" t="str">
        <f t="shared" si="47"/>
        <v>C</v>
      </c>
      <c r="AD803" s="14">
        <v>0.5</v>
      </c>
      <c r="AE803" s="14">
        <v>0.25600000000000001</v>
      </c>
    </row>
    <row r="804" spans="1:31" s="198" customFormat="1" ht="15" x14ac:dyDescent="0.25">
      <c r="A804" s="185" t="s">
        <v>1237</v>
      </c>
      <c r="B804" s="185" t="s">
        <v>1259</v>
      </c>
      <c r="C804" s="185" t="s">
        <v>618</v>
      </c>
      <c r="D804" s="187">
        <v>8.1999999999999993</v>
      </c>
      <c r="E804" s="187">
        <v>2.39</v>
      </c>
      <c r="F804" s="187">
        <v>6</v>
      </c>
      <c r="G804" s="187">
        <v>1.92</v>
      </c>
      <c r="H804" s="190">
        <v>0.2</v>
      </c>
      <c r="I804" s="190">
        <v>0.34300000000000003</v>
      </c>
      <c r="J804" s="190">
        <v>0.81299999999999994</v>
      </c>
      <c r="K804" s="187">
        <v>5.6</v>
      </c>
      <c r="L804" s="186">
        <v>24.1</v>
      </c>
      <c r="M804" s="186">
        <v>13.1</v>
      </c>
      <c r="N804" s="187">
        <v>5.16</v>
      </c>
      <c r="O804" s="187">
        <v>4.3499999999999996</v>
      </c>
      <c r="P804" s="187">
        <v>2.34</v>
      </c>
      <c r="Q804" s="190">
        <v>0.68700000000000006</v>
      </c>
      <c r="R804" s="190">
        <v>0.98699999999999999</v>
      </c>
      <c r="S804" s="190">
        <v>0.48799999999999999</v>
      </c>
      <c r="T804" s="190">
        <v>0.53600000000000003</v>
      </c>
      <c r="U804" s="193">
        <v>7.3599999999999999E-2</v>
      </c>
      <c r="V804" s="187">
        <v>4.7</v>
      </c>
      <c r="W804" s="185">
        <v>0.64300000000000002</v>
      </c>
      <c r="X804" s="185">
        <v>5.66</v>
      </c>
      <c r="Y804" s="187">
        <v>2.65</v>
      </c>
      <c r="Z804" s="190">
        <v>0.82399999999999995</v>
      </c>
      <c r="AA804" s="39" t="str">
        <f t="shared" si="47"/>
        <v>C</v>
      </c>
      <c r="AD804" s="14">
        <v>0.51200000000000001</v>
      </c>
      <c r="AE804" s="14">
        <v>0.19900000000000001</v>
      </c>
    </row>
    <row r="805" spans="1:31" s="198" customFormat="1" ht="15" x14ac:dyDescent="0.25">
      <c r="A805" s="185" t="s">
        <v>1237</v>
      </c>
      <c r="B805" s="185" t="s">
        <v>1260</v>
      </c>
      <c r="C805" s="185" t="s">
        <v>618</v>
      </c>
      <c r="D805" s="187">
        <v>9</v>
      </c>
      <c r="E805" s="187">
        <v>2.64</v>
      </c>
      <c r="F805" s="187">
        <v>5</v>
      </c>
      <c r="G805" s="187">
        <v>1.89</v>
      </c>
      <c r="H805" s="190">
        <v>0.32500000000000001</v>
      </c>
      <c r="I805" s="190">
        <v>0.32</v>
      </c>
      <c r="J805" s="190">
        <v>0.75</v>
      </c>
      <c r="K805" s="185">
        <v>5.91</v>
      </c>
      <c r="L805" s="186">
        <v>11.7</v>
      </c>
      <c r="M805" s="187">
        <v>8.89</v>
      </c>
      <c r="N805" s="187">
        <v>4.3899999999999997</v>
      </c>
      <c r="O805" s="187">
        <v>3.56</v>
      </c>
      <c r="P805" s="187">
        <v>1.84</v>
      </c>
      <c r="Q805" s="190">
        <v>0.624</v>
      </c>
      <c r="R805" s="190">
        <v>0.91300000000000003</v>
      </c>
      <c r="S805" s="190">
        <v>0.44400000000000001</v>
      </c>
      <c r="T805" s="190">
        <v>0.48599999999999999</v>
      </c>
      <c r="U805" s="190">
        <v>0.109</v>
      </c>
      <c r="V805" s="187">
        <v>2.93</v>
      </c>
      <c r="W805" s="185">
        <v>0.61599999999999999</v>
      </c>
      <c r="X805" s="185">
        <v>4.68</v>
      </c>
      <c r="Y805" s="187">
        <v>2.1</v>
      </c>
      <c r="Z805" s="190">
        <v>0.81499999999999995</v>
      </c>
      <c r="AA805" s="39" t="str">
        <f t="shared" si="47"/>
        <v>C</v>
      </c>
      <c r="AD805" s="14">
        <v>0.47799999999999998</v>
      </c>
      <c r="AE805" s="14">
        <v>0.26400000000000001</v>
      </c>
    </row>
    <row r="806" spans="1:31" s="198" customFormat="1" ht="15" x14ac:dyDescent="0.25">
      <c r="A806" s="185" t="s">
        <v>1237</v>
      </c>
      <c r="B806" s="185" t="s">
        <v>1261</v>
      </c>
      <c r="C806" s="185" t="s">
        <v>618</v>
      </c>
      <c r="D806" s="187">
        <v>6.7</v>
      </c>
      <c r="E806" s="187">
        <v>1.97</v>
      </c>
      <c r="F806" s="187">
        <v>5</v>
      </c>
      <c r="G806" s="187">
        <v>1.75</v>
      </c>
      <c r="H806" s="190">
        <v>0.19</v>
      </c>
      <c r="I806" s="190">
        <v>0.32</v>
      </c>
      <c r="J806" s="190">
        <v>0.75</v>
      </c>
      <c r="K806" s="185">
        <v>5.47</v>
      </c>
      <c r="L806" s="186">
        <v>20</v>
      </c>
      <c r="M806" s="187">
        <v>7.48</v>
      </c>
      <c r="N806" s="187">
        <v>3.55</v>
      </c>
      <c r="O806" s="187">
        <v>2.99</v>
      </c>
      <c r="P806" s="187">
        <v>1.95</v>
      </c>
      <c r="Q806" s="190">
        <v>0.47</v>
      </c>
      <c r="R806" s="190">
        <v>0.75700000000000001</v>
      </c>
      <c r="S806" s="190">
        <v>0.372</v>
      </c>
      <c r="T806" s="190">
        <v>0.48899999999999999</v>
      </c>
      <c r="U806" s="193">
        <v>5.4899999999999997E-2</v>
      </c>
      <c r="V806" s="187">
        <v>2.2200000000000002</v>
      </c>
      <c r="W806" s="185">
        <v>0.58399999999999996</v>
      </c>
      <c r="X806" s="185">
        <v>4.68</v>
      </c>
      <c r="Y806" s="187">
        <v>2.2599999999999998</v>
      </c>
      <c r="Z806" s="190">
        <v>0.79</v>
      </c>
      <c r="AA806" s="39" t="str">
        <f t="shared" si="47"/>
        <v>C</v>
      </c>
      <c r="AD806" s="14">
        <v>0.48399999999999999</v>
      </c>
      <c r="AE806" s="14">
        <v>0.215</v>
      </c>
    </row>
    <row r="807" spans="1:31" s="198" customFormat="1" ht="15" x14ac:dyDescent="0.25">
      <c r="A807" s="185" t="s">
        <v>1237</v>
      </c>
      <c r="B807" s="185" t="s">
        <v>1262</v>
      </c>
      <c r="C807" s="185" t="s">
        <v>618</v>
      </c>
      <c r="D807" s="187">
        <v>7.25</v>
      </c>
      <c r="E807" s="187">
        <v>2.13</v>
      </c>
      <c r="F807" s="187">
        <v>4</v>
      </c>
      <c r="G807" s="187">
        <v>1.72</v>
      </c>
      <c r="H807" s="190">
        <v>0.32100000000000001</v>
      </c>
      <c r="I807" s="190">
        <v>0.29599999999999999</v>
      </c>
      <c r="J807" s="190">
        <v>0.75</v>
      </c>
      <c r="K807" s="185">
        <v>5.81</v>
      </c>
      <c r="L807" s="187">
        <v>8.9</v>
      </c>
      <c r="M807" s="187">
        <v>4.58</v>
      </c>
      <c r="N807" s="187">
        <v>2.84</v>
      </c>
      <c r="O807" s="187">
        <v>2.29</v>
      </c>
      <c r="P807" s="187">
        <v>1.47</v>
      </c>
      <c r="Q807" s="190">
        <v>0.42499999999999999</v>
      </c>
      <c r="R807" s="190">
        <v>0.69499999999999995</v>
      </c>
      <c r="S807" s="190">
        <v>0.33700000000000002</v>
      </c>
      <c r="T807" s="190">
        <v>0.44700000000000001</v>
      </c>
      <c r="U807" s="193">
        <v>8.1699999999999995E-2</v>
      </c>
      <c r="V807" s="187">
        <v>1.24</v>
      </c>
      <c r="W807" s="185">
        <v>0.56299999999999994</v>
      </c>
      <c r="X807" s="187">
        <v>3.7</v>
      </c>
      <c r="Y807" s="187">
        <v>1.75</v>
      </c>
      <c r="Z807" s="190">
        <v>0.76700000000000002</v>
      </c>
      <c r="AA807" s="39" t="str">
        <f t="shared" si="47"/>
        <v>C</v>
      </c>
      <c r="AD807" s="14">
        <v>0.45900000000000002</v>
      </c>
      <c r="AE807" s="14">
        <v>0.26600000000000001</v>
      </c>
    </row>
    <row r="808" spans="1:31" s="198" customFormat="1" ht="15" x14ac:dyDescent="0.25">
      <c r="A808" s="185" t="s">
        <v>1237</v>
      </c>
      <c r="B808" s="185" t="s">
        <v>1263</v>
      </c>
      <c r="C808" s="185" t="s">
        <v>618</v>
      </c>
      <c r="D808" s="187">
        <v>6.25</v>
      </c>
      <c r="E808" s="187">
        <v>1.84</v>
      </c>
      <c r="F808" s="187">
        <v>4</v>
      </c>
      <c r="G808" s="185">
        <v>1.65</v>
      </c>
      <c r="H808" s="190">
        <v>0.247</v>
      </c>
      <c r="I808" s="190">
        <v>0.29599999999999999</v>
      </c>
      <c r="J808" s="190">
        <v>0.75</v>
      </c>
      <c r="K808" s="185">
        <v>5.57</v>
      </c>
      <c r="L808" s="186">
        <v>11.5</v>
      </c>
      <c r="M808" s="185">
        <v>4.1900000000000004</v>
      </c>
      <c r="N808" s="187">
        <v>2.5499999999999998</v>
      </c>
      <c r="O808" s="187">
        <v>2.1</v>
      </c>
      <c r="P808" s="187">
        <v>1.51</v>
      </c>
      <c r="Q808" s="190">
        <v>0.374</v>
      </c>
      <c r="R808" s="190">
        <v>0.623</v>
      </c>
      <c r="S808" s="190">
        <v>0.312</v>
      </c>
      <c r="T808" s="190">
        <v>0.45100000000000001</v>
      </c>
      <c r="U808" s="193">
        <v>5.4899999999999997E-2</v>
      </c>
      <c r="V808" s="187">
        <v>1.07</v>
      </c>
      <c r="W808" s="190">
        <v>0.54900000000000004</v>
      </c>
      <c r="X808" s="187">
        <v>3.7</v>
      </c>
      <c r="Y808" s="187">
        <v>1.81</v>
      </c>
      <c r="Z808" s="190">
        <v>0.753</v>
      </c>
      <c r="AA808" s="39" t="str">
        <f t="shared" si="47"/>
        <v>C</v>
      </c>
      <c r="AD808" s="14">
        <v>0.45300000000000001</v>
      </c>
      <c r="AE808" s="14">
        <v>0.23300000000000001</v>
      </c>
    </row>
    <row r="809" spans="1:31" s="198" customFormat="1" ht="15" x14ac:dyDescent="0.25">
      <c r="A809" s="185" t="s">
        <v>1237</v>
      </c>
      <c r="B809" s="185" t="s">
        <v>1264</v>
      </c>
      <c r="C809" s="185" t="s">
        <v>618</v>
      </c>
      <c r="D809" s="187">
        <v>5.4</v>
      </c>
      <c r="E809" s="187">
        <v>1.58</v>
      </c>
      <c r="F809" s="187">
        <v>4</v>
      </c>
      <c r="G809" s="187">
        <v>1.58</v>
      </c>
      <c r="H809" s="190">
        <v>0.184</v>
      </c>
      <c r="I809" s="190">
        <v>0.29599999999999999</v>
      </c>
      <c r="J809" s="190">
        <v>0.75</v>
      </c>
      <c r="K809" s="185">
        <v>5.34</v>
      </c>
      <c r="L809" s="186">
        <v>15.5</v>
      </c>
      <c r="M809" s="187">
        <v>3.85</v>
      </c>
      <c r="N809" s="187">
        <v>2.29</v>
      </c>
      <c r="O809" s="187">
        <v>1.92</v>
      </c>
      <c r="P809" s="187">
        <v>1.56</v>
      </c>
      <c r="Q809" s="190">
        <v>0.312</v>
      </c>
      <c r="R809" s="190">
        <v>0.56499999999999995</v>
      </c>
      <c r="S809" s="190">
        <v>0.27700000000000002</v>
      </c>
      <c r="T809" s="190">
        <v>0.44400000000000001</v>
      </c>
      <c r="U809" s="193">
        <v>3.9899999999999998E-2</v>
      </c>
      <c r="V809" s="190">
        <v>0.92100000000000004</v>
      </c>
      <c r="W809" s="185">
        <v>0.52800000000000002</v>
      </c>
      <c r="X809" s="187">
        <v>3.7</v>
      </c>
      <c r="Y809" s="187">
        <v>1.88</v>
      </c>
      <c r="Z809" s="190">
        <v>0.74199999999999999</v>
      </c>
      <c r="AA809" s="39" t="str">
        <f t="shared" si="47"/>
        <v>C</v>
      </c>
      <c r="AD809" s="14">
        <v>0.45700000000000002</v>
      </c>
      <c r="AE809" s="14">
        <v>0.23100000000000001</v>
      </c>
    </row>
    <row r="810" spans="1:31" s="198" customFormat="1" ht="15" x14ac:dyDescent="0.25">
      <c r="A810" s="185" t="s">
        <v>1237</v>
      </c>
      <c r="B810" s="185" t="s">
        <v>1265</v>
      </c>
      <c r="C810" s="185" t="s">
        <v>618</v>
      </c>
      <c r="D810" s="187">
        <v>4.5</v>
      </c>
      <c r="E810" s="187">
        <v>1.34</v>
      </c>
      <c r="F810" s="187">
        <v>4</v>
      </c>
      <c r="G810" s="187">
        <v>1.52</v>
      </c>
      <c r="H810" s="190">
        <v>0.125</v>
      </c>
      <c r="I810" s="190">
        <v>0.29599999999999999</v>
      </c>
      <c r="J810" s="190">
        <v>0.75</v>
      </c>
      <c r="K810" s="185">
        <v>5.14</v>
      </c>
      <c r="L810" s="186">
        <v>22.8</v>
      </c>
      <c r="M810" s="185">
        <v>3.53</v>
      </c>
      <c r="N810" s="187">
        <v>2.0499999999999998</v>
      </c>
      <c r="O810" s="185">
        <v>1.77</v>
      </c>
      <c r="P810" s="187">
        <v>1.62</v>
      </c>
      <c r="Q810" s="190">
        <v>0.26500000000000001</v>
      </c>
      <c r="R810" s="190">
        <v>0.495</v>
      </c>
      <c r="S810" s="190">
        <v>0.253</v>
      </c>
      <c r="T810" s="190">
        <v>0.44500000000000001</v>
      </c>
      <c r="U810" s="193">
        <v>3.0599999999999999E-2</v>
      </c>
      <c r="V810" s="190">
        <v>0.77800000000000002</v>
      </c>
      <c r="W810" s="185">
        <v>0.50600000000000001</v>
      </c>
      <c r="X810" s="187">
        <v>3.7</v>
      </c>
      <c r="Y810" s="187">
        <v>1.97</v>
      </c>
      <c r="Z810" s="190">
        <v>0.72699999999999998</v>
      </c>
      <c r="AA810" s="39" t="str">
        <f t="shared" si="47"/>
        <v>C</v>
      </c>
      <c r="AD810" s="14">
        <v>0.47299999999999998</v>
      </c>
      <c r="AE810" s="14">
        <v>0.30499999999999999</v>
      </c>
    </row>
    <row r="811" spans="1:31" s="198" customFormat="1" ht="15" x14ac:dyDescent="0.25">
      <c r="A811" s="185" t="s">
        <v>1237</v>
      </c>
      <c r="B811" s="185" t="s">
        <v>1266</v>
      </c>
      <c r="C811" s="185" t="s">
        <v>618</v>
      </c>
      <c r="D811" s="187">
        <v>6</v>
      </c>
      <c r="E811" s="187">
        <v>1.76</v>
      </c>
      <c r="F811" s="187">
        <v>3</v>
      </c>
      <c r="G811" s="187">
        <v>1.6</v>
      </c>
      <c r="H811" s="190">
        <v>0.35599999999999998</v>
      </c>
      <c r="I811" s="190">
        <v>0.27300000000000002</v>
      </c>
      <c r="J811" s="190">
        <v>0.68799999999999994</v>
      </c>
      <c r="K811" s="185">
        <v>5.86</v>
      </c>
      <c r="L811" s="185">
        <v>5.38</v>
      </c>
      <c r="M811" s="187">
        <v>2.0699999999999998</v>
      </c>
      <c r="N811" s="187">
        <v>1.74</v>
      </c>
      <c r="O811" s="187">
        <v>1.38</v>
      </c>
      <c r="P811" s="187">
        <v>1.0900000000000001</v>
      </c>
      <c r="Q811" s="190">
        <v>0.3</v>
      </c>
      <c r="R811" s="190">
        <v>0.54300000000000004</v>
      </c>
      <c r="S811" s="190">
        <v>0.26300000000000001</v>
      </c>
      <c r="T811" s="190">
        <v>0.41299999999999998</v>
      </c>
      <c r="U811" s="193">
        <v>7.2499999999999995E-2</v>
      </c>
      <c r="V811" s="190">
        <v>0.46200000000000002</v>
      </c>
      <c r="W811" s="185">
        <v>0.51900000000000002</v>
      </c>
      <c r="X811" s="185">
        <v>2.73</v>
      </c>
      <c r="Y811" s="187">
        <v>1.4</v>
      </c>
      <c r="Z811" s="190">
        <v>0.69</v>
      </c>
      <c r="AA811" s="39" t="str">
        <f t="shared" si="47"/>
        <v>C</v>
      </c>
      <c r="AD811" s="14">
        <v>0.45500000000000002</v>
      </c>
      <c r="AE811" s="14">
        <v>0.29399999999999998</v>
      </c>
    </row>
    <row r="812" spans="1:31" s="198" customFormat="1" ht="15" x14ac:dyDescent="0.25">
      <c r="A812" s="185" t="s">
        <v>1237</v>
      </c>
      <c r="B812" s="185" t="s">
        <v>1267</v>
      </c>
      <c r="C812" s="185" t="s">
        <v>618</v>
      </c>
      <c r="D812" s="187">
        <v>5</v>
      </c>
      <c r="E812" s="187">
        <v>1.47</v>
      </c>
      <c r="F812" s="187">
        <v>3</v>
      </c>
      <c r="G812" s="187">
        <v>1.5</v>
      </c>
      <c r="H812" s="190">
        <v>0.25800000000000001</v>
      </c>
      <c r="I812" s="190">
        <v>0.27300000000000002</v>
      </c>
      <c r="J812" s="190">
        <v>0.68799999999999994</v>
      </c>
      <c r="K812" s="185">
        <v>5.49</v>
      </c>
      <c r="L812" s="185">
        <v>7.42</v>
      </c>
      <c r="M812" s="187">
        <v>1.85</v>
      </c>
      <c r="N812" s="187">
        <v>1.52</v>
      </c>
      <c r="O812" s="187">
        <v>1.23</v>
      </c>
      <c r="P812" s="187">
        <v>1.1200000000000001</v>
      </c>
      <c r="Q812" s="190">
        <v>0.24099999999999999</v>
      </c>
      <c r="R812" s="190">
        <v>0.46400000000000002</v>
      </c>
      <c r="S812" s="190">
        <v>0.22800000000000001</v>
      </c>
      <c r="T812" s="190">
        <v>0.40500000000000003</v>
      </c>
      <c r="U812" s="193">
        <v>4.2500000000000003E-2</v>
      </c>
      <c r="V812" s="190">
        <v>0.379</v>
      </c>
      <c r="W812" s="185">
        <v>0.496</v>
      </c>
      <c r="X812" s="185">
        <v>2.73</v>
      </c>
      <c r="Y812" s="187">
        <v>1.45</v>
      </c>
      <c r="Z812" s="190">
        <v>0.67300000000000004</v>
      </c>
      <c r="AA812" s="39" t="str">
        <f t="shared" si="47"/>
        <v>C</v>
      </c>
      <c r="AD812" s="14">
        <v>0.439</v>
      </c>
      <c r="AE812" s="14">
        <v>0.245</v>
      </c>
    </row>
    <row r="813" spans="1:31" s="198" customFormat="1" ht="15" x14ac:dyDescent="0.25">
      <c r="A813" s="185" t="s">
        <v>1237</v>
      </c>
      <c r="B813" s="185" t="s">
        <v>1268</v>
      </c>
      <c r="C813" s="185" t="s">
        <v>618</v>
      </c>
      <c r="D813" s="187">
        <v>4.0999999999999996</v>
      </c>
      <c r="E813" s="187">
        <v>1.2</v>
      </c>
      <c r="F813" s="187">
        <v>3</v>
      </c>
      <c r="G813" s="187">
        <v>1.41</v>
      </c>
      <c r="H813" s="190">
        <v>0.17</v>
      </c>
      <c r="I813" s="190">
        <v>0.27300000000000002</v>
      </c>
      <c r="J813" s="190">
        <v>0.68799999999999994</v>
      </c>
      <c r="K813" s="185">
        <v>5.16</v>
      </c>
      <c r="L813" s="185">
        <v>11.3</v>
      </c>
      <c r="M813" s="187">
        <v>1.65</v>
      </c>
      <c r="N813" s="187">
        <v>1.32</v>
      </c>
      <c r="O813" s="187">
        <v>1.1000000000000001</v>
      </c>
      <c r="P813" s="187">
        <v>1.18</v>
      </c>
      <c r="Q813" s="190">
        <v>0.191</v>
      </c>
      <c r="R813" s="190">
        <v>0.39900000000000002</v>
      </c>
      <c r="S813" s="190">
        <v>0.19600000000000001</v>
      </c>
      <c r="T813" s="190">
        <v>0.39800000000000002</v>
      </c>
      <c r="U813" s="193">
        <v>2.69E-2</v>
      </c>
      <c r="V813" s="190">
        <v>0.307</v>
      </c>
      <c r="W813" s="185">
        <v>0.46899999999999997</v>
      </c>
      <c r="X813" s="185">
        <v>2.73</v>
      </c>
      <c r="Y813" s="187">
        <v>1.53</v>
      </c>
      <c r="Z813" s="190">
        <v>0.65500000000000003</v>
      </c>
      <c r="AA813" s="39" t="str">
        <f t="shared" si="47"/>
        <v>C</v>
      </c>
      <c r="AD813" s="14">
        <v>0.437</v>
      </c>
      <c r="AE813" s="14">
        <v>0.26200000000000001</v>
      </c>
    </row>
    <row r="814" spans="1:31" s="198" customFormat="1" ht="15" x14ac:dyDescent="0.25">
      <c r="A814" s="185" t="s">
        <v>1237</v>
      </c>
      <c r="B814" s="185" t="s">
        <v>1269</v>
      </c>
      <c r="C814" s="185" t="s">
        <v>618</v>
      </c>
      <c r="D814" s="187">
        <v>3.5</v>
      </c>
      <c r="E814" s="187">
        <v>1.0900000000000001</v>
      </c>
      <c r="F814" s="187">
        <v>3</v>
      </c>
      <c r="G814" s="187">
        <v>1.37</v>
      </c>
      <c r="H814" s="190">
        <v>0.13200000000000001</v>
      </c>
      <c r="I814" s="190">
        <v>0.27300000000000002</v>
      </c>
      <c r="J814" s="190">
        <v>0.68799999999999994</v>
      </c>
      <c r="K814" s="185">
        <v>5.0199999999999996</v>
      </c>
      <c r="L814" s="185">
        <v>14.5</v>
      </c>
      <c r="M814" s="187">
        <v>1.57</v>
      </c>
      <c r="N814" s="187">
        <v>1.24</v>
      </c>
      <c r="O814" s="187">
        <v>1.04</v>
      </c>
      <c r="P814" s="187">
        <v>1.2</v>
      </c>
      <c r="Q814" s="190">
        <v>0.16900000000000001</v>
      </c>
      <c r="R814" s="190">
        <v>0.36399999999999999</v>
      </c>
      <c r="S814" s="190">
        <v>0.182</v>
      </c>
      <c r="T814" s="190">
        <v>0.39400000000000002</v>
      </c>
      <c r="U814" s="193">
        <v>2.2599999999999999E-2</v>
      </c>
      <c r="V814" s="190">
        <v>0.27600000000000002</v>
      </c>
      <c r="W814" s="185">
        <v>0.45600000000000002</v>
      </c>
      <c r="X814" s="185">
        <v>2.73</v>
      </c>
      <c r="Y814" s="187">
        <v>1.57</v>
      </c>
      <c r="Z814" s="190">
        <v>0.64600000000000002</v>
      </c>
      <c r="AA814" s="39" t="str">
        <f t="shared" si="47"/>
        <v>C</v>
      </c>
      <c r="AD814" s="14">
        <v>0.443</v>
      </c>
      <c r="AE814" s="14">
        <v>0.29599999999999999</v>
      </c>
    </row>
    <row r="815" spans="1:31" s="198" customFormat="1" ht="15" x14ac:dyDescent="0.25">
      <c r="A815" s="185" t="s">
        <v>1270</v>
      </c>
      <c r="B815" s="185" t="s">
        <v>1271</v>
      </c>
      <c r="C815" s="185" t="s">
        <v>618</v>
      </c>
      <c r="D815" s="186">
        <v>58</v>
      </c>
      <c r="E815" s="186">
        <v>17.100000000000001</v>
      </c>
      <c r="F815" s="186">
        <v>18</v>
      </c>
      <c r="G815" s="187">
        <v>4.2</v>
      </c>
      <c r="H815" s="190">
        <v>0.7</v>
      </c>
      <c r="I815" s="190">
        <v>0.625</v>
      </c>
      <c r="J815" s="187">
        <v>1.44</v>
      </c>
      <c r="K815" s="185">
        <v>6.72</v>
      </c>
      <c r="L815" s="185">
        <v>22.1</v>
      </c>
      <c r="M815" s="185">
        <v>675</v>
      </c>
      <c r="N815" s="186">
        <v>95.4</v>
      </c>
      <c r="O815" s="186">
        <v>75</v>
      </c>
      <c r="P815" s="187">
        <v>6.29</v>
      </c>
      <c r="Q815" s="186">
        <v>17.600000000000001</v>
      </c>
      <c r="R815" s="186">
        <v>10.7</v>
      </c>
      <c r="S815" s="187">
        <v>5.28</v>
      </c>
      <c r="T815" s="187">
        <v>1.02</v>
      </c>
      <c r="U815" s="187">
        <v>2.81</v>
      </c>
      <c r="V815" s="185">
        <v>1070</v>
      </c>
      <c r="W815" s="185">
        <v>1.35</v>
      </c>
      <c r="X815" s="185">
        <v>17.399999999999999</v>
      </c>
      <c r="Y815" s="187">
        <v>6.56</v>
      </c>
      <c r="Z815" s="190">
        <v>0.94399999999999995</v>
      </c>
      <c r="AA815" s="39" t="str">
        <f t="shared" si="47"/>
        <v>MC</v>
      </c>
      <c r="AD815" s="14">
        <v>0.86199999999999999</v>
      </c>
      <c r="AE815" s="14">
        <v>0.47399999999999998</v>
      </c>
    </row>
    <row r="816" spans="1:31" s="198" customFormat="1" ht="15" x14ac:dyDescent="0.25">
      <c r="A816" s="185" t="s">
        <v>1270</v>
      </c>
      <c r="B816" s="185" t="s">
        <v>1272</v>
      </c>
      <c r="C816" s="185" t="s">
        <v>618</v>
      </c>
      <c r="D816" s="186">
        <v>51.9</v>
      </c>
      <c r="E816" s="186">
        <v>15.3</v>
      </c>
      <c r="F816" s="186">
        <v>18</v>
      </c>
      <c r="G816" s="187">
        <v>4.0999999999999996</v>
      </c>
      <c r="H816" s="190">
        <v>0.6</v>
      </c>
      <c r="I816" s="190">
        <v>0.625</v>
      </c>
      <c r="J816" s="187">
        <v>1.44</v>
      </c>
      <c r="K816" s="185">
        <v>6.56</v>
      </c>
      <c r="L816" s="185">
        <v>25.8</v>
      </c>
      <c r="M816" s="185">
        <v>627</v>
      </c>
      <c r="N816" s="186">
        <v>87.3</v>
      </c>
      <c r="O816" s="186">
        <v>69.599999999999994</v>
      </c>
      <c r="P816" s="187">
        <v>6.41</v>
      </c>
      <c r="Q816" s="186">
        <v>16.3</v>
      </c>
      <c r="R816" s="187">
        <v>9.86</v>
      </c>
      <c r="S816" s="187">
        <v>5.0199999999999996</v>
      </c>
      <c r="T816" s="187">
        <v>1.03</v>
      </c>
      <c r="U816" s="187">
        <v>2.0299999999999998</v>
      </c>
      <c r="V816" s="185">
        <v>985</v>
      </c>
      <c r="W816" s="185">
        <v>1.35</v>
      </c>
      <c r="X816" s="185">
        <v>17.399999999999999</v>
      </c>
      <c r="Y816" s="187">
        <v>6.7</v>
      </c>
      <c r="Z816" s="190">
        <v>0.93899999999999995</v>
      </c>
      <c r="AA816" s="39" t="str">
        <f t="shared" si="47"/>
        <v>MC</v>
      </c>
      <c r="AD816" s="14">
        <v>0.85799999999999998</v>
      </c>
      <c r="AE816" s="14">
        <v>0.42399999999999999</v>
      </c>
    </row>
    <row r="817" spans="1:31" s="198" customFormat="1" ht="15" x14ac:dyDescent="0.25">
      <c r="A817" s="185" t="s">
        <v>1270</v>
      </c>
      <c r="B817" s="185" t="s">
        <v>1273</v>
      </c>
      <c r="C817" s="185" t="s">
        <v>618</v>
      </c>
      <c r="D817" s="186">
        <v>45.8</v>
      </c>
      <c r="E817" s="186">
        <v>13.5</v>
      </c>
      <c r="F817" s="186">
        <v>18</v>
      </c>
      <c r="G817" s="187">
        <v>4</v>
      </c>
      <c r="H817" s="190">
        <v>0.5</v>
      </c>
      <c r="I817" s="190">
        <v>0.625</v>
      </c>
      <c r="J817" s="187">
        <v>1.44</v>
      </c>
      <c r="K817" s="187">
        <v>6.4</v>
      </c>
      <c r="L817" s="186">
        <v>31</v>
      </c>
      <c r="M817" s="185">
        <v>578</v>
      </c>
      <c r="N817" s="186">
        <v>79.2</v>
      </c>
      <c r="O817" s="186">
        <v>64.2</v>
      </c>
      <c r="P817" s="187">
        <v>6.55</v>
      </c>
      <c r="Q817" s="186">
        <v>14.9</v>
      </c>
      <c r="R817" s="187">
        <v>9.14</v>
      </c>
      <c r="S817" s="187">
        <v>4.7699999999999996</v>
      </c>
      <c r="T817" s="187">
        <v>1.05</v>
      </c>
      <c r="U817" s="187">
        <v>1.45</v>
      </c>
      <c r="V817" s="185">
        <v>897</v>
      </c>
      <c r="W817" s="185">
        <v>1.34</v>
      </c>
      <c r="X817" s="185">
        <v>17.399999999999999</v>
      </c>
      <c r="Y817" s="187">
        <v>6.87</v>
      </c>
      <c r="Z817" s="190">
        <v>0.93300000000000005</v>
      </c>
      <c r="AA817" s="39" t="str">
        <f t="shared" si="47"/>
        <v>MC</v>
      </c>
      <c r="AD817" s="14">
        <v>0.86599999999999999</v>
      </c>
      <c r="AE817" s="14">
        <v>0.374</v>
      </c>
    </row>
    <row r="818" spans="1:31" s="198" customFormat="1" ht="15" x14ac:dyDescent="0.25">
      <c r="A818" s="185" t="s">
        <v>1270</v>
      </c>
      <c r="B818" s="185" t="s">
        <v>1274</v>
      </c>
      <c r="C818" s="185" t="s">
        <v>618</v>
      </c>
      <c r="D818" s="186">
        <v>42.7</v>
      </c>
      <c r="E818" s="186">
        <v>12.6</v>
      </c>
      <c r="F818" s="186">
        <v>18</v>
      </c>
      <c r="G818" s="187">
        <v>3.95</v>
      </c>
      <c r="H818" s="190">
        <v>0.45</v>
      </c>
      <c r="I818" s="190">
        <v>0.625</v>
      </c>
      <c r="J818" s="187">
        <v>1.44</v>
      </c>
      <c r="K818" s="185">
        <v>6.32</v>
      </c>
      <c r="L818" s="185">
        <v>34.4</v>
      </c>
      <c r="M818" s="185">
        <v>554</v>
      </c>
      <c r="N818" s="186">
        <v>75.099999999999994</v>
      </c>
      <c r="O818" s="186">
        <v>61.5</v>
      </c>
      <c r="P818" s="187">
        <v>6.64</v>
      </c>
      <c r="Q818" s="186">
        <v>14.3</v>
      </c>
      <c r="R818" s="187">
        <v>8.82</v>
      </c>
      <c r="S818" s="187">
        <v>4.6399999999999997</v>
      </c>
      <c r="T818" s="187">
        <v>1.07</v>
      </c>
      <c r="U818" s="187">
        <v>1.23</v>
      </c>
      <c r="V818" s="185">
        <v>852</v>
      </c>
      <c r="W818" s="185">
        <v>1.34</v>
      </c>
      <c r="X818" s="185">
        <v>17.399999999999999</v>
      </c>
      <c r="Y818" s="187">
        <v>6.97</v>
      </c>
      <c r="Z818" s="190">
        <v>0.93</v>
      </c>
      <c r="AA818" s="39" t="str">
        <f t="shared" si="47"/>
        <v>MC</v>
      </c>
      <c r="AD818" s="14">
        <v>0.877</v>
      </c>
      <c r="AE818" s="14">
        <v>0.34899999999999998</v>
      </c>
    </row>
    <row r="819" spans="1:31" s="198" customFormat="1" ht="15" x14ac:dyDescent="0.25">
      <c r="A819" s="185" t="s">
        <v>1270</v>
      </c>
      <c r="B819" s="185" t="s">
        <v>1275</v>
      </c>
      <c r="C819" s="185" t="s">
        <v>618</v>
      </c>
      <c r="D819" s="186">
        <v>50</v>
      </c>
      <c r="E819" s="186">
        <v>14.7</v>
      </c>
      <c r="F819" s="186">
        <v>13</v>
      </c>
      <c r="G819" s="187">
        <v>4.41</v>
      </c>
      <c r="H819" s="190">
        <v>0.78700000000000003</v>
      </c>
      <c r="I819" s="190">
        <v>0.61</v>
      </c>
      <c r="J819" s="187">
        <v>1.44</v>
      </c>
      <c r="K819" s="185">
        <v>7.23</v>
      </c>
      <c r="L819" s="185">
        <v>13.7</v>
      </c>
      <c r="M819" s="185">
        <v>314</v>
      </c>
      <c r="N819" s="186">
        <v>60.8</v>
      </c>
      <c r="O819" s="186">
        <v>48.3</v>
      </c>
      <c r="P819" s="187">
        <v>4.62</v>
      </c>
      <c r="Q819" s="186">
        <v>16.399999999999999</v>
      </c>
      <c r="R819" s="186">
        <v>10.199999999999999</v>
      </c>
      <c r="S819" s="187">
        <v>4.7699999999999996</v>
      </c>
      <c r="T819" s="187">
        <v>1.06</v>
      </c>
      <c r="U819" s="187">
        <v>2.96</v>
      </c>
      <c r="V819" s="185">
        <v>558</v>
      </c>
      <c r="W819" s="185">
        <v>1.41</v>
      </c>
      <c r="X819" s="185">
        <v>12.4</v>
      </c>
      <c r="Y819" s="187">
        <v>5.07</v>
      </c>
      <c r="Z819" s="190">
        <v>0.875</v>
      </c>
      <c r="AA819" s="39" t="str">
        <f t="shared" si="47"/>
        <v>MC</v>
      </c>
      <c r="AD819" s="14">
        <v>0.97399999999999998</v>
      </c>
      <c r="AE819" s="14">
        <v>0.56599999999999995</v>
      </c>
    </row>
    <row r="820" spans="1:31" s="198" customFormat="1" ht="15" x14ac:dyDescent="0.25">
      <c r="A820" s="185" t="s">
        <v>1270</v>
      </c>
      <c r="B820" s="185" t="s">
        <v>1276</v>
      </c>
      <c r="C820" s="185" t="s">
        <v>618</v>
      </c>
      <c r="D820" s="186">
        <v>40</v>
      </c>
      <c r="E820" s="186">
        <v>11.7</v>
      </c>
      <c r="F820" s="186">
        <v>13</v>
      </c>
      <c r="G820" s="187">
        <v>4.1900000000000004</v>
      </c>
      <c r="H820" s="190">
        <v>0.56000000000000005</v>
      </c>
      <c r="I820" s="190">
        <v>0.61</v>
      </c>
      <c r="J820" s="187">
        <v>1.44</v>
      </c>
      <c r="K820" s="185">
        <v>6.87</v>
      </c>
      <c r="L820" s="185">
        <v>19.3</v>
      </c>
      <c r="M820" s="185">
        <v>273</v>
      </c>
      <c r="N820" s="186">
        <v>51.2</v>
      </c>
      <c r="O820" s="186">
        <v>41.9</v>
      </c>
      <c r="P820" s="187">
        <v>4.82</v>
      </c>
      <c r="Q820" s="186">
        <v>13.7</v>
      </c>
      <c r="R820" s="187">
        <v>8.66</v>
      </c>
      <c r="S820" s="187">
        <v>4.24</v>
      </c>
      <c r="T820" s="187">
        <v>1.08</v>
      </c>
      <c r="U820" s="187">
        <v>1.55</v>
      </c>
      <c r="V820" s="185">
        <v>462</v>
      </c>
      <c r="W820" s="185">
        <v>1.38</v>
      </c>
      <c r="X820" s="185">
        <v>12.4</v>
      </c>
      <c r="Y820" s="187">
        <v>5.32</v>
      </c>
      <c r="Z820" s="190">
        <v>0.85899999999999999</v>
      </c>
      <c r="AA820" s="39" t="str">
        <f t="shared" si="47"/>
        <v>MC</v>
      </c>
      <c r="AD820" s="14">
        <v>0.96299999999999997</v>
      </c>
      <c r="AE820" s="14">
        <v>0.45200000000000001</v>
      </c>
    </row>
    <row r="821" spans="1:31" s="198" customFormat="1" ht="15" x14ac:dyDescent="0.25">
      <c r="A821" s="185" t="s">
        <v>1270</v>
      </c>
      <c r="B821" s="185" t="s">
        <v>1277</v>
      </c>
      <c r="C821" s="185" t="s">
        <v>618</v>
      </c>
      <c r="D821" s="186">
        <v>35</v>
      </c>
      <c r="E821" s="186">
        <v>10.3</v>
      </c>
      <c r="F821" s="186">
        <v>13</v>
      </c>
      <c r="G821" s="187">
        <v>4.07</v>
      </c>
      <c r="H821" s="190">
        <v>0.44700000000000001</v>
      </c>
      <c r="I821" s="190">
        <v>0.61</v>
      </c>
      <c r="J821" s="187">
        <v>1.44</v>
      </c>
      <c r="K821" s="185">
        <v>6.67</v>
      </c>
      <c r="L821" s="185">
        <v>24.2</v>
      </c>
      <c r="M821" s="185">
        <v>252</v>
      </c>
      <c r="N821" s="186">
        <v>46.5</v>
      </c>
      <c r="O821" s="186">
        <v>38.799999999999997</v>
      </c>
      <c r="P821" s="187">
        <v>4.95</v>
      </c>
      <c r="Q821" s="186">
        <v>12.3</v>
      </c>
      <c r="R821" s="187">
        <v>8.0399999999999991</v>
      </c>
      <c r="S821" s="187">
        <v>3.97</v>
      </c>
      <c r="T821" s="187">
        <v>1.0900000000000001</v>
      </c>
      <c r="U821" s="187">
        <v>1.1299999999999999</v>
      </c>
      <c r="V821" s="185">
        <v>412</v>
      </c>
      <c r="W821" s="185">
        <v>1.35</v>
      </c>
      <c r="X821" s="185">
        <v>12.4</v>
      </c>
      <c r="Y821" s="187">
        <v>5.5</v>
      </c>
      <c r="Z821" s="190">
        <v>0.84899999999999998</v>
      </c>
      <c r="AA821" s="39" t="str">
        <f t="shared" si="47"/>
        <v>MC</v>
      </c>
      <c r="AD821" s="14">
        <v>0.98</v>
      </c>
      <c r="AE821" s="14">
        <v>0.39600000000000002</v>
      </c>
    </row>
    <row r="822" spans="1:31" s="198" customFormat="1" ht="15" x14ac:dyDescent="0.25">
      <c r="A822" s="185" t="s">
        <v>1270</v>
      </c>
      <c r="B822" s="185" t="s">
        <v>1278</v>
      </c>
      <c r="C822" s="185" t="s">
        <v>618</v>
      </c>
      <c r="D822" s="186">
        <v>31.8</v>
      </c>
      <c r="E822" s="187">
        <v>9.35</v>
      </c>
      <c r="F822" s="186">
        <v>13</v>
      </c>
      <c r="G822" s="187">
        <v>4</v>
      </c>
      <c r="H822" s="190">
        <v>0.375</v>
      </c>
      <c r="I822" s="190">
        <v>0.61</v>
      </c>
      <c r="J822" s="187">
        <v>1.44</v>
      </c>
      <c r="K822" s="185">
        <v>6.56</v>
      </c>
      <c r="L822" s="185">
        <v>28.9</v>
      </c>
      <c r="M822" s="185">
        <v>239</v>
      </c>
      <c r="N822" s="186">
        <v>43.4</v>
      </c>
      <c r="O822" s="186">
        <v>36.700000000000003</v>
      </c>
      <c r="P822" s="187">
        <v>5.05</v>
      </c>
      <c r="Q822" s="186">
        <v>11.4</v>
      </c>
      <c r="R822" s="187">
        <v>7.69</v>
      </c>
      <c r="S822" s="187">
        <v>3.79</v>
      </c>
      <c r="T822" s="187">
        <v>1.1000000000000001</v>
      </c>
      <c r="U822" s="190">
        <v>0.93700000000000006</v>
      </c>
      <c r="V822" s="185">
        <v>380</v>
      </c>
      <c r="W822" s="185">
        <v>1.34</v>
      </c>
      <c r="X822" s="185">
        <v>12.4</v>
      </c>
      <c r="Y822" s="187">
        <v>5.64</v>
      </c>
      <c r="Z822" s="190">
        <v>0.84199999999999997</v>
      </c>
      <c r="AA822" s="39" t="str">
        <f t="shared" si="47"/>
        <v>MC</v>
      </c>
      <c r="AD822" s="14">
        <v>1</v>
      </c>
      <c r="AE822" s="14">
        <v>0.36</v>
      </c>
    </row>
    <row r="823" spans="1:31" s="198" customFormat="1" ht="15" x14ac:dyDescent="0.25">
      <c r="A823" s="185" t="s">
        <v>1270</v>
      </c>
      <c r="B823" s="185" t="s">
        <v>1279</v>
      </c>
      <c r="C823" s="185" t="s">
        <v>618</v>
      </c>
      <c r="D823" s="186">
        <v>50</v>
      </c>
      <c r="E823" s="186">
        <v>14.7</v>
      </c>
      <c r="F823" s="186">
        <v>12</v>
      </c>
      <c r="G823" s="187">
        <v>4.1399999999999997</v>
      </c>
      <c r="H823" s="190">
        <v>0.83499999999999996</v>
      </c>
      <c r="I823" s="190">
        <v>0.7</v>
      </c>
      <c r="J823" s="187">
        <v>1.31</v>
      </c>
      <c r="K823" s="185">
        <v>5.91</v>
      </c>
      <c r="L823" s="185">
        <v>11.5</v>
      </c>
      <c r="M823" s="185">
        <v>269</v>
      </c>
      <c r="N823" s="186">
        <v>56.5</v>
      </c>
      <c r="O823" s="186">
        <v>44.9</v>
      </c>
      <c r="P823" s="187">
        <v>4.28</v>
      </c>
      <c r="Q823" s="186">
        <v>17.399999999999999</v>
      </c>
      <c r="R823" s="186">
        <v>10.9</v>
      </c>
      <c r="S823" s="187">
        <v>5.64</v>
      </c>
      <c r="T823" s="187">
        <v>1.0900000000000001</v>
      </c>
      <c r="U823" s="187">
        <v>3.23</v>
      </c>
      <c r="V823" s="185">
        <v>411</v>
      </c>
      <c r="W823" s="185">
        <v>1.37</v>
      </c>
      <c r="X823" s="185">
        <v>11.3</v>
      </c>
      <c r="Y823" s="187">
        <v>4.7699999999999996</v>
      </c>
      <c r="Z823" s="190">
        <v>0.85899999999999999</v>
      </c>
      <c r="AA823" s="39" t="str">
        <f t="shared" si="47"/>
        <v>MC</v>
      </c>
      <c r="AD823" s="14">
        <v>1.05</v>
      </c>
      <c r="AE823" s="14">
        <v>0.61299999999999999</v>
      </c>
    </row>
    <row r="824" spans="1:31" s="198" customFormat="1" ht="15" x14ac:dyDescent="0.25">
      <c r="A824" s="185" t="s">
        <v>1270</v>
      </c>
      <c r="B824" s="185" t="s">
        <v>1280</v>
      </c>
      <c r="C824" s="185" t="s">
        <v>618</v>
      </c>
      <c r="D824" s="186">
        <v>45</v>
      </c>
      <c r="E824" s="186">
        <v>13.2</v>
      </c>
      <c r="F824" s="186">
        <v>12</v>
      </c>
      <c r="G824" s="187">
        <v>4.01</v>
      </c>
      <c r="H824" s="190">
        <v>0.71</v>
      </c>
      <c r="I824" s="190">
        <v>0.7</v>
      </c>
      <c r="J824" s="187">
        <v>1.31</v>
      </c>
      <c r="K824" s="185">
        <v>5.73</v>
      </c>
      <c r="L824" s="185">
        <v>13.5</v>
      </c>
      <c r="M824" s="185">
        <v>251</v>
      </c>
      <c r="N824" s="186">
        <v>52</v>
      </c>
      <c r="O824" s="186">
        <v>41.9</v>
      </c>
      <c r="P824" s="187">
        <v>4.3600000000000003</v>
      </c>
      <c r="Q824" s="186">
        <v>15.8</v>
      </c>
      <c r="R824" s="186">
        <v>10.1</v>
      </c>
      <c r="S824" s="187">
        <v>5.3</v>
      </c>
      <c r="T824" s="187">
        <v>1.0900000000000001</v>
      </c>
      <c r="U824" s="187">
        <v>2.33</v>
      </c>
      <c r="V824" s="185">
        <v>373</v>
      </c>
      <c r="W824" s="185">
        <v>1.35</v>
      </c>
      <c r="X824" s="185">
        <v>11.3</v>
      </c>
      <c r="Y824" s="187">
        <v>4.88</v>
      </c>
      <c r="Z824" s="190">
        <v>0.85099999999999998</v>
      </c>
      <c r="AA824" s="39" t="str">
        <f t="shared" si="47"/>
        <v>MC</v>
      </c>
      <c r="AD824" s="14">
        <v>1.04</v>
      </c>
      <c r="AE824" s="14">
        <v>0.55000000000000004</v>
      </c>
    </row>
    <row r="825" spans="1:31" s="198" customFormat="1" ht="15" x14ac:dyDescent="0.25">
      <c r="A825" s="185" t="s">
        <v>1270</v>
      </c>
      <c r="B825" s="185" t="s">
        <v>1281</v>
      </c>
      <c r="C825" s="185" t="s">
        <v>618</v>
      </c>
      <c r="D825" s="186">
        <v>40</v>
      </c>
      <c r="E825" s="186">
        <v>11.8</v>
      </c>
      <c r="F825" s="186">
        <v>12</v>
      </c>
      <c r="G825" s="187">
        <v>3.89</v>
      </c>
      <c r="H825" s="190">
        <v>0.59</v>
      </c>
      <c r="I825" s="190">
        <v>0.7</v>
      </c>
      <c r="J825" s="187">
        <v>1.31</v>
      </c>
      <c r="K825" s="185">
        <v>5.56</v>
      </c>
      <c r="L825" s="185">
        <v>16.3</v>
      </c>
      <c r="M825" s="185">
        <v>234</v>
      </c>
      <c r="N825" s="186">
        <v>47.7</v>
      </c>
      <c r="O825" s="186">
        <v>39</v>
      </c>
      <c r="P825" s="187">
        <v>4.46</v>
      </c>
      <c r="Q825" s="186">
        <v>14.2</v>
      </c>
      <c r="R825" s="187">
        <v>9.31</v>
      </c>
      <c r="S825" s="187">
        <v>4.9800000000000004</v>
      </c>
      <c r="T825" s="187">
        <v>1.1000000000000001</v>
      </c>
      <c r="U825" s="187">
        <v>1.69</v>
      </c>
      <c r="V825" s="185">
        <v>336</v>
      </c>
      <c r="W825" s="185">
        <v>1.33</v>
      </c>
      <c r="X825" s="185">
        <v>11.3</v>
      </c>
      <c r="Y825" s="187">
        <v>5.01</v>
      </c>
      <c r="Z825" s="190">
        <v>0.84199999999999997</v>
      </c>
      <c r="AA825" s="39" t="str">
        <f t="shared" si="47"/>
        <v>MC</v>
      </c>
      <c r="AD825" s="14">
        <v>1.04</v>
      </c>
      <c r="AE825" s="14">
        <v>0.49</v>
      </c>
    </row>
    <row r="826" spans="1:31" s="198" customFormat="1" ht="15" x14ac:dyDescent="0.25">
      <c r="A826" s="185" t="s">
        <v>1270</v>
      </c>
      <c r="B826" s="185" t="s">
        <v>1282</v>
      </c>
      <c r="C826" s="185" t="s">
        <v>618</v>
      </c>
      <c r="D826" s="186">
        <v>35</v>
      </c>
      <c r="E826" s="186">
        <v>10.3</v>
      </c>
      <c r="F826" s="186">
        <v>12</v>
      </c>
      <c r="G826" s="187">
        <v>3.77</v>
      </c>
      <c r="H826" s="190">
        <v>0.46500000000000002</v>
      </c>
      <c r="I826" s="190">
        <v>0.7</v>
      </c>
      <c r="J826" s="187">
        <v>1.31</v>
      </c>
      <c r="K826" s="185">
        <v>5.39</v>
      </c>
      <c r="L826" s="185">
        <v>20.6</v>
      </c>
      <c r="M826" s="185">
        <v>216</v>
      </c>
      <c r="N826" s="186">
        <v>43.2</v>
      </c>
      <c r="O826" s="186">
        <v>36</v>
      </c>
      <c r="P826" s="187">
        <v>4.59</v>
      </c>
      <c r="Q826" s="186">
        <v>12.6</v>
      </c>
      <c r="R826" s="187">
        <v>8.6199999999999992</v>
      </c>
      <c r="S826" s="187">
        <v>4.6399999999999997</v>
      </c>
      <c r="T826" s="187">
        <v>1.1100000000000001</v>
      </c>
      <c r="U826" s="187">
        <v>1.24</v>
      </c>
      <c r="V826" s="185">
        <v>297</v>
      </c>
      <c r="W826" s="187">
        <v>1.3</v>
      </c>
      <c r="X826" s="185">
        <v>11.3</v>
      </c>
      <c r="Y826" s="187">
        <v>5.18</v>
      </c>
      <c r="Z826" s="190">
        <v>0.83099999999999996</v>
      </c>
      <c r="AA826" s="39" t="str">
        <f t="shared" si="47"/>
        <v>MC</v>
      </c>
      <c r="AD826" s="14">
        <v>1.05</v>
      </c>
      <c r="AE826" s="14">
        <v>0.42799999999999999</v>
      </c>
    </row>
    <row r="827" spans="1:31" s="198" customFormat="1" ht="15" x14ac:dyDescent="0.25">
      <c r="A827" s="185" t="s">
        <v>1270</v>
      </c>
      <c r="B827" s="185" t="s">
        <v>1283</v>
      </c>
      <c r="C827" s="185" t="s">
        <v>618</v>
      </c>
      <c r="D827" s="186">
        <v>31</v>
      </c>
      <c r="E827" s="187">
        <v>9.1199999999999992</v>
      </c>
      <c r="F827" s="186">
        <v>12</v>
      </c>
      <c r="G827" s="187">
        <v>3.67</v>
      </c>
      <c r="H827" s="190">
        <v>0.37</v>
      </c>
      <c r="I827" s="190">
        <v>0.7</v>
      </c>
      <c r="J827" s="187">
        <v>1.31</v>
      </c>
      <c r="K827" s="185">
        <v>5.24</v>
      </c>
      <c r="L827" s="185">
        <v>25.9</v>
      </c>
      <c r="M827" s="185">
        <v>202</v>
      </c>
      <c r="N827" s="186">
        <v>39.700000000000003</v>
      </c>
      <c r="O827" s="186">
        <v>33.700000000000003</v>
      </c>
      <c r="P827" s="187">
        <v>4.71</v>
      </c>
      <c r="Q827" s="186">
        <v>11.3</v>
      </c>
      <c r="R827" s="187">
        <v>8.15</v>
      </c>
      <c r="S827" s="187">
        <v>4.37</v>
      </c>
      <c r="T827" s="187">
        <v>1.1100000000000001</v>
      </c>
      <c r="U827" s="187">
        <v>1</v>
      </c>
      <c r="V827" s="185">
        <v>267</v>
      </c>
      <c r="W827" s="185">
        <v>1.28</v>
      </c>
      <c r="X827" s="185">
        <v>11.3</v>
      </c>
      <c r="Y827" s="187">
        <v>5.34</v>
      </c>
      <c r="Z827" s="190">
        <v>0.82199999999999995</v>
      </c>
      <c r="AA827" s="39" t="str">
        <f t="shared" si="47"/>
        <v>MC</v>
      </c>
      <c r="AD827" s="14">
        <v>1.08</v>
      </c>
      <c r="AE827" s="14">
        <v>0.42499999999999999</v>
      </c>
    </row>
    <row r="828" spans="1:31" s="198" customFormat="1" ht="15" x14ac:dyDescent="0.25">
      <c r="A828" s="185" t="s">
        <v>1270</v>
      </c>
      <c r="B828" s="185" t="s">
        <v>1284</v>
      </c>
      <c r="C828" s="185" t="s">
        <v>618</v>
      </c>
      <c r="D828" s="186">
        <v>14.3</v>
      </c>
      <c r="E828" s="187">
        <v>4.18</v>
      </c>
      <c r="F828" s="186">
        <v>12</v>
      </c>
      <c r="G828" s="185">
        <v>2.12</v>
      </c>
      <c r="H828" s="190">
        <v>0.25</v>
      </c>
      <c r="I828" s="190">
        <v>0.313</v>
      </c>
      <c r="J828" s="190">
        <v>0.75</v>
      </c>
      <c r="K828" s="185">
        <v>6.77</v>
      </c>
      <c r="L828" s="185">
        <v>43.5</v>
      </c>
      <c r="M828" s="186">
        <v>76.099999999999994</v>
      </c>
      <c r="N828" s="186">
        <v>15.9</v>
      </c>
      <c r="O828" s="186">
        <v>12.7</v>
      </c>
      <c r="P828" s="187">
        <v>4.2699999999999996</v>
      </c>
      <c r="Q828" s="187">
        <v>1</v>
      </c>
      <c r="R828" s="187">
        <v>1.21</v>
      </c>
      <c r="S828" s="190">
        <v>0.57399999999999995</v>
      </c>
      <c r="T828" s="190">
        <v>0.48899999999999999</v>
      </c>
      <c r="U828" s="190">
        <v>0.11700000000000001</v>
      </c>
      <c r="V828" s="186">
        <v>32.799999999999997</v>
      </c>
      <c r="W828" s="185">
        <v>0.67200000000000004</v>
      </c>
      <c r="X828" s="185">
        <v>11.7</v>
      </c>
      <c r="Y828" s="187">
        <v>4.37</v>
      </c>
      <c r="Z828" s="190">
        <v>0.96499999999999997</v>
      </c>
      <c r="AA828" s="39" t="str">
        <f t="shared" si="47"/>
        <v>MC</v>
      </c>
      <c r="AD828" s="14">
        <v>0.377</v>
      </c>
      <c r="AE828" s="14">
        <v>0.17399999999999999</v>
      </c>
    </row>
    <row r="829" spans="1:31" s="198" customFormat="1" ht="15" x14ac:dyDescent="0.25">
      <c r="A829" s="185" t="s">
        <v>1270</v>
      </c>
      <c r="B829" s="185" t="s">
        <v>1285</v>
      </c>
      <c r="C829" s="185" t="s">
        <v>618</v>
      </c>
      <c r="D829" s="186">
        <v>10.6</v>
      </c>
      <c r="E829" s="187">
        <v>3.1</v>
      </c>
      <c r="F829" s="186">
        <v>12</v>
      </c>
      <c r="G829" s="187">
        <v>1.5</v>
      </c>
      <c r="H829" s="190">
        <v>0.19</v>
      </c>
      <c r="I829" s="190">
        <v>0.309</v>
      </c>
      <c r="J829" s="190">
        <v>0.75</v>
      </c>
      <c r="K829" s="185">
        <v>4.8499999999999996</v>
      </c>
      <c r="L829" s="185">
        <v>57.3</v>
      </c>
      <c r="M829" s="186">
        <v>55.3</v>
      </c>
      <c r="N829" s="186">
        <v>11.6</v>
      </c>
      <c r="O829" s="187">
        <v>9.2200000000000006</v>
      </c>
      <c r="P829" s="187">
        <v>4.22</v>
      </c>
      <c r="Q829" s="190">
        <v>0.378</v>
      </c>
      <c r="R829" s="190">
        <v>0.63500000000000001</v>
      </c>
      <c r="S829" s="190">
        <v>0.307</v>
      </c>
      <c r="T829" s="190">
        <v>0.34899999999999998</v>
      </c>
      <c r="U829" s="193">
        <v>5.96E-2</v>
      </c>
      <c r="V829" s="186">
        <v>11.7</v>
      </c>
      <c r="W829" s="185">
        <v>0.47799999999999998</v>
      </c>
      <c r="X829" s="185">
        <v>11.7</v>
      </c>
      <c r="Y829" s="187">
        <v>4.2699999999999996</v>
      </c>
      <c r="Z829" s="190">
        <v>0.98299999999999998</v>
      </c>
      <c r="AA829" s="39" t="str">
        <f t="shared" si="47"/>
        <v>MC</v>
      </c>
      <c r="AD829" s="14">
        <v>0.26900000000000002</v>
      </c>
      <c r="AE829" s="14">
        <v>0.129</v>
      </c>
    </row>
    <row r="830" spans="1:31" s="198" customFormat="1" ht="15" x14ac:dyDescent="0.25">
      <c r="A830" s="185" t="s">
        <v>1270</v>
      </c>
      <c r="B830" s="185" t="s">
        <v>1286</v>
      </c>
      <c r="C830" s="185" t="s">
        <v>618</v>
      </c>
      <c r="D830" s="186">
        <v>41.1</v>
      </c>
      <c r="E830" s="186">
        <v>12.1</v>
      </c>
      <c r="F830" s="186">
        <v>10</v>
      </c>
      <c r="G830" s="187">
        <v>4.32</v>
      </c>
      <c r="H830" s="190">
        <v>0.79600000000000004</v>
      </c>
      <c r="I830" s="190">
        <v>0.57499999999999996</v>
      </c>
      <c r="J830" s="187">
        <v>1.31</v>
      </c>
      <c r="K830" s="185">
        <v>7.51</v>
      </c>
      <c r="L830" s="185">
        <v>9.66</v>
      </c>
      <c r="M830" s="185">
        <v>157</v>
      </c>
      <c r="N830" s="186">
        <v>39.299999999999997</v>
      </c>
      <c r="O830" s="186">
        <v>31.5</v>
      </c>
      <c r="P830" s="187">
        <v>3.61</v>
      </c>
      <c r="Q830" s="186">
        <v>15.7</v>
      </c>
      <c r="R830" s="187">
        <v>9.49</v>
      </c>
      <c r="S830" s="187">
        <v>4.8499999999999996</v>
      </c>
      <c r="T830" s="187">
        <v>1.1399999999999999</v>
      </c>
      <c r="U830" s="187">
        <v>2.2599999999999998</v>
      </c>
      <c r="V830" s="185">
        <v>269</v>
      </c>
      <c r="W830" s="185">
        <v>1.44</v>
      </c>
      <c r="X830" s="185">
        <v>9.43</v>
      </c>
      <c r="Y830" s="187">
        <v>4.26</v>
      </c>
      <c r="Z830" s="190">
        <v>0.79</v>
      </c>
      <c r="AA830" s="39" t="str">
        <f t="shared" si="47"/>
        <v>MC</v>
      </c>
      <c r="AD830" s="14">
        <v>1.0900000000000001</v>
      </c>
      <c r="AE830" s="14">
        <v>0.60399999999999998</v>
      </c>
    </row>
    <row r="831" spans="1:31" s="198" customFormat="1" ht="15" x14ac:dyDescent="0.25">
      <c r="A831" s="185" t="s">
        <v>1270</v>
      </c>
      <c r="B831" s="185" t="s">
        <v>1287</v>
      </c>
      <c r="C831" s="185" t="s">
        <v>618</v>
      </c>
      <c r="D831" s="186">
        <v>33.6</v>
      </c>
      <c r="E831" s="187">
        <v>9.8699999999999992</v>
      </c>
      <c r="F831" s="186">
        <v>10</v>
      </c>
      <c r="G831" s="187">
        <v>4.0999999999999996</v>
      </c>
      <c r="H831" s="190">
        <v>0.57499999999999996</v>
      </c>
      <c r="I831" s="190">
        <v>0.57499999999999996</v>
      </c>
      <c r="J831" s="187">
        <v>1.31</v>
      </c>
      <c r="K831" s="185">
        <v>7.13</v>
      </c>
      <c r="L831" s="185">
        <v>13.4</v>
      </c>
      <c r="M831" s="185">
        <v>139</v>
      </c>
      <c r="N831" s="186">
        <v>33.700000000000003</v>
      </c>
      <c r="O831" s="186">
        <v>27.8</v>
      </c>
      <c r="P831" s="187">
        <v>3.75</v>
      </c>
      <c r="Q831" s="186">
        <v>13.1</v>
      </c>
      <c r="R831" s="187">
        <v>8.2799999999999994</v>
      </c>
      <c r="S831" s="187">
        <v>4.3499999999999996</v>
      </c>
      <c r="T831" s="187">
        <v>1.1499999999999999</v>
      </c>
      <c r="U831" s="187">
        <v>1.2</v>
      </c>
      <c r="V831" s="185">
        <v>224</v>
      </c>
      <c r="W831" s="187">
        <v>1.4</v>
      </c>
      <c r="X831" s="185">
        <v>9.43</v>
      </c>
      <c r="Y831" s="187">
        <v>4.47</v>
      </c>
      <c r="Z831" s="190">
        <v>0.77</v>
      </c>
      <c r="AA831" s="39" t="str">
        <f t="shared" si="47"/>
        <v>MC</v>
      </c>
      <c r="AD831" s="14">
        <v>1.0900000000000001</v>
      </c>
      <c r="AE831" s="14">
        <v>0.49399999999999999</v>
      </c>
    </row>
    <row r="832" spans="1:31" s="198" customFormat="1" ht="15" x14ac:dyDescent="0.25">
      <c r="A832" s="185" t="s">
        <v>1270</v>
      </c>
      <c r="B832" s="185" t="s">
        <v>1288</v>
      </c>
      <c r="C832" s="185" t="s">
        <v>618</v>
      </c>
      <c r="D832" s="186">
        <v>28.5</v>
      </c>
      <c r="E832" s="187">
        <v>8.3699999999999992</v>
      </c>
      <c r="F832" s="186">
        <v>10</v>
      </c>
      <c r="G832" s="187">
        <v>3.95</v>
      </c>
      <c r="H832" s="190">
        <v>0.42499999999999999</v>
      </c>
      <c r="I832" s="190">
        <v>0.57499999999999996</v>
      </c>
      <c r="J832" s="187">
        <v>1.31</v>
      </c>
      <c r="K832" s="185">
        <v>6.87</v>
      </c>
      <c r="L832" s="185">
        <v>18.100000000000001</v>
      </c>
      <c r="M832" s="185">
        <v>126</v>
      </c>
      <c r="N832" s="186">
        <v>30</v>
      </c>
      <c r="O832" s="186">
        <v>25.3</v>
      </c>
      <c r="P832" s="187">
        <v>3.89</v>
      </c>
      <c r="Q832" s="186">
        <v>11.3</v>
      </c>
      <c r="R832" s="187">
        <v>7.59</v>
      </c>
      <c r="S832" s="187">
        <v>3.99</v>
      </c>
      <c r="T832" s="187">
        <v>1.1599999999999999</v>
      </c>
      <c r="U832" s="190">
        <v>0.79100000000000004</v>
      </c>
      <c r="V832" s="185">
        <v>193</v>
      </c>
      <c r="W832" s="185">
        <v>1.36</v>
      </c>
      <c r="X832" s="185">
        <v>9.43</v>
      </c>
      <c r="Y832" s="187">
        <v>4.68</v>
      </c>
      <c r="Z832" s="190">
        <v>0.752</v>
      </c>
      <c r="AA832" s="39" t="str">
        <f t="shared" si="47"/>
        <v>MC</v>
      </c>
      <c r="AD832" s="14">
        <v>1.1200000000000001</v>
      </c>
      <c r="AE832" s="14">
        <v>0.41899999999999998</v>
      </c>
    </row>
    <row r="833" spans="1:31" s="198" customFormat="1" ht="15" x14ac:dyDescent="0.25">
      <c r="A833" s="185" t="s">
        <v>1270</v>
      </c>
      <c r="B833" s="185" t="s">
        <v>1289</v>
      </c>
      <c r="C833" s="185" t="s">
        <v>618</v>
      </c>
      <c r="D833" s="186">
        <v>25</v>
      </c>
      <c r="E833" s="187">
        <v>7.34</v>
      </c>
      <c r="F833" s="186">
        <v>10</v>
      </c>
      <c r="G833" s="187">
        <v>3.41</v>
      </c>
      <c r="H833" s="190">
        <v>0.38</v>
      </c>
      <c r="I833" s="190">
        <v>0.57499999999999996</v>
      </c>
      <c r="J833" s="187">
        <v>1.31</v>
      </c>
      <c r="K833" s="185">
        <v>5.93</v>
      </c>
      <c r="L833" s="185">
        <v>20.2</v>
      </c>
      <c r="M833" s="185">
        <v>110</v>
      </c>
      <c r="N833" s="186">
        <v>26.2</v>
      </c>
      <c r="O833" s="186">
        <v>22</v>
      </c>
      <c r="P833" s="187">
        <v>3.87</v>
      </c>
      <c r="Q833" s="187">
        <v>7.25</v>
      </c>
      <c r="R833" s="187">
        <v>5.65</v>
      </c>
      <c r="S833" s="187">
        <v>2.96</v>
      </c>
      <c r="T833" s="190">
        <v>0.99299999999999999</v>
      </c>
      <c r="U833" s="190">
        <v>0.63800000000000001</v>
      </c>
      <c r="V833" s="185">
        <v>124</v>
      </c>
      <c r="W833" s="185">
        <v>1.17</v>
      </c>
      <c r="X833" s="185">
        <v>9.43</v>
      </c>
      <c r="Y833" s="187">
        <v>4.46</v>
      </c>
      <c r="Z833" s="190">
        <v>0.80300000000000005</v>
      </c>
      <c r="AA833" s="39" t="str">
        <f t="shared" si="47"/>
        <v>MC</v>
      </c>
      <c r="AD833" s="14">
        <v>0.95299999999999996</v>
      </c>
      <c r="AE833" s="14">
        <v>0.36699999999999999</v>
      </c>
    </row>
    <row r="834" spans="1:31" s="198" customFormat="1" ht="15" x14ac:dyDescent="0.25">
      <c r="A834" s="185" t="s">
        <v>1270</v>
      </c>
      <c r="B834" s="185" t="s">
        <v>1290</v>
      </c>
      <c r="C834" s="185" t="s">
        <v>618</v>
      </c>
      <c r="D834" s="186">
        <v>22</v>
      </c>
      <c r="E834" s="187">
        <v>6.45</v>
      </c>
      <c r="F834" s="186">
        <v>10</v>
      </c>
      <c r="G834" s="187">
        <v>3.32</v>
      </c>
      <c r="H834" s="190">
        <v>0.28999999999999998</v>
      </c>
      <c r="I834" s="190">
        <v>0.57499999999999996</v>
      </c>
      <c r="J834" s="187">
        <v>1.31</v>
      </c>
      <c r="K834" s="185">
        <v>5.77</v>
      </c>
      <c r="L834" s="185">
        <v>26.5</v>
      </c>
      <c r="M834" s="185">
        <v>102</v>
      </c>
      <c r="N834" s="186">
        <v>23.9</v>
      </c>
      <c r="O834" s="186">
        <v>20.5</v>
      </c>
      <c r="P834" s="187">
        <v>3.99</v>
      </c>
      <c r="Q834" s="187">
        <v>6.4</v>
      </c>
      <c r="R834" s="187">
        <v>5.29</v>
      </c>
      <c r="S834" s="187">
        <v>2.75</v>
      </c>
      <c r="T834" s="190">
        <v>0.997</v>
      </c>
      <c r="U834" s="190">
        <v>0.51</v>
      </c>
      <c r="V834" s="185">
        <v>110</v>
      </c>
      <c r="W834" s="185">
        <v>1.1399999999999999</v>
      </c>
      <c r="X834" s="185">
        <v>9.43</v>
      </c>
      <c r="Y834" s="187">
        <v>4.62</v>
      </c>
      <c r="Z834" s="190">
        <v>0.79100000000000004</v>
      </c>
      <c r="AA834" s="39" t="str">
        <f t="shared" si="47"/>
        <v>MC</v>
      </c>
      <c r="AD834" s="14">
        <v>0.99</v>
      </c>
      <c r="AE834" s="14">
        <v>0.46700000000000003</v>
      </c>
    </row>
    <row r="835" spans="1:31" s="198" customFormat="1" ht="15" x14ac:dyDescent="0.25">
      <c r="A835" s="185" t="s">
        <v>1270</v>
      </c>
      <c r="B835" s="185" t="s">
        <v>1291</v>
      </c>
      <c r="C835" s="185" t="s">
        <v>618</v>
      </c>
      <c r="D835" s="187">
        <v>8.4</v>
      </c>
      <c r="E835" s="187">
        <v>2.46</v>
      </c>
      <c r="F835" s="186">
        <v>10</v>
      </c>
      <c r="G835" s="187">
        <v>1.5</v>
      </c>
      <c r="H835" s="190">
        <v>0.17</v>
      </c>
      <c r="I835" s="190">
        <v>0.28000000000000003</v>
      </c>
      <c r="J835" s="190">
        <v>0.75</v>
      </c>
      <c r="K835" s="185">
        <v>5.36</v>
      </c>
      <c r="L835" s="185">
        <v>52.6</v>
      </c>
      <c r="M835" s="186">
        <v>31.9</v>
      </c>
      <c r="N835" s="187">
        <v>7.92</v>
      </c>
      <c r="O835" s="187">
        <v>6.39</v>
      </c>
      <c r="P835" s="187">
        <v>3.61</v>
      </c>
      <c r="Q835" s="190">
        <v>0.32600000000000001</v>
      </c>
      <c r="R835" s="190">
        <v>0.54800000000000004</v>
      </c>
      <c r="S835" s="190">
        <v>0.26800000000000002</v>
      </c>
      <c r="T835" s="190">
        <v>0.36399999999999999</v>
      </c>
      <c r="U835" s="193">
        <v>4.1300000000000003E-2</v>
      </c>
      <c r="V835" s="187">
        <v>7</v>
      </c>
      <c r="W835" s="185">
        <v>0.48599999999999999</v>
      </c>
      <c r="X835" s="185">
        <v>9.7200000000000006</v>
      </c>
      <c r="Y835" s="187">
        <v>3.68</v>
      </c>
      <c r="Z835" s="190">
        <v>0.97199999999999998</v>
      </c>
      <c r="AA835" s="39" t="str">
        <f t="shared" si="47"/>
        <v>MC</v>
      </c>
      <c r="AD835" s="14">
        <v>0.28399999999999997</v>
      </c>
      <c r="AE835" s="14">
        <v>0.123</v>
      </c>
    </row>
    <row r="836" spans="1:31" s="198" customFormat="1" ht="15" x14ac:dyDescent="0.25">
      <c r="A836" s="185" t="s">
        <v>1270</v>
      </c>
      <c r="B836" s="185" t="s">
        <v>1292</v>
      </c>
      <c r="C836" s="185" t="s">
        <v>618</v>
      </c>
      <c r="D836" s="187">
        <v>6.5</v>
      </c>
      <c r="E836" s="187">
        <v>1.95</v>
      </c>
      <c r="F836" s="186">
        <v>10</v>
      </c>
      <c r="G836" s="187">
        <v>1.17</v>
      </c>
      <c r="H836" s="190">
        <v>0.152</v>
      </c>
      <c r="I836" s="190">
        <v>0.20200000000000001</v>
      </c>
      <c r="J836" s="190">
        <v>0.56299999999999994</v>
      </c>
      <c r="K836" s="185">
        <v>5.79</v>
      </c>
      <c r="L836" s="185">
        <v>59.8</v>
      </c>
      <c r="M836" s="186">
        <v>22.9</v>
      </c>
      <c r="N836" s="187">
        <v>5.9</v>
      </c>
      <c r="O836" s="187">
        <v>4.59</v>
      </c>
      <c r="P836" s="187">
        <v>3.43</v>
      </c>
      <c r="Q836" s="190">
        <v>0.13300000000000001</v>
      </c>
      <c r="R836" s="190">
        <v>0.28399999999999997</v>
      </c>
      <c r="S836" s="190">
        <v>0.13700000000000001</v>
      </c>
      <c r="T836" s="190">
        <v>0.26200000000000001</v>
      </c>
      <c r="U836" s="193">
        <v>1.9099999999999999E-2</v>
      </c>
      <c r="V836" s="187">
        <v>2.76</v>
      </c>
      <c r="W836" s="185">
        <v>0.36299999999999999</v>
      </c>
      <c r="X836" s="187">
        <v>9.8000000000000007</v>
      </c>
      <c r="Y836" s="187">
        <v>3.46</v>
      </c>
      <c r="Z836" s="190">
        <v>0.98799999999999999</v>
      </c>
      <c r="AA836" s="39" t="str">
        <f t="shared" si="47"/>
        <v>MC</v>
      </c>
      <c r="AD836" s="14">
        <v>0.19400000000000001</v>
      </c>
      <c r="AE836" s="14">
        <v>9.7500000000000003E-2</v>
      </c>
    </row>
    <row r="837" spans="1:31" s="198" customFormat="1" ht="15" x14ac:dyDescent="0.25">
      <c r="A837" s="185" t="s">
        <v>1270</v>
      </c>
      <c r="B837" s="185" t="s">
        <v>1293</v>
      </c>
      <c r="C837" s="185" t="s">
        <v>618</v>
      </c>
      <c r="D837" s="186">
        <v>25.4</v>
      </c>
      <c r="E837" s="187">
        <v>7.47</v>
      </c>
      <c r="F837" s="187">
        <v>9</v>
      </c>
      <c r="G837" s="187">
        <v>3.5</v>
      </c>
      <c r="H837" s="190">
        <v>0.45</v>
      </c>
      <c r="I837" s="190">
        <v>0.55000000000000004</v>
      </c>
      <c r="J837" s="187">
        <v>1.25</v>
      </c>
      <c r="K837" s="185">
        <v>6.36</v>
      </c>
      <c r="L837" s="185">
        <v>15.1</v>
      </c>
      <c r="M837" s="186">
        <v>87.9</v>
      </c>
      <c r="N837" s="186">
        <v>23.5</v>
      </c>
      <c r="O837" s="186">
        <v>19.5</v>
      </c>
      <c r="P837" s="187">
        <v>3.43</v>
      </c>
      <c r="Q837" s="187">
        <v>7.57</v>
      </c>
      <c r="R837" s="187">
        <v>5.7</v>
      </c>
      <c r="S837" s="187">
        <v>2.99</v>
      </c>
      <c r="T837" s="187">
        <v>1.01</v>
      </c>
      <c r="U837" s="190">
        <v>0.69099999999999995</v>
      </c>
      <c r="V837" s="185">
        <v>104</v>
      </c>
      <c r="W837" s="187">
        <v>1.2</v>
      </c>
      <c r="X837" s="185">
        <v>8.4499999999999993</v>
      </c>
      <c r="Y837" s="187">
        <v>4.08</v>
      </c>
      <c r="Z837" s="190">
        <v>0.77</v>
      </c>
      <c r="AA837" s="39" t="str">
        <f t="shared" ref="AA837:AA909" si="48">A837</f>
        <v>MC</v>
      </c>
      <c r="AD837" s="14">
        <v>0.97</v>
      </c>
      <c r="AE837" s="14">
        <v>0.41499999999999998</v>
      </c>
    </row>
    <row r="838" spans="1:31" s="198" customFormat="1" ht="15" x14ac:dyDescent="0.25">
      <c r="A838" s="185" t="s">
        <v>1270</v>
      </c>
      <c r="B838" s="185" t="s">
        <v>1294</v>
      </c>
      <c r="C838" s="185" t="s">
        <v>618</v>
      </c>
      <c r="D838" s="186">
        <v>23.9</v>
      </c>
      <c r="E838" s="187">
        <v>7.02</v>
      </c>
      <c r="F838" s="187">
        <v>9</v>
      </c>
      <c r="G838" s="187">
        <v>3.45</v>
      </c>
      <c r="H838" s="190">
        <v>0.4</v>
      </c>
      <c r="I838" s="190">
        <v>0.55000000000000004</v>
      </c>
      <c r="J838" s="187">
        <v>1.25</v>
      </c>
      <c r="K838" s="185">
        <v>6.27</v>
      </c>
      <c r="L838" s="186">
        <v>17</v>
      </c>
      <c r="M838" s="186">
        <v>84.9</v>
      </c>
      <c r="N838" s="186">
        <v>22.5</v>
      </c>
      <c r="O838" s="186">
        <v>18.899999999999999</v>
      </c>
      <c r="P838" s="187">
        <v>3.48</v>
      </c>
      <c r="Q838" s="187">
        <v>7.14</v>
      </c>
      <c r="R838" s="187">
        <v>5.51</v>
      </c>
      <c r="S838" s="187">
        <v>2.89</v>
      </c>
      <c r="T838" s="187">
        <v>1.01</v>
      </c>
      <c r="U838" s="190">
        <v>0.59899999999999998</v>
      </c>
      <c r="V838" s="186">
        <v>98</v>
      </c>
      <c r="W838" s="185">
        <v>1.18</v>
      </c>
      <c r="X838" s="185">
        <v>8.4499999999999993</v>
      </c>
      <c r="Y838" s="187">
        <v>4.1500000000000004</v>
      </c>
      <c r="Z838" s="190">
        <v>0.76300000000000001</v>
      </c>
      <c r="AA838" s="39" t="str">
        <f t="shared" si="48"/>
        <v>MC</v>
      </c>
      <c r="AD838" s="14">
        <v>0.98099999999999998</v>
      </c>
      <c r="AE838" s="14">
        <v>0.39</v>
      </c>
    </row>
    <row r="839" spans="1:31" s="198" customFormat="1" ht="15" x14ac:dyDescent="0.25">
      <c r="A839" s="185" t="s">
        <v>1270</v>
      </c>
      <c r="B839" s="185" t="s">
        <v>1295</v>
      </c>
      <c r="C839" s="185" t="s">
        <v>618</v>
      </c>
      <c r="D839" s="186">
        <v>22.8</v>
      </c>
      <c r="E839" s="187">
        <v>6.7</v>
      </c>
      <c r="F839" s="187">
        <v>8</v>
      </c>
      <c r="G839" s="187">
        <v>3.5</v>
      </c>
      <c r="H839" s="190">
        <v>0.42699999999999999</v>
      </c>
      <c r="I839" s="190">
        <v>0.52500000000000002</v>
      </c>
      <c r="J839" s="187">
        <v>1.19</v>
      </c>
      <c r="K839" s="185">
        <v>6.67</v>
      </c>
      <c r="L839" s="186">
        <v>13.8</v>
      </c>
      <c r="M839" s="186">
        <v>63.8</v>
      </c>
      <c r="N839" s="186">
        <v>19.100000000000001</v>
      </c>
      <c r="O839" s="186">
        <v>15.9</v>
      </c>
      <c r="P839" s="187">
        <v>3.09</v>
      </c>
      <c r="Q839" s="187">
        <v>7.01</v>
      </c>
      <c r="R839" s="187">
        <v>5.37</v>
      </c>
      <c r="S839" s="187">
        <v>2.81</v>
      </c>
      <c r="T839" s="187">
        <v>1.02</v>
      </c>
      <c r="U839" s="190">
        <v>0.57199999999999995</v>
      </c>
      <c r="V839" s="186">
        <v>75.2</v>
      </c>
      <c r="W839" s="187">
        <v>1.2</v>
      </c>
      <c r="X839" s="185">
        <v>7.48</v>
      </c>
      <c r="Y839" s="187">
        <v>3.84</v>
      </c>
      <c r="Z839" s="190">
        <v>0.71499999999999997</v>
      </c>
      <c r="AA839" s="39" t="str">
        <f t="shared" si="48"/>
        <v>MC</v>
      </c>
      <c r="AD839" s="14">
        <v>1.01</v>
      </c>
      <c r="AE839" s="14">
        <v>0.41899999999999998</v>
      </c>
    </row>
    <row r="840" spans="1:31" s="198" customFormat="1" ht="15" x14ac:dyDescent="0.25">
      <c r="A840" s="185" t="s">
        <v>1270</v>
      </c>
      <c r="B840" s="185" t="s">
        <v>1296</v>
      </c>
      <c r="C840" s="185" t="s">
        <v>618</v>
      </c>
      <c r="D840" s="186">
        <v>21.4</v>
      </c>
      <c r="E840" s="187">
        <v>6.28</v>
      </c>
      <c r="F840" s="187">
        <v>8</v>
      </c>
      <c r="G840" s="187">
        <v>3.45</v>
      </c>
      <c r="H840" s="190">
        <v>0.375</v>
      </c>
      <c r="I840" s="190">
        <v>0.52500000000000002</v>
      </c>
      <c r="J840" s="187">
        <v>1.19</v>
      </c>
      <c r="K840" s="185">
        <v>6.57</v>
      </c>
      <c r="L840" s="186">
        <v>15.7</v>
      </c>
      <c r="M840" s="186">
        <v>61.5</v>
      </c>
      <c r="N840" s="186">
        <v>18.2</v>
      </c>
      <c r="O840" s="186">
        <v>15.4</v>
      </c>
      <c r="P840" s="187">
        <v>3.13</v>
      </c>
      <c r="Q840" s="187">
        <v>6.58</v>
      </c>
      <c r="R840" s="187">
        <v>5.18</v>
      </c>
      <c r="S840" s="187">
        <v>2.71</v>
      </c>
      <c r="T840" s="187">
        <v>1.02</v>
      </c>
      <c r="U840" s="190">
        <v>0.495</v>
      </c>
      <c r="V840" s="186">
        <v>70.8</v>
      </c>
      <c r="W840" s="185">
        <v>1.18</v>
      </c>
      <c r="X840" s="185">
        <v>7.48</v>
      </c>
      <c r="Y840" s="187">
        <v>3.91</v>
      </c>
      <c r="Z840" s="190">
        <v>0.70699999999999996</v>
      </c>
      <c r="AA840" s="39" t="str">
        <f t="shared" si="48"/>
        <v>MC</v>
      </c>
      <c r="AD840" s="14">
        <v>1.02</v>
      </c>
      <c r="AE840" s="14">
        <v>0.45200000000000001</v>
      </c>
    </row>
    <row r="841" spans="1:31" s="198" customFormat="1" ht="15" x14ac:dyDescent="0.25">
      <c r="A841" s="185" t="s">
        <v>1270</v>
      </c>
      <c r="B841" s="185" t="s">
        <v>1297</v>
      </c>
      <c r="C841" s="185" t="s">
        <v>618</v>
      </c>
      <c r="D841" s="186">
        <v>20</v>
      </c>
      <c r="E841" s="187">
        <v>5.87</v>
      </c>
      <c r="F841" s="187">
        <v>8</v>
      </c>
      <c r="G841" s="187">
        <v>3.03</v>
      </c>
      <c r="H841" s="190">
        <v>0.4</v>
      </c>
      <c r="I841" s="190">
        <v>0.5</v>
      </c>
      <c r="J841" s="187">
        <v>1.1299999999999999</v>
      </c>
      <c r="K841" s="185">
        <v>6.06</v>
      </c>
      <c r="L841" s="186">
        <v>15</v>
      </c>
      <c r="M841" s="186">
        <v>54.4</v>
      </c>
      <c r="N841" s="186">
        <v>16.399999999999999</v>
      </c>
      <c r="O841" s="186">
        <v>13.6</v>
      </c>
      <c r="P841" s="187">
        <v>3.04</v>
      </c>
      <c r="Q841" s="187">
        <v>4.42</v>
      </c>
      <c r="R841" s="187">
        <v>3.86</v>
      </c>
      <c r="S841" s="187">
        <v>2.02</v>
      </c>
      <c r="T841" s="190">
        <v>0.86699999999999999</v>
      </c>
      <c r="U841" s="190">
        <v>0.441</v>
      </c>
      <c r="V841" s="186">
        <v>47.8</v>
      </c>
      <c r="W841" s="185">
        <v>1.03</v>
      </c>
      <c r="X841" s="187">
        <v>7.5</v>
      </c>
      <c r="Y841" s="187">
        <v>3.58</v>
      </c>
      <c r="Z841" s="190">
        <v>0.77900000000000003</v>
      </c>
      <c r="AA841" s="39" t="str">
        <f t="shared" si="48"/>
        <v>MC</v>
      </c>
      <c r="AD841" s="14">
        <v>0.84</v>
      </c>
      <c r="AE841" s="14">
        <v>0.36699999999999999</v>
      </c>
    </row>
    <row r="842" spans="1:31" s="198" customFormat="1" ht="15" x14ac:dyDescent="0.25">
      <c r="A842" s="185" t="s">
        <v>1270</v>
      </c>
      <c r="B842" s="185" t="s">
        <v>1298</v>
      </c>
      <c r="C842" s="185" t="s">
        <v>618</v>
      </c>
      <c r="D842" s="186">
        <v>18.7</v>
      </c>
      <c r="E842" s="187">
        <v>5.5</v>
      </c>
      <c r="F842" s="187">
        <v>8</v>
      </c>
      <c r="G842" s="187">
        <v>2.98</v>
      </c>
      <c r="H842" s="190">
        <v>0.35299999999999998</v>
      </c>
      <c r="I842" s="190">
        <v>0.5</v>
      </c>
      <c r="J842" s="187">
        <v>1.1299999999999999</v>
      </c>
      <c r="K842" s="185">
        <v>5.96</v>
      </c>
      <c r="L842" s="186">
        <v>17</v>
      </c>
      <c r="M842" s="186">
        <v>52.4</v>
      </c>
      <c r="N842" s="186">
        <v>15.6</v>
      </c>
      <c r="O842" s="186">
        <v>13.1</v>
      </c>
      <c r="P842" s="187">
        <v>3.09</v>
      </c>
      <c r="Q842" s="187">
        <v>4.1500000000000004</v>
      </c>
      <c r="R842" s="187">
        <v>3.72</v>
      </c>
      <c r="S842" s="187">
        <v>1.95</v>
      </c>
      <c r="T842" s="190">
        <v>0.86799999999999999</v>
      </c>
      <c r="U842" s="190">
        <v>0.38</v>
      </c>
      <c r="V842" s="186">
        <v>45</v>
      </c>
      <c r="W842" s="185">
        <v>1.02</v>
      </c>
      <c r="X842" s="187">
        <v>7.5</v>
      </c>
      <c r="Y842" s="187">
        <v>3.65</v>
      </c>
      <c r="Z842" s="190">
        <v>0.77300000000000002</v>
      </c>
      <c r="AA842" s="39" t="str">
        <f t="shared" si="48"/>
        <v>MC</v>
      </c>
      <c r="AD842" s="14">
        <v>0.84899999999999998</v>
      </c>
      <c r="AE842" s="14">
        <v>0.34399999999999997</v>
      </c>
    </row>
    <row r="843" spans="1:31" s="198" customFormat="1" ht="15" x14ac:dyDescent="0.25">
      <c r="A843" s="185" t="s">
        <v>1270</v>
      </c>
      <c r="B843" s="185" t="s">
        <v>1299</v>
      </c>
      <c r="C843" s="185" t="s">
        <v>618</v>
      </c>
      <c r="D843" s="187">
        <v>8.5</v>
      </c>
      <c r="E843" s="187">
        <v>2.5</v>
      </c>
      <c r="F843" s="187">
        <v>8</v>
      </c>
      <c r="G843" s="187">
        <v>1.87</v>
      </c>
      <c r="H843" s="190">
        <v>0.17899999999999999</v>
      </c>
      <c r="I843" s="190">
        <v>0.311</v>
      </c>
      <c r="J843" s="190">
        <v>0.81299999999999994</v>
      </c>
      <c r="K843" s="185">
        <v>6.01</v>
      </c>
      <c r="L843" s="185">
        <v>38.4</v>
      </c>
      <c r="M843" s="186">
        <v>23.3</v>
      </c>
      <c r="N843" s="187">
        <v>6.95</v>
      </c>
      <c r="O843" s="187">
        <v>5.82</v>
      </c>
      <c r="P843" s="187">
        <v>3.05</v>
      </c>
      <c r="Q843" s="190">
        <v>0.624</v>
      </c>
      <c r="R843" s="190">
        <v>0.875</v>
      </c>
      <c r="S843" s="190">
        <v>0.43099999999999999</v>
      </c>
      <c r="T843" s="190">
        <v>0.5</v>
      </c>
      <c r="U843" s="193">
        <v>5.8700000000000002E-2</v>
      </c>
      <c r="V843" s="187">
        <v>8.2100000000000009</v>
      </c>
      <c r="W843" s="185">
        <v>0.624</v>
      </c>
      <c r="X843" s="185">
        <v>7.69</v>
      </c>
      <c r="Y843" s="187">
        <v>3.24</v>
      </c>
      <c r="Z843" s="190">
        <v>0.91</v>
      </c>
      <c r="AA843" s="39" t="str">
        <f t="shared" si="48"/>
        <v>MC</v>
      </c>
      <c r="AD843" s="14">
        <v>0.42799999999999999</v>
      </c>
      <c r="AE843" s="14">
        <v>0.156</v>
      </c>
    </row>
    <row r="844" spans="1:31" s="198" customFormat="1" ht="15" x14ac:dyDescent="0.25">
      <c r="A844" s="185" t="s">
        <v>1270</v>
      </c>
      <c r="B844" s="185" t="s">
        <v>1300</v>
      </c>
      <c r="C844" s="185" t="s">
        <v>618</v>
      </c>
      <c r="D844" s="186">
        <v>22.7</v>
      </c>
      <c r="E844" s="187">
        <v>6.67</v>
      </c>
      <c r="F844" s="187">
        <v>7</v>
      </c>
      <c r="G844" s="187">
        <v>3.6</v>
      </c>
      <c r="H844" s="190">
        <v>0.503</v>
      </c>
      <c r="I844" s="190">
        <v>0.5</v>
      </c>
      <c r="J844" s="187">
        <v>1.1299999999999999</v>
      </c>
      <c r="K844" s="187">
        <v>7.2</v>
      </c>
      <c r="L844" s="185">
        <v>9.94</v>
      </c>
      <c r="M844" s="186">
        <v>47.4</v>
      </c>
      <c r="N844" s="186">
        <v>16.399999999999999</v>
      </c>
      <c r="O844" s="186">
        <v>13.5</v>
      </c>
      <c r="P844" s="187">
        <v>2.67</v>
      </c>
      <c r="Q844" s="187">
        <v>7.24</v>
      </c>
      <c r="R844" s="187">
        <v>5.38</v>
      </c>
      <c r="S844" s="187">
        <v>2.83</v>
      </c>
      <c r="T844" s="187">
        <v>1.04</v>
      </c>
      <c r="U844" s="190">
        <v>0.625</v>
      </c>
      <c r="V844" s="186">
        <v>58.3</v>
      </c>
      <c r="W844" s="185">
        <v>1.23</v>
      </c>
      <c r="X844" s="187">
        <v>6.5</v>
      </c>
      <c r="Y844" s="187">
        <v>3.53</v>
      </c>
      <c r="Z844" s="190">
        <v>0.65900000000000003</v>
      </c>
      <c r="AA844" s="39" t="str">
        <f t="shared" si="48"/>
        <v>MC</v>
      </c>
      <c r="AD844" s="14">
        <v>1.04</v>
      </c>
      <c r="AE844" s="14">
        <v>0.47699999999999998</v>
      </c>
    </row>
    <row r="845" spans="1:31" s="198" customFormat="1" ht="15" x14ac:dyDescent="0.25">
      <c r="A845" s="185" t="s">
        <v>1270</v>
      </c>
      <c r="B845" s="185" t="s">
        <v>1301</v>
      </c>
      <c r="C845" s="185" t="s">
        <v>618</v>
      </c>
      <c r="D845" s="186">
        <v>19.100000000000001</v>
      </c>
      <c r="E845" s="187">
        <v>5.61</v>
      </c>
      <c r="F845" s="187">
        <v>7</v>
      </c>
      <c r="G845" s="187">
        <v>3.45</v>
      </c>
      <c r="H845" s="190">
        <v>0.35199999999999998</v>
      </c>
      <c r="I845" s="190">
        <v>0.5</v>
      </c>
      <c r="J845" s="187">
        <v>1.1299999999999999</v>
      </c>
      <c r="K845" s="187">
        <v>6.9</v>
      </c>
      <c r="L845" s="185">
        <v>14.2</v>
      </c>
      <c r="M845" s="186">
        <v>43.1</v>
      </c>
      <c r="N845" s="186">
        <v>14.5</v>
      </c>
      <c r="O845" s="186">
        <v>12.3</v>
      </c>
      <c r="P845" s="187">
        <v>2.77</v>
      </c>
      <c r="Q845" s="187">
        <v>6.06</v>
      </c>
      <c r="R845" s="187">
        <v>4.8499999999999996</v>
      </c>
      <c r="S845" s="187">
        <v>2.5499999999999998</v>
      </c>
      <c r="T845" s="187">
        <v>1.04</v>
      </c>
      <c r="U845" s="190">
        <v>0.40699999999999997</v>
      </c>
      <c r="V845" s="186">
        <v>49.3</v>
      </c>
      <c r="W845" s="185">
        <v>1.19</v>
      </c>
      <c r="X845" s="187">
        <v>6.5</v>
      </c>
      <c r="Y845" s="187">
        <v>3.7</v>
      </c>
      <c r="Z845" s="190">
        <v>0.63800000000000001</v>
      </c>
      <c r="AA845" s="39" t="str">
        <f t="shared" si="48"/>
        <v>MC</v>
      </c>
      <c r="AD845" s="14">
        <v>1.08</v>
      </c>
      <c r="AE845" s="14">
        <v>0.57899999999999996</v>
      </c>
    </row>
    <row r="846" spans="1:31" s="198" customFormat="1" ht="15" x14ac:dyDescent="0.25">
      <c r="A846" s="185" t="s">
        <v>1270</v>
      </c>
      <c r="B846" s="185" t="s">
        <v>1302</v>
      </c>
      <c r="C846" s="185" t="s">
        <v>618</v>
      </c>
      <c r="D846" s="186">
        <v>18</v>
      </c>
      <c r="E846" s="187">
        <v>5.29</v>
      </c>
      <c r="F846" s="187">
        <v>6</v>
      </c>
      <c r="G846" s="187">
        <v>3.5</v>
      </c>
      <c r="H846" s="190">
        <v>0.379</v>
      </c>
      <c r="I846" s="190">
        <v>0.47499999999999998</v>
      </c>
      <c r="J846" s="187">
        <v>1.06</v>
      </c>
      <c r="K846" s="185">
        <v>7.37</v>
      </c>
      <c r="L846" s="185">
        <v>10.8</v>
      </c>
      <c r="M846" s="186">
        <v>29.7</v>
      </c>
      <c r="N846" s="186">
        <v>11.7</v>
      </c>
      <c r="O846" s="187">
        <v>9.89</v>
      </c>
      <c r="P846" s="187">
        <v>2.37</v>
      </c>
      <c r="Q846" s="187">
        <v>5.88</v>
      </c>
      <c r="R846" s="187">
        <v>4.68</v>
      </c>
      <c r="S846" s="187">
        <v>2.4700000000000002</v>
      </c>
      <c r="T846" s="187">
        <v>1.05</v>
      </c>
      <c r="U846" s="190">
        <v>0.379</v>
      </c>
      <c r="V846" s="186">
        <v>34.6</v>
      </c>
      <c r="W846" s="187">
        <v>1.2</v>
      </c>
      <c r="X846" s="187">
        <v>5.53</v>
      </c>
      <c r="Y846" s="187">
        <v>3.46</v>
      </c>
      <c r="Z846" s="190">
        <v>0.56299999999999994</v>
      </c>
      <c r="AA846" s="39" t="str">
        <f t="shared" si="48"/>
        <v>MC</v>
      </c>
      <c r="AD846" s="14">
        <v>1.1200000000000001</v>
      </c>
      <c r="AE846" s="14">
        <v>0.64400000000000002</v>
      </c>
    </row>
    <row r="847" spans="1:31" s="198" customFormat="1" ht="15" x14ac:dyDescent="0.25">
      <c r="A847" s="185" t="s">
        <v>1270</v>
      </c>
      <c r="B847" s="185" t="s">
        <v>1303</v>
      </c>
      <c r="C847" s="185" t="s">
        <v>618</v>
      </c>
      <c r="D847" s="186">
        <v>15.3</v>
      </c>
      <c r="E847" s="187">
        <v>4.49</v>
      </c>
      <c r="F847" s="187">
        <v>6</v>
      </c>
      <c r="G847" s="187">
        <v>3.5</v>
      </c>
      <c r="H847" s="190">
        <v>0.34</v>
      </c>
      <c r="I847" s="190">
        <v>0.38500000000000001</v>
      </c>
      <c r="J847" s="190">
        <v>0.875</v>
      </c>
      <c r="K847" s="185">
        <v>9.09</v>
      </c>
      <c r="L847" s="185">
        <v>13.1</v>
      </c>
      <c r="M847" s="186">
        <v>25.3</v>
      </c>
      <c r="N847" s="187">
        <v>9.91</v>
      </c>
      <c r="O847" s="187">
        <v>8.44</v>
      </c>
      <c r="P847" s="187">
        <v>2.38</v>
      </c>
      <c r="Q847" s="187">
        <v>4.91</v>
      </c>
      <c r="R847" s="187">
        <v>3.85</v>
      </c>
      <c r="S847" s="187">
        <v>2.0099999999999998</v>
      </c>
      <c r="T847" s="187">
        <v>1.05</v>
      </c>
      <c r="U847" s="190">
        <v>0.223</v>
      </c>
      <c r="V847" s="186">
        <v>30</v>
      </c>
      <c r="W847" s="187">
        <v>1.2</v>
      </c>
      <c r="X847" s="187">
        <v>5.62</v>
      </c>
      <c r="Y847" s="187">
        <v>3.41</v>
      </c>
      <c r="Z847" s="190">
        <v>0.57899999999999996</v>
      </c>
      <c r="AA847" s="39" t="str">
        <f t="shared" si="48"/>
        <v>MC</v>
      </c>
      <c r="AD847" s="14">
        <v>1.05</v>
      </c>
      <c r="AE847" s="14">
        <v>0.51100000000000001</v>
      </c>
    </row>
    <row r="848" spans="1:31" s="198" customFormat="1" ht="15" x14ac:dyDescent="0.25">
      <c r="A848" s="185" t="s">
        <v>1270</v>
      </c>
      <c r="B848" s="185" t="s">
        <v>1304</v>
      </c>
      <c r="C848" s="185" t="s">
        <v>618</v>
      </c>
      <c r="D848" s="186">
        <v>16.3</v>
      </c>
      <c r="E848" s="187">
        <v>4.79</v>
      </c>
      <c r="F848" s="187">
        <v>6</v>
      </c>
      <c r="G848" s="187">
        <v>3</v>
      </c>
      <c r="H848" s="190">
        <v>0.375</v>
      </c>
      <c r="I848" s="190">
        <v>0.47499999999999998</v>
      </c>
      <c r="J848" s="187">
        <v>1.06</v>
      </c>
      <c r="K848" s="185">
        <v>6.32</v>
      </c>
      <c r="L848" s="185">
        <v>10.9</v>
      </c>
      <c r="M848" s="186">
        <v>26</v>
      </c>
      <c r="N848" s="186">
        <v>10.4</v>
      </c>
      <c r="O848" s="187">
        <v>8.66</v>
      </c>
      <c r="P848" s="187">
        <v>2.33</v>
      </c>
      <c r="Q848" s="187">
        <v>3.77</v>
      </c>
      <c r="R848" s="187">
        <v>3.47</v>
      </c>
      <c r="S848" s="187">
        <v>1.82</v>
      </c>
      <c r="T848" s="190">
        <v>0.88700000000000001</v>
      </c>
      <c r="U848" s="190">
        <v>0.33600000000000002</v>
      </c>
      <c r="V848" s="186">
        <v>22.1</v>
      </c>
      <c r="W848" s="185">
        <v>1.03</v>
      </c>
      <c r="X848" s="187">
        <v>5.53</v>
      </c>
      <c r="Y848" s="187">
        <v>3.11</v>
      </c>
      <c r="Z848" s="190">
        <v>0.64300000000000002</v>
      </c>
      <c r="AA848" s="39" t="str">
        <f t="shared" si="48"/>
        <v>MC</v>
      </c>
      <c r="AD848" s="14">
        <v>0.92700000000000005</v>
      </c>
      <c r="AE848" s="14">
        <v>0.46500000000000002</v>
      </c>
    </row>
    <row r="849" spans="1:31" s="198" customFormat="1" ht="15" x14ac:dyDescent="0.25">
      <c r="A849" s="185" t="s">
        <v>1270</v>
      </c>
      <c r="B849" s="185" t="s">
        <v>1305</v>
      </c>
      <c r="C849" s="185" t="s">
        <v>618</v>
      </c>
      <c r="D849" s="186">
        <v>15.1</v>
      </c>
      <c r="E849" s="187">
        <v>4.4400000000000004</v>
      </c>
      <c r="F849" s="187">
        <v>6</v>
      </c>
      <c r="G849" s="187">
        <v>2.94</v>
      </c>
      <c r="H849" s="190">
        <v>0.316</v>
      </c>
      <c r="I849" s="190">
        <v>0.47499999999999998</v>
      </c>
      <c r="J849" s="187">
        <v>1.06</v>
      </c>
      <c r="K849" s="185">
        <v>6.19</v>
      </c>
      <c r="L849" s="185">
        <v>12.9</v>
      </c>
      <c r="M849" s="186">
        <v>24.9</v>
      </c>
      <c r="N849" s="187">
        <v>9.83</v>
      </c>
      <c r="O849" s="187">
        <v>8.3000000000000007</v>
      </c>
      <c r="P849" s="187">
        <v>2.37</v>
      </c>
      <c r="Q849" s="187">
        <v>3.46</v>
      </c>
      <c r="R849" s="187">
        <v>3.3</v>
      </c>
      <c r="S849" s="187">
        <v>1.73</v>
      </c>
      <c r="T849" s="190">
        <v>0.88300000000000001</v>
      </c>
      <c r="U849" s="190">
        <v>0.28499999999999998</v>
      </c>
      <c r="V849" s="186">
        <v>20.5</v>
      </c>
      <c r="W849" s="185">
        <v>1.01</v>
      </c>
      <c r="X849" s="187">
        <v>5.53</v>
      </c>
      <c r="Y849" s="187">
        <v>3.18</v>
      </c>
      <c r="Z849" s="190">
        <v>0.63400000000000001</v>
      </c>
      <c r="AA849" s="39" t="str">
        <f t="shared" si="48"/>
        <v>MC</v>
      </c>
      <c r="AD849" s="14">
        <v>0.94</v>
      </c>
      <c r="AE849" s="14">
        <v>0.54300000000000004</v>
      </c>
    </row>
    <row r="850" spans="1:31" s="198" customFormat="1" ht="15" x14ac:dyDescent="0.25">
      <c r="A850" s="185" t="s">
        <v>1270</v>
      </c>
      <c r="B850" s="185" t="s">
        <v>1306</v>
      </c>
      <c r="C850" s="185" t="s">
        <v>618</v>
      </c>
      <c r="D850" s="186">
        <v>12</v>
      </c>
      <c r="E850" s="187">
        <v>3.53</v>
      </c>
      <c r="F850" s="187">
        <v>6</v>
      </c>
      <c r="G850" s="187">
        <v>2.5</v>
      </c>
      <c r="H850" s="190">
        <v>0.31</v>
      </c>
      <c r="I850" s="190">
        <v>0.375</v>
      </c>
      <c r="J850" s="190">
        <v>0.875</v>
      </c>
      <c r="K850" s="185">
        <v>6.67</v>
      </c>
      <c r="L850" s="185">
        <v>14.5</v>
      </c>
      <c r="M850" s="186">
        <v>18.7</v>
      </c>
      <c r="N850" s="187">
        <v>7.47</v>
      </c>
      <c r="O850" s="187">
        <v>6.24</v>
      </c>
      <c r="P850" s="187">
        <v>2.2999999999999998</v>
      </c>
      <c r="Q850" s="187">
        <v>1.85</v>
      </c>
      <c r="R850" s="187">
        <v>1.97</v>
      </c>
      <c r="S850" s="187">
        <v>1.03</v>
      </c>
      <c r="T850" s="190">
        <v>0.72399999999999998</v>
      </c>
      <c r="U850" s="190">
        <v>0.155</v>
      </c>
      <c r="V850" s="186">
        <v>11.3</v>
      </c>
      <c r="W850" s="185">
        <v>0.85599999999999998</v>
      </c>
      <c r="X850" s="187">
        <v>5.63</v>
      </c>
      <c r="Y850" s="187">
        <v>2.8</v>
      </c>
      <c r="Z850" s="190">
        <v>0.74</v>
      </c>
      <c r="AA850" s="39" t="str">
        <f t="shared" si="48"/>
        <v>MC</v>
      </c>
      <c r="AD850" s="14">
        <v>0.70399999999999996</v>
      </c>
      <c r="AE850" s="14">
        <v>0.29399999999999998</v>
      </c>
    </row>
    <row r="851" spans="1:31" s="198" customFormat="1" ht="15" x14ac:dyDescent="0.25">
      <c r="A851" s="185" t="s">
        <v>1270</v>
      </c>
      <c r="B851" s="185" t="s">
        <v>1307</v>
      </c>
      <c r="C851" s="185" t="s">
        <v>618</v>
      </c>
      <c r="D851" s="187">
        <v>7</v>
      </c>
      <c r="E851" s="187">
        <v>2.09</v>
      </c>
      <c r="F851" s="187">
        <v>6</v>
      </c>
      <c r="G851" s="187">
        <v>1.88</v>
      </c>
      <c r="H851" s="190">
        <v>0.17899999999999999</v>
      </c>
      <c r="I851" s="190">
        <v>0.29099999999999998</v>
      </c>
      <c r="J851" s="190">
        <v>0.75</v>
      </c>
      <c r="K851" s="185">
        <v>6.46</v>
      </c>
      <c r="L851" s="186">
        <v>26</v>
      </c>
      <c r="M851" s="186">
        <v>11.4</v>
      </c>
      <c r="N851" s="187">
        <v>4.5</v>
      </c>
      <c r="O851" s="187">
        <v>3.81</v>
      </c>
      <c r="P851" s="187">
        <v>2.34</v>
      </c>
      <c r="Q851" s="190">
        <v>0.60299999999999998</v>
      </c>
      <c r="R851" s="190">
        <v>0.86499999999999999</v>
      </c>
      <c r="S851" s="190">
        <v>0.439</v>
      </c>
      <c r="T851" s="190">
        <v>0.53700000000000003</v>
      </c>
      <c r="U851" s="193">
        <v>4.6399999999999997E-2</v>
      </c>
      <c r="V851" s="187">
        <v>4</v>
      </c>
      <c r="W851" s="185">
        <v>0.63800000000000001</v>
      </c>
      <c r="X851" s="185">
        <v>5.71</v>
      </c>
      <c r="Y851" s="187">
        <v>2.63</v>
      </c>
      <c r="Z851" s="190">
        <v>0.83</v>
      </c>
      <c r="AA851" s="39" t="str">
        <f t="shared" si="48"/>
        <v>MC</v>
      </c>
      <c r="AD851" s="14">
        <v>0.501</v>
      </c>
      <c r="AE851" s="14">
        <v>0.17399999999999999</v>
      </c>
    </row>
    <row r="852" spans="1:31" s="198" customFormat="1" ht="15" x14ac:dyDescent="0.25">
      <c r="A852" s="185" t="s">
        <v>1270</v>
      </c>
      <c r="B852" s="185" t="s">
        <v>1308</v>
      </c>
      <c r="C852" s="185" t="s">
        <v>618</v>
      </c>
      <c r="D852" s="187">
        <v>6.5</v>
      </c>
      <c r="E852" s="187">
        <v>1.95</v>
      </c>
      <c r="F852" s="187">
        <v>6</v>
      </c>
      <c r="G852" s="187">
        <v>1.85</v>
      </c>
      <c r="H852" s="190">
        <v>0.155</v>
      </c>
      <c r="I852" s="190">
        <v>0.29099999999999998</v>
      </c>
      <c r="J852" s="190">
        <v>0.75</v>
      </c>
      <c r="K852" s="185">
        <v>6.36</v>
      </c>
      <c r="L852" s="186">
        <v>30.1</v>
      </c>
      <c r="M852" s="186">
        <v>11</v>
      </c>
      <c r="N852" s="187">
        <v>4.28</v>
      </c>
      <c r="O852" s="187">
        <v>3.66</v>
      </c>
      <c r="P852" s="187">
        <v>2.38</v>
      </c>
      <c r="Q852" s="190">
        <v>0.56499999999999995</v>
      </c>
      <c r="R852" s="190">
        <v>0.83599999999999997</v>
      </c>
      <c r="S852" s="190">
        <v>0.42199999999999999</v>
      </c>
      <c r="T852" s="190">
        <v>0.53900000000000003</v>
      </c>
      <c r="U852" s="193">
        <v>4.1200000000000001E-2</v>
      </c>
      <c r="V852" s="187">
        <v>3.75</v>
      </c>
      <c r="W852" s="185">
        <v>0.63100000000000001</v>
      </c>
      <c r="X852" s="185">
        <v>5.71</v>
      </c>
      <c r="Y852" s="187">
        <v>2.68</v>
      </c>
      <c r="Z852" s="190">
        <v>0.82399999999999995</v>
      </c>
      <c r="AA852" s="39" t="str">
        <f t="shared" si="48"/>
        <v>MC</v>
      </c>
      <c r="AD852" s="14">
        <v>0.51300000000000001</v>
      </c>
      <c r="AE852" s="14">
        <v>0.191</v>
      </c>
    </row>
    <row r="853" spans="1:31" s="198" customFormat="1" ht="15" x14ac:dyDescent="0.25">
      <c r="A853" s="185" t="s">
        <v>1270</v>
      </c>
      <c r="B853" s="185" t="s">
        <v>1309</v>
      </c>
      <c r="C853" s="185" t="s">
        <v>618</v>
      </c>
      <c r="D853" s="186">
        <v>13.8</v>
      </c>
      <c r="E853" s="187">
        <v>4.03</v>
      </c>
      <c r="F853" s="187">
        <v>4</v>
      </c>
      <c r="G853" s="187">
        <v>2.5</v>
      </c>
      <c r="H853" s="190">
        <v>0.5</v>
      </c>
      <c r="I853" s="190">
        <v>0.5</v>
      </c>
      <c r="J853" s="187">
        <v>1</v>
      </c>
      <c r="K853" s="187">
        <v>5</v>
      </c>
      <c r="L853" s="185">
        <v>4.4800000000000004</v>
      </c>
      <c r="M853" s="187">
        <v>8.85</v>
      </c>
      <c r="N853" s="187">
        <v>5.53</v>
      </c>
      <c r="O853" s="187">
        <v>4.43</v>
      </c>
      <c r="P853" s="187">
        <v>1.48</v>
      </c>
      <c r="Q853" s="187">
        <v>2.13</v>
      </c>
      <c r="R853" s="187">
        <v>2.4</v>
      </c>
      <c r="S853" s="187">
        <v>1.29</v>
      </c>
      <c r="T853" s="190">
        <v>0.72699999999999998</v>
      </c>
      <c r="U853" s="190">
        <v>0.373</v>
      </c>
      <c r="V853" s="187">
        <v>4.84</v>
      </c>
      <c r="W853" s="185">
        <v>0.85099999999999998</v>
      </c>
      <c r="X853" s="187">
        <v>3.5</v>
      </c>
      <c r="Y853" s="187">
        <v>2.23</v>
      </c>
      <c r="Z853" s="190">
        <v>0.55000000000000004</v>
      </c>
      <c r="AA853" s="39" t="str">
        <f t="shared" si="48"/>
        <v>MC</v>
      </c>
      <c r="AD853" s="14">
        <v>0.84899999999999998</v>
      </c>
      <c r="AE853" s="14">
        <v>0.50800000000000001</v>
      </c>
    </row>
    <row r="854" spans="1:31" s="198" customFormat="1" ht="15.75" thickBot="1" x14ac:dyDescent="0.3">
      <c r="A854" s="200" t="s">
        <v>1270</v>
      </c>
      <c r="B854" s="200" t="s">
        <v>1310</v>
      </c>
      <c r="C854" s="200" t="s">
        <v>618</v>
      </c>
      <c r="D854" s="201">
        <v>7.1</v>
      </c>
      <c r="E854" s="201">
        <v>2.11</v>
      </c>
      <c r="F854" s="201">
        <v>3</v>
      </c>
      <c r="G854" s="201">
        <v>1.94</v>
      </c>
      <c r="H854" s="202">
        <v>0.312</v>
      </c>
      <c r="I854" s="202">
        <v>0.35099999999999998</v>
      </c>
      <c r="J854" s="202">
        <v>0.81299999999999994</v>
      </c>
      <c r="K854" s="200">
        <v>5.53</v>
      </c>
      <c r="L854" s="200">
        <v>4.93</v>
      </c>
      <c r="M854" s="201">
        <v>2.72</v>
      </c>
      <c r="N854" s="201">
        <v>2.2400000000000002</v>
      </c>
      <c r="O854" s="201">
        <v>1.81</v>
      </c>
      <c r="P854" s="201">
        <v>1.1399999999999999</v>
      </c>
      <c r="Q854" s="202">
        <v>0.66600000000000004</v>
      </c>
      <c r="R854" s="202">
        <v>0.998</v>
      </c>
      <c r="S854" s="202">
        <v>0.51800000000000002</v>
      </c>
      <c r="T854" s="202">
        <v>0.56200000000000006</v>
      </c>
      <c r="U854" s="203">
        <v>9.2799999999999994E-2</v>
      </c>
      <c r="V854" s="202">
        <v>0.91500000000000004</v>
      </c>
      <c r="W854" s="200">
        <v>0.65700000000000003</v>
      </c>
      <c r="X854" s="200">
        <v>2.65</v>
      </c>
      <c r="Y854" s="201">
        <v>1.76</v>
      </c>
      <c r="Z854" s="202">
        <v>0.51600000000000001</v>
      </c>
      <c r="AA854" s="204" t="str">
        <f t="shared" si="48"/>
        <v>MC</v>
      </c>
      <c r="AB854" s="205"/>
      <c r="AC854" s="205"/>
      <c r="AD854" s="206">
        <v>0.65300000000000002</v>
      </c>
      <c r="AE854" s="206">
        <v>0.41399999999999998</v>
      </c>
    </row>
    <row r="855" spans="1:31" s="198" customFormat="1" ht="15" x14ac:dyDescent="0.25">
      <c r="A855" s="207" t="s">
        <v>2055</v>
      </c>
      <c r="B855" s="185"/>
      <c r="C855" s="185"/>
      <c r="D855" s="187"/>
      <c r="E855" s="187"/>
      <c r="F855" s="187"/>
      <c r="G855" s="187"/>
      <c r="H855" s="190"/>
      <c r="I855" s="190"/>
      <c r="J855" s="190"/>
      <c r="K855" s="185"/>
      <c r="L855" s="185"/>
      <c r="M855" s="187"/>
      <c r="N855" s="187"/>
      <c r="O855" s="187"/>
      <c r="P855" s="187"/>
      <c r="Q855" s="190"/>
      <c r="R855" s="190"/>
      <c r="S855" s="190"/>
      <c r="T855" s="190"/>
      <c r="U855" s="193"/>
      <c r="V855" s="190"/>
      <c r="W855" s="185"/>
      <c r="X855" s="185"/>
      <c r="Y855" s="187"/>
      <c r="Z855" s="190"/>
      <c r="AA855" s="14"/>
    </row>
    <row r="856" spans="1:31" s="198" customFormat="1" ht="15" x14ac:dyDescent="0.25">
      <c r="A856" s="185"/>
      <c r="B856" s="185"/>
      <c r="C856" s="185"/>
      <c r="D856" s="187"/>
      <c r="E856" s="187"/>
      <c r="F856" s="187"/>
      <c r="G856" s="187"/>
      <c r="H856" s="190"/>
      <c r="I856" s="190"/>
      <c r="J856" s="190"/>
      <c r="K856" s="185"/>
      <c r="L856" s="185"/>
      <c r="M856" s="187"/>
      <c r="N856" s="187"/>
      <c r="O856" s="187"/>
      <c r="P856" s="187"/>
      <c r="Q856" s="190"/>
      <c r="R856" s="190"/>
      <c r="S856" s="190"/>
      <c r="T856" s="190"/>
      <c r="U856" s="193"/>
      <c r="V856" s="190"/>
      <c r="W856" s="185"/>
      <c r="X856" s="185"/>
      <c r="Y856" s="187"/>
      <c r="Z856" s="190"/>
      <c r="AA856" s="14"/>
    </row>
    <row r="857" spans="1:31" s="198" customFormat="1" ht="15" x14ac:dyDescent="0.25">
      <c r="A857" s="208" t="s">
        <v>2574</v>
      </c>
      <c r="B857" s="185"/>
      <c r="C857" s="185"/>
      <c r="D857" s="187"/>
      <c r="E857" s="187"/>
      <c r="F857" s="187"/>
      <c r="G857" s="187"/>
      <c r="H857" s="190"/>
      <c r="I857" s="190"/>
      <c r="J857" s="190"/>
      <c r="K857" s="185"/>
      <c r="L857" s="185"/>
      <c r="M857" s="187"/>
      <c r="N857" s="187"/>
      <c r="O857" s="187"/>
      <c r="P857" s="187"/>
      <c r="Q857" s="190"/>
      <c r="R857" s="190"/>
      <c r="S857" s="190"/>
      <c r="T857" s="190"/>
      <c r="U857" s="193"/>
      <c r="V857" s="190"/>
      <c r="W857" s="185"/>
      <c r="X857" s="185"/>
      <c r="Y857" s="187"/>
      <c r="Z857" s="190"/>
      <c r="AA857" s="14"/>
    </row>
    <row r="858" spans="1:31" s="198" customFormat="1" ht="15" x14ac:dyDescent="0.25">
      <c r="A858" s="185" t="s">
        <v>1313</v>
      </c>
      <c r="B858" s="185" t="s">
        <v>1866</v>
      </c>
      <c r="C858" s="185" t="s">
        <v>1859</v>
      </c>
      <c r="D858" s="185">
        <v>204</v>
      </c>
      <c r="E858" s="186">
        <v>59.9</v>
      </c>
      <c r="F858" s="186">
        <v>22.4</v>
      </c>
      <c r="G858" s="186">
        <v>16.100000000000001</v>
      </c>
      <c r="H858" s="187">
        <v>1.22</v>
      </c>
      <c r="I858" s="187">
        <v>2.17</v>
      </c>
      <c r="J858" s="188">
        <v>2.96</v>
      </c>
      <c r="K858" s="187">
        <v>3.71</v>
      </c>
      <c r="L858" s="185" t="s">
        <v>8</v>
      </c>
      <c r="M858" s="185">
        <v>2670</v>
      </c>
      <c r="N858" s="185">
        <v>286</v>
      </c>
      <c r="O858" s="185">
        <v>160</v>
      </c>
      <c r="P858" s="187">
        <v>6.68</v>
      </c>
      <c r="Q858" s="185">
        <v>758</v>
      </c>
      <c r="R858" s="185">
        <v>148</v>
      </c>
      <c r="S858" s="186">
        <v>94.2</v>
      </c>
      <c r="T858" s="187">
        <v>3.56</v>
      </c>
      <c r="U858" s="186">
        <v>66.900000000000006</v>
      </c>
      <c r="V858" s="185">
        <v>785</v>
      </c>
      <c r="W858" s="185" t="s">
        <v>8</v>
      </c>
      <c r="X858" s="185" t="s">
        <v>8</v>
      </c>
      <c r="Y858" s="187">
        <v>8.8699999999999992</v>
      </c>
      <c r="Z858" s="190">
        <v>0.72799999999999998</v>
      </c>
      <c r="AA858" s="14" t="str">
        <f t="shared" si="48"/>
        <v>WT</v>
      </c>
      <c r="AB858" s="14">
        <v>5.71</v>
      </c>
      <c r="AC858" s="14">
        <v>1.86</v>
      </c>
    </row>
    <row r="859" spans="1:31" s="198" customFormat="1" ht="15" x14ac:dyDescent="0.25">
      <c r="A859" s="185" t="s">
        <v>1313</v>
      </c>
      <c r="B859" s="185" t="s">
        <v>1867</v>
      </c>
      <c r="C859" s="185" t="s">
        <v>1859</v>
      </c>
      <c r="D859" s="185">
        <v>184</v>
      </c>
      <c r="E859" s="186">
        <v>54</v>
      </c>
      <c r="F859" s="186">
        <v>22.2</v>
      </c>
      <c r="G859" s="186">
        <v>16</v>
      </c>
      <c r="H859" s="187">
        <v>1.1000000000000001</v>
      </c>
      <c r="I859" s="187">
        <v>1.97</v>
      </c>
      <c r="J859" s="188">
        <v>2.76</v>
      </c>
      <c r="K859" s="187">
        <v>4.0599999999999996</v>
      </c>
      <c r="L859" s="185" t="s">
        <v>8</v>
      </c>
      <c r="M859" s="185">
        <v>2380</v>
      </c>
      <c r="N859" s="185">
        <v>255</v>
      </c>
      <c r="O859" s="185">
        <v>143</v>
      </c>
      <c r="P859" s="187">
        <v>6.64</v>
      </c>
      <c r="Q859" s="185">
        <v>675</v>
      </c>
      <c r="R859" s="185">
        <v>132</v>
      </c>
      <c r="S859" s="186">
        <v>84.4</v>
      </c>
      <c r="T859" s="187">
        <v>3.54</v>
      </c>
      <c r="U859" s="186">
        <v>49.9</v>
      </c>
      <c r="V859" s="185">
        <v>570</v>
      </c>
      <c r="W859" s="185" t="s">
        <v>8</v>
      </c>
      <c r="X859" s="185" t="s">
        <v>8</v>
      </c>
      <c r="Y859" s="187">
        <v>8.81</v>
      </c>
      <c r="Z859" s="190">
        <v>0.72899999999999998</v>
      </c>
      <c r="AA859" s="14" t="str">
        <f t="shared" si="48"/>
        <v>WT</v>
      </c>
      <c r="AB859" s="14">
        <v>5.57</v>
      </c>
      <c r="AC859" s="14">
        <v>1.69</v>
      </c>
    </row>
    <row r="860" spans="1:31" s="198" customFormat="1" ht="15" x14ac:dyDescent="0.25">
      <c r="A860" s="185" t="s">
        <v>1313</v>
      </c>
      <c r="B860" s="185" t="s">
        <v>1314</v>
      </c>
      <c r="C860" s="185" t="s">
        <v>618</v>
      </c>
      <c r="D860" s="185">
        <v>167.5</v>
      </c>
      <c r="E860" s="186">
        <v>49.2</v>
      </c>
      <c r="F860" s="186">
        <v>22</v>
      </c>
      <c r="G860" s="186">
        <v>15.9</v>
      </c>
      <c r="H860" s="187">
        <v>1.03</v>
      </c>
      <c r="I860" s="187">
        <v>1.77</v>
      </c>
      <c r="J860" s="188">
        <v>2.56</v>
      </c>
      <c r="K860" s="187">
        <v>4.5</v>
      </c>
      <c r="L860" s="185" t="s">
        <v>8</v>
      </c>
      <c r="M860" s="185">
        <v>2170</v>
      </c>
      <c r="N860" s="185">
        <v>234</v>
      </c>
      <c r="O860" s="185">
        <v>131</v>
      </c>
      <c r="P860" s="187">
        <v>6.63</v>
      </c>
      <c r="Q860" s="185">
        <v>600</v>
      </c>
      <c r="R860" s="185">
        <v>118</v>
      </c>
      <c r="S860" s="186">
        <v>75.2</v>
      </c>
      <c r="T860" s="187">
        <v>3.49</v>
      </c>
      <c r="U860" s="186">
        <v>37.200000000000003</v>
      </c>
      <c r="V860" s="185">
        <v>438</v>
      </c>
      <c r="W860" s="185" t="s">
        <v>8</v>
      </c>
      <c r="X860" s="185" t="s">
        <v>8</v>
      </c>
      <c r="Y860" s="187">
        <v>8.82</v>
      </c>
      <c r="Z860" s="190">
        <v>0.72299999999999998</v>
      </c>
      <c r="AA860" s="14" t="str">
        <f t="shared" ref="AA860" si="49">A860</f>
        <v>WT</v>
      </c>
      <c r="AB860" s="14">
        <v>5.53</v>
      </c>
      <c r="AC860" s="14">
        <v>1.54</v>
      </c>
    </row>
    <row r="861" spans="1:31" s="198" customFormat="1" ht="15" x14ac:dyDescent="0.25">
      <c r="A861" s="185" t="s">
        <v>1313</v>
      </c>
      <c r="B861" s="185" t="s">
        <v>1315</v>
      </c>
      <c r="C861" s="185" t="s">
        <v>618</v>
      </c>
      <c r="D861" s="185">
        <v>145</v>
      </c>
      <c r="E861" s="186">
        <v>42.6</v>
      </c>
      <c r="F861" s="186">
        <v>21.8</v>
      </c>
      <c r="G861" s="186">
        <v>15.8</v>
      </c>
      <c r="H861" s="190">
        <v>0.86499999999999999</v>
      </c>
      <c r="I861" s="187">
        <v>1.58</v>
      </c>
      <c r="J861" s="188">
        <v>2.36</v>
      </c>
      <c r="K861" s="187">
        <v>5.0199999999999996</v>
      </c>
      <c r="L861" s="185" t="s">
        <v>8</v>
      </c>
      <c r="M861" s="185">
        <v>1830</v>
      </c>
      <c r="N861" s="185">
        <v>196</v>
      </c>
      <c r="O861" s="185">
        <v>111</v>
      </c>
      <c r="P861" s="187">
        <v>6.54</v>
      </c>
      <c r="Q861" s="185">
        <v>521</v>
      </c>
      <c r="R861" s="185">
        <v>102</v>
      </c>
      <c r="S861" s="186">
        <v>65.900000000000006</v>
      </c>
      <c r="T861" s="187">
        <v>3.49</v>
      </c>
      <c r="U861" s="186">
        <v>25.4</v>
      </c>
      <c r="V861" s="185">
        <v>275</v>
      </c>
      <c r="W861" s="185" t="s">
        <v>8</v>
      </c>
      <c r="X861" s="185" t="s">
        <v>8</v>
      </c>
      <c r="Y861" s="187">
        <v>8.66</v>
      </c>
      <c r="Z861" s="190">
        <v>0.73299999999999998</v>
      </c>
      <c r="AA861" s="14" t="str">
        <f t="shared" si="48"/>
        <v>WT</v>
      </c>
      <c r="AB861" s="14">
        <v>5.26</v>
      </c>
      <c r="AC861" s="14">
        <v>1.35</v>
      </c>
    </row>
    <row r="862" spans="1:31" s="198" customFormat="1" ht="15" x14ac:dyDescent="0.25">
      <c r="A862" s="185" t="s">
        <v>1313</v>
      </c>
      <c r="B862" s="185" t="s">
        <v>1316</v>
      </c>
      <c r="C862" s="185" t="s">
        <v>618</v>
      </c>
      <c r="D862" s="185">
        <v>131</v>
      </c>
      <c r="E862" s="186">
        <v>38.5</v>
      </c>
      <c r="F862" s="186">
        <v>21.7</v>
      </c>
      <c r="G862" s="186">
        <v>15.8</v>
      </c>
      <c r="H862" s="190">
        <v>0.78500000000000003</v>
      </c>
      <c r="I862" s="187">
        <v>1.42</v>
      </c>
      <c r="J862" s="188">
        <v>2.2000000000000002</v>
      </c>
      <c r="K862" s="187">
        <v>5.57</v>
      </c>
      <c r="L862" s="185" t="s">
        <v>8</v>
      </c>
      <c r="M862" s="185">
        <v>1640</v>
      </c>
      <c r="N862" s="185">
        <v>176</v>
      </c>
      <c r="O862" s="186">
        <v>99.4</v>
      </c>
      <c r="P862" s="187">
        <v>6.53</v>
      </c>
      <c r="Q862" s="185">
        <v>462</v>
      </c>
      <c r="R862" s="186">
        <v>90.9</v>
      </c>
      <c r="S862" s="186">
        <v>58.6</v>
      </c>
      <c r="T862" s="187">
        <v>3.47</v>
      </c>
      <c r="U862" s="186">
        <v>18.600000000000001</v>
      </c>
      <c r="V862" s="185">
        <v>200</v>
      </c>
      <c r="W862" s="185" t="s">
        <v>8</v>
      </c>
      <c r="X862" s="185" t="s">
        <v>8</v>
      </c>
      <c r="Y862" s="187">
        <v>8.64</v>
      </c>
      <c r="Z862" s="190">
        <v>0.73099999999999998</v>
      </c>
      <c r="AA862" s="14" t="str">
        <f t="shared" si="48"/>
        <v>WT</v>
      </c>
      <c r="AB862" s="14">
        <v>5.19</v>
      </c>
      <c r="AC862" s="14">
        <v>1.22</v>
      </c>
    </row>
    <row r="863" spans="1:31" s="198" customFormat="1" ht="15" x14ac:dyDescent="0.25">
      <c r="A863" s="185" t="s">
        <v>1313</v>
      </c>
      <c r="B863" s="185" t="s">
        <v>1317</v>
      </c>
      <c r="C863" s="185" t="s">
        <v>618</v>
      </c>
      <c r="D863" s="185">
        <v>115</v>
      </c>
      <c r="E863" s="186">
        <v>33.9</v>
      </c>
      <c r="F863" s="186">
        <v>21.5</v>
      </c>
      <c r="G863" s="186">
        <v>15.8</v>
      </c>
      <c r="H863" s="190">
        <v>0.71</v>
      </c>
      <c r="I863" s="187">
        <v>1.22</v>
      </c>
      <c r="J863" s="188">
        <v>2.0099999999999998</v>
      </c>
      <c r="K863" s="187">
        <v>6.45</v>
      </c>
      <c r="L863" s="185" t="s">
        <v>8</v>
      </c>
      <c r="M863" s="185">
        <v>1440</v>
      </c>
      <c r="N863" s="185">
        <v>157</v>
      </c>
      <c r="O863" s="186">
        <v>88.6</v>
      </c>
      <c r="P863" s="187">
        <v>6.53</v>
      </c>
      <c r="Q863" s="185">
        <v>398</v>
      </c>
      <c r="R863" s="186">
        <v>78.3</v>
      </c>
      <c r="S863" s="186">
        <v>50.5</v>
      </c>
      <c r="T863" s="187">
        <v>3.43</v>
      </c>
      <c r="U863" s="186">
        <v>12.4</v>
      </c>
      <c r="V863" s="185">
        <v>139</v>
      </c>
      <c r="W863" s="185" t="s">
        <v>8</v>
      </c>
      <c r="X863" s="185" t="s">
        <v>8</v>
      </c>
      <c r="Y863" s="187">
        <v>8.67</v>
      </c>
      <c r="Z863" s="190">
        <v>0.72299999999999998</v>
      </c>
      <c r="AA863" s="14" t="str">
        <f t="shared" si="48"/>
        <v>WT</v>
      </c>
      <c r="AB863" s="14">
        <v>5.17</v>
      </c>
      <c r="AC863" s="14">
        <v>1.07</v>
      </c>
    </row>
    <row r="864" spans="1:31" s="198" customFormat="1" ht="15" x14ac:dyDescent="0.25">
      <c r="A864" s="185" t="s">
        <v>1313</v>
      </c>
      <c r="B864" s="185" t="s">
        <v>1318</v>
      </c>
      <c r="C864" s="185" t="s">
        <v>618</v>
      </c>
      <c r="D864" s="185">
        <v>327.5</v>
      </c>
      <c r="E864" s="21">
        <v>96.4</v>
      </c>
      <c r="F864" s="186">
        <v>21.8</v>
      </c>
      <c r="G864" s="186">
        <v>16.899999999999999</v>
      </c>
      <c r="H864" s="187">
        <v>1.97</v>
      </c>
      <c r="I864" s="187">
        <v>3.54</v>
      </c>
      <c r="J864" s="187">
        <v>4.72</v>
      </c>
      <c r="K864" s="20">
        <v>2.39</v>
      </c>
      <c r="L864" s="185" t="s">
        <v>8</v>
      </c>
      <c r="M864" s="19">
        <v>3730</v>
      </c>
      <c r="N864" s="19">
        <v>426</v>
      </c>
      <c r="O864" s="18">
        <v>234</v>
      </c>
      <c r="P864" s="20">
        <v>6.22</v>
      </c>
      <c r="Q864" s="19">
        <v>1440</v>
      </c>
      <c r="R864" s="18">
        <v>271</v>
      </c>
      <c r="S864" s="18">
        <v>170</v>
      </c>
      <c r="T864" s="20">
        <v>3.86</v>
      </c>
      <c r="U864" s="18">
        <v>293</v>
      </c>
      <c r="V864" s="19">
        <v>3190</v>
      </c>
      <c r="W864" s="185" t="s">
        <v>8</v>
      </c>
      <c r="X864" s="185" t="s">
        <v>8</v>
      </c>
      <c r="Y864" s="20">
        <v>8.3800000000000008</v>
      </c>
      <c r="Z864" s="209">
        <v>0.76300000000000001</v>
      </c>
      <c r="AA864" s="14" t="str">
        <f t="shared" si="48"/>
        <v>WT</v>
      </c>
      <c r="AB864" s="14">
        <v>5.85</v>
      </c>
      <c r="AC864" s="14">
        <v>2.85</v>
      </c>
    </row>
    <row r="865" spans="1:29" s="198" customFormat="1" ht="15" x14ac:dyDescent="0.25">
      <c r="A865" s="185" t="s">
        <v>1313</v>
      </c>
      <c r="B865" s="185" t="s">
        <v>1319</v>
      </c>
      <c r="C865" s="185" t="s">
        <v>618</v>
      </c>
      <c r="D865" s="185">
        <v>296.5</v>
      </c>
      <c r="E865" s="186">
        <v>87.2</v>
      </c>
      <c r="F865" s="186">
        <v>21.5</v>
      </c>
      <c r="G865" s="186">
        <v>16.7</v>
      </c>
      <c r="H865" s="187">
        <v>1.79</v>
      </c>
      <c r="I865" s="187">
        <v>3.23</v>
      </c>
      <c r="J865" s="187">
        <v>4.41</v>
      </c>
      <c r="K865" s="187">
        <v>2.58</v>
      </c>
      <c r="L865" s="185" t="s">
        <v>8</v>
      </c>
      <c r="M865" s="185">
        <v>3310</v>
      </c>
      <c r="N865" s="185">
        <v>379</v>
      </c>
      <c r="O865" s="185">
        <v>209</v>
      </c>
      <c r="P865" s="187">
        <v>6.16</v>
      </c>
      <c r="Q865" s="185">
        <v>1260</v>
      </c>
      <c r="R865" s="185">
        <v>240</v>
      </c>
      <c r="S865" s="185">
        <v>151</v>
      </c>
      <c r="T865" s="187">
        <v>3.8</v>
      </c>
      <c r="U865" s="185">
        <v>221</v>
      </c>
      <c r="V865" s="185">
        <v>2340</v>
      </c>
      <c r="W865" s="185" t="s">
        <v>8</v>
      </c>
      <c r="X865" s="185" t="s">
        <v>8</v>
      </c>
      <c r="Y865" s="187">
        <v>8.2899999999999991</v>
      </c>
      <c r="Z865" s="190">
        <v>0.76200000000000001</v>
      </c>
      <c r="AA865" s="14" t="str">
        <f t="shared" si="48"/>
        <v>WT</v>
      </c>
      <c r="AB865" s="14">
        <v>5.66</v>
      </c>
      <c r="AC865" s="14">
        <v>2.61</v>
      </c>
    </row>
    <row r="866" spans="1:29" s="198" customFormat="1" ht="15" x14ac:dyDescent="0.25">
      <c r="A866" s="185" t="s">
        <v>1313</v>
      </c>
      <c r="B866" s="185" t="s">
        <v>1320</v>
      </c>
      <c r="C866" s="185" t="s">
        <v>618</v>
      </c>
      <c r="D866" s="185">
        <v>251.5</v>
      </c>
      <c r="E866" s="186">
        <v>74</v>
      </c>
      <c r="F866" s="186">
        <v>21</v>
      </c>
      <c r="G866" s="186">
        <v>16.399999999999999</v>
      </c>
      <c r="H866" s="187">
        <v>1.54</v>
      </c>
      <c r="I866" s="187">
        <v>2.76</v>
      </c>
      <c r="J866" s="187">
        <v>3.94</v>
      </c>
      <c r="K866" s="187">
        <v>2.98</v>
      </c>
      <c r="L866" s="185" t="s">
        <v>8</v>
      </c>
      <c r="M866" s="185">
        <v>2730</v>
      </c>
      <c r="N866" s="185">
        <v>314</v>
      </c>
      <c r="O866" s="185">
        <v>174</v>
      </c>
      <c r="P866" s="187">
        <v>6.07</v>
      </c>
      <c r="Q866" s="185">
        <v>1020</v>
      </c>
      <c r="R866" s="185">
        <v>197</v>
      </c>
      <c r="S866" s="185">
        <v>124</v>
      </c>
      <c r="T866" s="187">
        <v>3.72</v>
      </c>
      <c r="U866" s="185">
        <v>138</v>
      </c>
      <c r="V866" s="185">
        <v>1400</v>
      </c>
      <c r="W866" s="185" t="s">
        <v>8</v>
      </c>
      <c r="X866" s="185" t="s">
        <v>8</v>
      </c>
      <c r="Y866" s="187">
        <v>8.17</v>
      </c>
      <c r="Z866" s="190">
        <v>0.76</v>
      </c>
      <c r="AA866" s="14" t="str">
        <f t="shared" si="48"/>
        <v>WT</v>
      </c>
      <c r="AB866" s="14">
        <v>5.38</v>
      </c>
      <c r="AC866" s="14">
        <v>2.25</v>
      </c>
    </row>
    <row r="867" spans="1:29" s="198" customFormat="1" ht="15" x14ac:dyDescent="0.25">
      <c r="A867" s="185" t="s">
        <v>1313</v>
      </c>
      <c r="B867" s="185" t="s">
        <v>1321</v>
      </c>
      <c r="C867" s="185" t="s">
        <v>618</v>
      </c>
      <c r="D867" s="185">
        <v>215.5</v>
      </c>
      <c r="E867" s="186">
        <v>63.3</v>
      </c>
      <c r="F867" s="186">
        <v>20.6</v>
      </c>
      <c r="G867" s="186">
        <v>16.2</v>
      </c>
      <c r="H867" s="187">
        <v>1.34</v>
      </c>
      <c r="I867" s="187">
        <v>2.36</v>
      </c>
      <c r="J867" s="187">
        <v>3.54</v>
      </c>
      <c r="K867" s="187">
        <v>3.44</v>
      </c>
      <c r="L867" s="185" t="s">
        <v>8</v>
      </c>
      <c r="M867" s="185">
        <v>2290</v>
      </c>
      <c r="N867" s="185">
        <v>266</v>
      </c>
      <c r="O867" s="185">
        <v>148</v>
      </c>
      <c r="P867" s="187">
        <v>6.01</v>
      </c>
      <c r="Q867" s="185">
        <v>843</v>
      </c>
      <c r="R867" s="185">
        <v>164</v>
      </c>
      <c r="S867" s="185">
        <v>104</v>
      </c>
      <c r="T867" s="187">
        <v>3.65</v>
      </c>
      <c r="U867" s="186">
        <v>88.2</v>
      </c>
      <c r="V867" s="185">
        <v>881</v>
      </c>
      <c r="W867" s="185" t="s">
        <v>8</v>
      </c>
      <c r="X867" s="185" t="s">
        <v>8</v>
      </c>
      <c r="Y867" s="187">
        <v>8.09</v>
      </c>
      <c r="Z867" s="190">
        <v>0.75600000000000001</v>
      </c>
      <c r="AA867" s="14" t="str">
        <f t="shared" si="48"/>
        <v>WT</v>
      </c>
      <c r="AB867" s="14">
        <v>5.18</v>
      </c>
      <c r="AC867" s="14">
        <v>1.95</v>
      </c>
    </row>
    <row r="868" spans="1:29" s="198" customFormat="1" ht="15" x14ac:dyDescent="0.25">
      <c r="A868" s="185" t="s">
        <v>1313</v>
      </c>
      <c r="B868" s="185" t="s">
        <v>1322</v>
      </c>
      <c r="C868" s="185" t="s">
        <v>618</v>
      </c>
      <c r="D868" s="185">
        <v>198.5</v>
      </c>
      <c r="E868" s="186">
        <v>58.3</v>
      </c>
      <c r="F868" s="186">
        <v>20.5</v>
      </c>
      <c r="G868" s="186">
        <v>16.100000000000001</v>
      </c>
      <c r="H868" s="187">
        <v>1.22</v>
      </c>
      <c r="I868" s="187">
        <v>2.2000000000000002</v>
      </c>
      <c r="J868" s="187">
        <v>3.38</v>
      </c>
      <c r="K868" s="187">
        <v>3.66</v>
      </c>
      <c r="L868" s="185" t="s">
        <v>8</v>
      </c>
      <c r="M868" s="185">
        <v>2070</v>
      </c>
      <c r="N868" s="185">
        <v>240</v>
      </c>
      <c r="O868" s="185">
        <v>134</v>
      </c>
      <c r="P868" s="187">
        <v>5.96</v>
      </c>
      <c r="Q868" s="185">
        <v>771</v>
      </c>
      <c r="R868" s="185">
        <v>150</v>
      </c>
      <c r="S868" s="186">
        <v>95.7</v>
      </c>
      <c r="T868" s="187">
        <v>3.63</v>
      </c>
      <c r="U868" s="186">
        <v>70.599999999999994</v>
      </c>
      <c r="V868" s="185">
        <v>677</v>
      </c>
      <c r="W868" s="185" t="s">
        <v>8</v>
      </c>
      <c r="X868" s="185" t="s">
        <v>8</v>
      </c>
      <c r="Y868" s="187">
        <v>8.01</v>
      </c>
      <c r="Z868" s="190">
        <v>0.76</v>
      </c>
      <c r="AA868" s="14" t="str">
        <f t="shared" si="48"/>
        <v>WT</v>
      </c>
      <c r="AB868" s="14">
        <v>5.03</v>
      </c>
      <c r="AC868" s="14">
        <v>1.81</v>
      </c>
    </row>
    <row r="869" spans="1:29" s="198" customFormat="1" ht="15" x14ac:dyDescent="0.25">
      <c r="A869" s="185" t="s">
        <v>1313</v>
      </c>
      <c r="B869" s="185" t="s">
        <v>1323</v>
      </c>
      <c r="C869" s="185" t="s">
        <v>618</v>
      </c>
      <c r="D869" s="185">
        <v>186</v>
      </c>
      <c r="E869" s="186">
        <v>54.7</v>
      </c>
      <c r="F869" s="186">
        <v>20.3</v>
      </c>
      <c r="G869" s="186">
        <v>16.100000000000001</v>
      </c>
      <c r="H869" s="187">
        <v>1.1599999999999999</v>
      </c>
      <c r="I869" s="187">
        <v>2.0499999999999998</v>
      </c>
      <c r="J869" s="187">
        <v>3.23</v>
      </c>
      <c r="K869" s="187">
        <v>3.93</v>
      </c>
      <c r="L869" s="185" t="s">
        <v>8</v>
      </c>
      <c r="M869" s="185">
        <v>1930</v>
      </c>
      <c r="N869" s="185">
        <v>225</v>
      </c>
      <c r="O869" s="185">
        <v>126</v>
      </c>
      <c r="P869" s="187">
        <v>5.95</v>
      </c>
      <c r="Q869" s="185">
        <v>709</v>
      </c>
      <c r="R869" s="185">
        <v>138</v>
      </c>
      <c r="S869" s="186">
        <v>88.3</v>
      </c>
      <c r="T869" s="187">
        <v>3.6</v>
      </c>
      <c r="U869" s="186">
        <v>57.7</v>
      </c>
      <c r="V869" s="185">
        <v>558</v>
      </c>
      <c r="W869" s="185" t="s">
        <v>8</v>
      </c>
      <c r="X869" s="185" t="s">
        <v>8</v>
      </c>
      <c r="Y869" s="187">
        <v>8</v>
      </c>
      <c r="Z869" s="190">
        <v>0.75600000000000001</v>
      </c>
      <c r="AA869" s="14" t="str">
        <f t="shared" si="48"/>
        <v>WT</v>
      </c>
      <c r="AB869" s="14">
        <v>4.9800000000000004</v>
      </c>
      <c r="AC869" s="14">
        <v>1.7</v>
      </c>
    </row>
    <row r="870" spans="1:29" s="198" customFormat="1" ht="15" x14ac:dyDescent="0.25">
      <c r="A870" s="185" t="s">
        <v>1313</v>
      </c>
      <c r="B870" s="185" t="s">
        <v>1324</v>
      </c>
      <c r="C870" s="185" t="s">
        <v>618</v>
      </c>
      <c r="D870" s="185">
        <v>181</v>
      </c>
      <c r="E870" s="186">
        <v>53.2</v>
      </c>
      <c r="F870" s="186">
        <v>20.3</v>
      </c>
      <c r="G870" s="186">
        <v>16</v>
      </c>
      <c r="H870" s="187">
        <v>1.1200000000000001</v>
      </c>
      <c r="I870" s="187">
        <v>2.0099999999999998</v>
      </c>
      <c r="J870" s="187">
        <v>3.19</v>
      </c>
      <c r="K870" s="187">
        <v>3.99</v>
      </c>
      <c r="L870" s="185" t="s">
        <v>8</v>
      </c>
      <c r="M870" s="185">
        <v>1870</v>
      </c>
      <c r="N870" s="185">
        <v>217</v>
      </c>
      <c r="O870" s="185">
        <v>122</v>
      </c>
      <c r="P870" s="187">
        <v>5.92</v>
      </c>
      <c r="Q870" s="185">
        <v>691</v>
      </c>
      <c r="R870" s="185">
        <v>135</v>
      </c>
      <c r="S870" s="186">
        <v>86.3</v>
      </c>
      <c r="T870" s="187">
        <v>3.6</v>
      </c>
      <c r="U870" s="186">
        <v>54.2</v>
      </c>
      <c r="V870" s="185">
        <v>511</v>
      </c>
      <c r="W870" s="185" t="s">
        <v>8</v>
      </c>
      <c r="X870" s="185" t="s">
        <v>8</v>
      </c>
      <c r="Y870" s="187">
        <v>7.96</v>
      </c>
      <c r="Z870" s="190">
        <v>0.75900000000000001</v>
      </c>
      <c r="AA870" s="14" t="str">
        <f t="shared" si="48"/>
        <v>WT</v>
      </c>
      <c r="AB870" s="14">
        <v>4.91</v>
      </c>
      <c r="AC870" s="14">
        <v>1.66</v>
      </c>
    </row>
    <row r="871" spans="1:29" s="198" customFormat="1" ht="15" x14ac:dyDescent="0.25">
      <c r="A871" s="185" t="s">
        <v>1313</v>
      </c>
      <c r="B871" s="185" t="s">
        <v>1325</v>
      </c>
      <c r="C871" s="185" t="s">
        <v>618</v>
      </c>
      <c r="D871" s="185">
        <v>162</v>
      </c>
      <c r="E871" s="186">
        <v>47.7</v>
      </c>
      <c r="F871" s="186">
        <v>20.100000000000001</v>
      </c>
      <c r="G871" s="186">
        <v>15.9</v>
      </c>
      <c r="H871" s="187">
        <v>1</v>
      </c>
      <c r="I871" s="187">
        <v>1.81</v>
      </c>
      <c r="J871" s="187">
        <v>2.99</v>
      </c>
      <c r="K871" s="187">
        <v>4.4000000000000004</v>
      </c>
      <c r="L871" s="185" t="s">
        <v>8</v>
      </c>
      <c r="M871" s="185">
        <v>1650</v>
      </c>
      <c r="N871" s="185">
        <v>192</v>
      </c>
      <c r="O871" s="185">
        <v>108</v>
      </c>
      <c r="P871" s="187">
        <v>5.88</v>
      </c>
      <c r="Q871" s="185">
        <v>609</v>
      </c>
      <c r="R871" s="185">
        <v>119</v>
      </c>
      <c r="S871" s="186">
        <v>76.599999999999994</v>
      </c>
      <c r="T871" s="187">
        <v>3.57</v>
      </c>
      <c r="U871" s="186">
        <v>39.6</v>
      </c>
      <c r="V871" s="185">
        <v>362</v>
      </c>
      <c r="W871" s="185" t="s">
        <v>8</v>
      </c>
      <c r="X871" s="185" t="s">
        <v>8</v>
      </c>
      <c r="Y871" s="187">
        <v>7.89</v>
      </c>
      <c r="Z871" s="190">
        <v>0.76</v>
      </c>
      <c r="AA871" s="14" t="str">
        <f t="shared" si="48"/>
        <v>WT</v>
      </c>
      <c r="AB871" s="14">
        <v>4.7699999999999996</v>
      </c>
      <c r="AC871" s="14">
        <v>1.5</v>
      </c>
    </row>
    <row r="872" spans="1:29" s="198" customFormat="1" ht="15" x14ac:dyDescent="0.25">
      <c r="A872" s="185" t="s">
        <v>1313</v>
      </c>
      <c r="B872" s="185" t="s">
        <v>1326</v>
      </c>
      <c r="C872" s="185" t="s">
        <v>618</v>
      </c>
      <c r="D872" s="185">
        <v>148.5</v>
      </c>
      <c r="E872" s="186">
        <v>43.6</v>
      </c>
      <c r="F872" s="186">
        <v>19.899999999999999</v>
      </c>
      <c r="G872" s="186">
        <v>15.8</v>
      </c>
      <c r="H872" s="190">
        <v>0.93</v>
      </c>
      <c r="I872" s="187">
        <v>1.65</v>
      </c>
      <c r="J872" s="187">
        <v>2.83</v>
      </c>
      <c r="K872" s="187">
        <v>4.8</v>
      </c>
      <c r="L872" s="185" t="s">
        <v>8</v>
      </c>
      <c r="M872" s="185">
        <v>1500</v>
      </c>
      <c r="N872" s="185">
        <v>176</v>
      </c>
      <c r="O872" s="186">
        <v>98.9</v>
      </c>
      <c r="P872" s="187">
        <v>5.87</v>
      </c>
      <c r="Q872" s="185">
        <v>546</v>
      </c>
      <c r="R872" s="185">
        <v>107</v>
      </c>
      <c r="S872" s="186">
        <v>69</v>
      </c>
      <c r="T872" s="187">
        <v>3.54</v>
      </c>
      <c r="U872" s="186">
        <v>30.5</v>
      </c>
      <c r="V872" s="185">
        <v>279</v>
      </c>
      <c r="W872" s="185" t="s">
        <v>8</v>
      </c>
      <c r="X872" s="185" t="s">
        <v>8</v>
      </c>
      <c r="Y872" s="187">
        <v>7.88</v>
      </c>
      <c r="Z872" s="190">
        <v>0.75600000000000001</v>
      </c>
      <c r="AA872" s="14" t="str">
        <f t="shared" si="48"/>
        <v>WT</v>
      </c>
      <c r="AB872" s="14">
        <v>4.71</v>
      </c>
      <c r="AC872" s="14">
        <v>1.38</v>
      </c>
    </row>
    <row r="873" spans="1:29" s="198" customFormat="1" ht="15" x14ac:dyDescent="0.25">
      <c r="A873" s="185" t="s">
        <v>1313</v>
      </c>
      <c r="B873" s="185" t="s">
        <v>1327</v>
      </c>
      <c r="C873" s="185" t="s">
        <v>618</v>
      </c>
      <c r="D873" s="185">
        <v>138.5</v>
      </c>
      <c r="E873" s="186">
        <v>40.700000000000003</v>
      </c>
      <c r="F873" s="186">
        <v>19.8</v>
      </c>
      <c r="G873" s="186">
        <v>15.8</v>
      </c>
      <c r="H873" s="190">
        <v>0.83</v>
      </c>
      <c r="I873" s="187">
        <v>1.58</v>
      </c>
      <c r="J873" s="187">
        <v>2.76</v>
      </c>
      <c r="K873" s="187">
        <v>5.03</v>
      </c>
      <c r="L873" s="185" t="s">
        <v>8</v>
      </c>
      <c r="M873" s="185">
        <v>1360</v>
      </c>
      <c r="N873" s="185">
        <v>157</v>
      </c>
      <c r="O873" s="186">
        <v>88.6</v>
      </c>
      <c r="P873" s="187">
        <v>5.78</v>
      </c>
      <c r="Q873" s="185">
        <v>522</v>
      </c>
      <c r="R873" s="185">
        <v>102</v>
      </c>
      <c r="S873" s="186">
        <v>65.900000000000006</v>
      </c>
      <c r="T873" s="187">
        <v>3.58</v>
      </c>
      <c r="U873" s="186">
        <v>25.7</v>
      </c>
      <c r="V873" s="185">
        <v>218</v>
      </c>
      <c r="W873" s="185" t="s">
        <v>8</v>
      </c>
      <c r="X873" s="185" t="s">
        <v>8</v>
      </c>
      <c r="Y873" s="187">
        <v>7.75</v>
      </c>
      <c r="Z873" s="190">
        <v>0.77</v>
      </c>
      <c r="AA873" s="14" t="str">
        <f t="shared" si="48"/>
        <v>WT</v>
      </c>
      <c r="AB873" s="14">
        <v>4.5</v>
      </c>
      <c r="AC873" s="14">
        <v>1.29</v>
      </c>
    </row>
    <row r="874" spans="1:29" s="198" customFormat="1" ht="15" x14ac:dyDescent="0.25">
      <c r="A874" s="185" t="s">
        <v>1313</v>
      </c>
      <c r="B874" s="185" t="s">
        <v>1328</v>
      </c>
      <c r="C874" s="185" t="s">
        <v>618</v>
      </c>
      <c r="D874" s="185">
        <v>124.5</v>
      </c>
      <c r="E874" s="186">
        <v>36.700000000000003</v>
      </c>
      <c r="F874" s="186">
        <v>19.7</v>
      </c>
      <c r="G874" s="186">
        <v>15.8</v>
      </c>
      <c r="H874" s="190">
        <v>0.75</v>
      </c>
      <c r="I874" s="187">
        <v>1.42</v>
      </c>
      <c r="J874" s="187">
        <v>2.6</v>
      </c>
      <c r="K874" s="187">
        <v>5.55</v>
      </c>
      <c r="L874" s="185" t="s">
        <v>8</v>
      </c>
      <c r="M874" s="185">
        <v>1210</v>
      </c>
      <c r="N874" s="185">
        <v>140</v>
      </c>
      <c r="O874" s="186">
        <v>79.400000000000006</v>
      </c>
      <c r="P874" s="187">
        <v>5.75</v>
      </c>
      <c r="Q874" s="185">
        <v>463</v>
      </c>
      <c r="R874" s="186">
        <v>90.8</v>
      </c>
      <c r="S874" s="186">
        <v>58.8</v>
      </c>
      <c r="T874" s="187">
        <v>3.55</v>
      </c>
      <c r="U874" s="186">
        <v>19</v>
      </c>
      <c r="V874" s="185">
        <v>158</v>
      </c>
      <c r="W874" s="185" t="s">
        <v>8</v>
      </c>
      <c r="X874" s="185" t="s">
        <v>8</v>
      </c>
      <c r="Y874" s="187">
        <v>7.7</v>
      </c>
      <c r="Z874" s="190">
        <v>0.77</v>
      </c>
      <c r="AA874" s="14" t="str">
        <f t="shared" si="48"/>
        <v>WT</v>
      </c>
      <c r="AB874" s="14">
        <v>4.41</v>
      </c>
      <c r="AC874" s="14">
        <v>1.1599999999999999</v>
      </c>
    </row>
    <row r="875" spans="1:29" s="198" customFormat="1" ht="15" x14ac:dyDescent="0.25">
      <c r="A875" s="185" t="s">
        <v>1313</v>
      </c>
      <c r="B875" s="185" t="s">
        <v>1329</v>
      </c>
      <c r="C875" s="185" t="s">
        <v>618</v>
      </c>
      <c r="D875" s="185">
        <v>107.5</v>
      </c>
      <c r="E875" s="186">
        <v>31.8</v>
      </c>
      <c r="F875" s="186">
        <v>19.5</v>
      </c>
      <c r="G875" s="186">
        <v>15.8</v>
      </c>
      <c r="H875" s="190">
        <v>0.65</v>
      </c>
      <c r="I875" s="187">
        <v>1.22</v>
      </c>
      <c r="J875" s="187">
        <v>2.4</v>
      </c>
      <c r="K875" s="187">
        <v>6.45</v>
      </c>
      <c r="L875" s="185" t="s">
        <v>8</v>
      </c>
      <c r="M875" s="185">
        <v>1030</v>
      </c>
      <c r="N875" s="185">
        <v>120</v>
      </c>
      <c r="O875" s="186">
        <v>68</v>
      </c>
      <c r="P875" s="187">
        <v>5.71</v>
      </c>
      <c r="Q875" s="185">
        <v>398</v>
      </c>
      <c r="R875" s="186">
        <v>77.8</v>
      </c>
      <c r="S875" s="186">
        <v>50.5</v>
      </c>
      <c r="T875" s="187">
        <v>3.54</v>
      </c>
      <c r="U875" s="186">
        <v>12.4</v>
      </c>
      <c r="V875" s="185">
        <v>101</v>
      </c>
      <c r="W875" s="185" t="s">
        <v>8</v>
      </c>
      <c r="X875" s="185" t="s">
        <v>8</v>
      </c>
      <c r="Y875" s="187">
        <v>7.66</v>
      </c>
      <c r="Z875" s="190">
        <v>0.77100000000000002</v>
      </c>
      <c r="AA875" s="14" t="str">
        <f t="shared" si="48"/>
        <v>WT</v>
      </c>
      <c r="AB875" s="14">
        <v>4.28</v>
      </c>
      <c r="AC875" s="14">
        <v>1.01</v>
      </c>
    </row>
    <row r="876" spans="1:29" s="198" customFormat="1" ht="15" x14ac:dyDescent="0.25">
      <c r="A876" s="185" t="s">
        <v>1313</v>
      </c>
      <c r="B876" s="185" t="s">
        <v>1330</v>
      </c>
      <c r="C876" s="185" t="s">
        <v>618</v>
      </c>
      <c r="D876" s="185">
        <v>99.5</v>
      </c>
      <c r="E876" s="186">
        <v>29.2</v>
      </c>
      <c r="F876" s="186">
        <v>19.3</v>
      </c>
      <c r="G876" s="186">
        <v>15.8</v>
      </c>
      <c r="H876" s="190">
        <v>0.65</v>
      </c>
      <c r="I876" s="187">
        <v>1.07</v>
      </c>
      <c r="J876" s="187">
        <v>2.25</v>
      </c>
      <c r="K876" s="187">
        <v>7.39</v>
      </c>
      <c r="L876" s="185" t="s">
        <v>8</v>
      </c>
      <c r="M876" s="185">
        <v>988</v>
      </c>
      <c r="N876" s="185">
        <v>117</v>
      </c>
      <c r="O876" s="186">
        <v>66.5</v>
      </c>
      <c r="P876" s="187">
        <v>5.81</v>
      </c>
      <c r="Q876" s="185">
        <v>347</v>
      </c>
      <c r="R876" s="186">
        <v>68.2</v>
      </c>
      <c r="S876" s="186">
        <v>44.1</v>
      </c>
      <c r="T876" s="187">
        <v>3.45</v>
      </c>
      <c r="U876" s="187">
        <v>9.1199999999999992</v>
      </c>
      <c r="V876" s="186">
        <v>83.5</v>
      </c>
      <c r="W876" s="185" t="s">
        <v>8</v>
      </c>
      <c r="X876" s="185" t="s">
        <v>8</v>
      </c>
      <c r="Y876" s="187">
        <v>7.82</v>
      </c>
      <c r="Z876" s="190">
        <v>0.746</v>
      </c>
      <c r="AA876" s="14" t="str">
        <f t="shared" si="48"/>
        <v>WT</v>
      </c>
      <c r="AB876" s="14">
        <v>4.47</v>
      </c>
      <c r="AC876" s="14">
        <v>0.92900000000000005</v>
      </c>
    </row>
    <row r="877" spans="1:29" s="198" customFormat="1" ht="15" x14ac:dyDescent="0.25">
      <c r="A877" s="185" t="s">
        <v>1313</v>
      </c>
      <c r="B877" s="185" t="s">
        <v>1331</v>
      </c>
      <c r="C877" s="185" t="s">
        <v>618</v>
      </c>
      <c r="D877" s="185">
        <v>196</v>
      </c>
      <c r="E877" s="186">
        <v>57.8</v>
      </c>
      <c r="F877" s="186">
        <v>20.8</v>
      </c>
      <c r="G877" s="186">
        <v>12.4</v>
      </c>
      <c r="H877" s="187">
        <v>1.42</v>
      </c>
      <c r="I877" s="187">
        <v>2.52</v>
      </c>
      <c r="J877" s="187">
        <v>3.7</v>
      </c>
      <c r="K877" s="187">
        <v>2.4500000000000002</v>
      </c>
      <c r="L877" s="185" t="s">
        <v>8</v>
      </c>
      <c r="M877" s="185">
        <v>2270</v>
      </c>
      <c r="N877" s="185">
        <v>275</v>
      </c>
      <c r="O877" s="185">
        <v>153</v>
      </c>
      <c r="P877" s="187">
        <v>6.27</v>
      </c>
      <c r="Q877" s="185">
        <v>401</v>
      </c>
      <c r="R877" s="185">
        <v>106</v>
      </c>
      <c r="S877" s="186">
        <v>64.900000000000006</v>
      </c>
      <c r="T877" s="187">
        <v>2.64</v>
      </c>
      <c r="U877" s="186">
        <v>85.4</v>
      </c>
      <c r="V877" s="185">
        <v>796</v>
      </c>
      <c r="W877" s="185" t="s">
        <v>8</v>
      </c>
      <c r="X877" s="185" t="s">
        <v>8</v>
      </c>
      <c r="Y877" s="187">
        <v>8.26</v>
      </c>
      <c r="Z877" s="190">
        <v>0.67900000000000005</v>
      </c>
      <c r="AA877" s="14" t="str">
        <f t="shared" si="48"/>
        <v>WT</v>
      </c>
      <c r="AB877" s="14">
        <v>5.94</v>
      </c>
      <c r="AC877" s="14">
        <v>2.33</v>
      </c>
    </row>
    <row r="878" spans="1:29" s="198" customFormat="1" ht="15" x14ac:dyDescent="0.25">
      <c r="A878" s="185" t="s">
        <v>1313</v>
      </c>
      <c r="B878" s="185" t="s">
        <v>1332</v>
      </c>
      <c r="C878" s="185" t="s">
        <v>618</v>
      </c>
      <c r="D878" s="185">
        <v>165.5</v>
      </c>
      <c r="E878" s="186">
        <v>48.8</v>
      </c>
      <c r="F878" s="186">
        <v>20.399999999999999</v>
      </c>
      <c r="G878" s="186">
        <v>12.2</v>
      </c>
      <c r="H878" s="187">
        <v>1.22</v>
      </c>
      <c r="I878" s="187">
        <v>2.13</v>
      </c>
      <c r="J878" s="187">
        <v>3.31</v>
      </c>
      <c r="K878" s="187">
        <v>2.86</v>
      </c>
      <c r="L878" s="185" t="s">
        <v>8</v>
      </c>
      <c r="M878" s="185">
        <v>1880</v>
      </c>
      <c r="N878" s="185">
        <v>231</v>
      </c>
      <c r="O878" s="185">
        <v>128</v>
      </c>
      <c r="P878" s="187">
        <v>6.21</v>
      </c>
      <c r="Q878" s="185">
        <v>322</v>
      </c>
      <c r="R878" s="186">
        <v>85.7</v>
      </c>
      <c r="S878" s="186">
        <v>52.9</v>
      </c>
      <c r="T878" s="187">
        <v>2.57</v>
      </c>
      <c r="U878" s="186">
        <v>52.5</v>
      </c>
      <c r="V878" s="185">
        <v>484</v>
      </c>
      <c r="W878" s="185" t="s">
        <v>8</v>
      </c>
      <c r="X878" s="185" t="s">
        <v>8</v>
      </c>
      <c r="Y878" s="187">
        <v>8.19</v>
      </c>
      <c r="Z878" s="190">
        <v>0.67400000000000004</v>
      </c>
      <c r="AA878" s="14" t="str">
        <f t="shared" si="48"/>
        <v>WT</v>
      </c>
      <c r="AB878" s="14">
        <v>5.74</v>
      </c>
      <c r="AC878" s="14">
        <v>2</v>
      </c>
    </row>
    <row r="879" spans="1:29" s="198" customFormat="1" ht="15" x14ac:dyDescent="0.25">
      <c r="A879" s="185" t="s">
        <v>1313</v>
      </c>
      <c r="B879" s="185" t="s">
        <v>1333</v>
      </c>
      <c r="C879" s="185" t="s">
        <v>618</v>
      </c>
      <c r="D879" s="185">
        <v>163.5</v>
      </c>
      <c r="E879" s="186">
        <v>47.9</v>
      </c>
      <c r="F879" s="186">
        <v>20.399999999999999</v>
      </c>
      <c r="G879" s="186">
        <v>12.1</v>
      </c>
      <c r="H879" s="187">
        <v>1.18</v>
      </c>
      <c r="I879" s="187">
        <v>2.13</v>
      </c>
      <c r="J879" s="187">
        <v>3.31</v>
      </c>
      <c r="K879" s="187">
        <v>2.85</v>
      </c>
      <c r="L879" s="185" t="s">
        <v>8</v>
      </c>
      <c r="M879" s="185">
        <v>1840</v>
      </c>
      <c r="N879" s="185">
        <v>224</v>
      </c>
      <c r="O879" s="185">
        <v>125</v>
      </c>
      <c r="P879" s="187">
        <v>6.19</v>
      </c>
      <c r="Q879" s="185">
        <v>320</v>
      </c>
      <c r="R879" s="186">
        <v>85</v>
      </c>
      <c r="S879" s="186">
        <v>52.7</v>
      </c>
      <c r="T879" s="187">
        <v>2.58</v>
      </c>
      <c r="U879" s="186">
        <v>51.4</v>
      </c>
      <c r="V879" s="185">
        <v>449</v>
      </c>
      <c r="W879" s="185" t="s">
        <v>8</v>
      </c>
      <c r="X879" s="185" t="s">
        <v>8</v>
      </c>
      <c r="Y879" s="187">
        <v>8.1300000000000008</v>
      </c>
      <c r="Z879" s="190">
        <v>0.68</v>
      </c>
      <c r="AA879" s="14" t="str">
        <f t="shared" si="48"/>
        <v>WT</v>
      </c>
      <c r="AB879" s="14">
        <v>5.66</v>
      </c>
      <c r="AC879" s="14">
        <v>1.98</v>
      </c>
    </row>
    <row r="880" spans="1:29" s="198" customFormat="1" ht="15" x14ac:dyDescent="0.25">
      <c r="A880" s="185" t="s">
        <v>1313</v>
      </c>
      <c r="B880" s="185" t="s">
        <v>1334</v>
      </c>
      <c r="C880" s="185" t="s">
        <v>618</v>
      </c>
      <c r="D880" s="185">
        <v>147</v>
      </c>
      <c r="E880" s="186">
        <v>43.1</v>
      </c>
      <c r="F880" s="186">
        <v>20.2</v>
      </c>
      <c r="G880" s="186">
        <v>12</v>
      </c>
      <c r="H880" s="187">
        <v>1.06</v>
      </c>
      <c r="I880" s="187">
        <v>1.93</v>
      </c>
      <c r="J880" s="187">
        <v>3.11</v>
      </c>
      <c r="K880" s="187">
        <v>3.11</v>
      </c>
      <c r="L880" s="185" t="s">
        <v>8</v>
      </c>
      <c r="M880" s="185">
        <v>1630</v>
      </c>
      <c r="N880" s="185">
        <v>199</v>
      </c>
      <c r="O880" s="185">
        <v>111</v>
      </c>
      <c r="P880" s="187">
        <v>6.14</v>
      </c>
      <c r="Q880" s="185">
        <v>281</v>
      </c>
      <c r="R880" s="186">
        <v>75</v>
      </c>
      <c r="S880" s="186">
        <v>46.7</v>
      </c>
      <c r="T880" s="187">
        <v>2.5499999999999998</v>
      </c>
      <c r="U880" s="186">
        <v>38.200000000000003</v>
      </c>
      <c r="V880" s="185">
        <v>322</v>
      </c>
      <c r="W880" s="185" t="s">
        <v>8</v>
      </c>
      <c r="X880" s="185" t="s">
        <v>8</v>
      </c>
      <c r="Y880" s="187">
        <v>8.06</v>
      </c>
      <c r="Z880" s="190">
        <v>0.68100000000000005</v>
      </c>
      <c r="AA880" s="14" t="str">
        <f t="shared" si="48"/>
        <v>WT</v>
      </c>
      <c r="AB880" s="14">
        <v>5.51</v>
      </c>
      <c r="AC880" s="14">
        <v>1.8</v>
      </c>
    </row>
    <row r="881" spans="1:29" s="198" customFormat="1" ht="15" x14ac:dyDescent="0.25">
      <c r="A881" s="185" t="s">
        <v>1313</v>
      </c>
      <c r="B881" s="185" t="s">
        <v>1335</v>
      </c>
      <c r="C881" s="185" t="s">
        <v>618</v>
      </c>
      <c r="D881" s="185">
        <v>139</v>
      </c>
      <c r="E881" s="186">
        <v>41</v>
      </c>
      <c r="F881" s="186">
        <v>20.100000000000001</v>
      </c>
      <c r="G881" s="186">
        <v>12</v>
      </c>
      <c r="H881" s="187">
        <v>1.03</v>
      </c>
      <c r="I881" s="187">
        <v>1.81</v>
      </c>
      <c r="J881" s="187">
        <v>2.99</v>
      </c>
      <c r="K881" s="187">
        <v>3.31</v>
      </c>
      <c r="L881" s="185" t="s">
        <v>8</v>
      </c>
      <c r="M881" s="185">
        <v>1550</v>
      </c>
      <c r="N881" s="185">
        <v>191</v>
      </c>
      <c r="O881" s="185">
        <v>106</v>
      </c>
      <c r="P881" s="187">
        <v>6.14</v>
      </c>
      <c r="Q881" s="185">
        <v>261</v>
      </c>
      <c r="R881" s="186">
        <v>69.900000000000006</v>
      </c>
      <c r="S881" s="186">
        <v>43.5</v>
      </c>
      <c r="T881" s="187">
        <v>2.52</v>
      </c>
      <c r="U881" s="186">
        <v>32.4</v>
      </c>
      <c r="V881" s="185">
        <v>282</v>
      </c>
      <c r="W881" s="185" t="s">
        <v>8</v>
      </c>
      <c r="X881" s="185" t="s">
        <v>8</v>
      </c>
      <c r="Y881" s="187">
        <v>8.08</v>
      </c>
      <c r="Z881" s="190">
        <v>0.67500000000000004</v>
      </c>
      <c r="AA881" s="14" t="str">
        <f t="shared" si="48"/>
        <v>WT</v>
      </c>
      <c r="AB881" s="14">
        <v>5.51</v>
      </c>
      <c r="AC881" s="14">
        <v>1.71</v>
      </c>
    </row>
    <row r="882" spans="1:29" s="198" customFormat="1" ht="15" x14ac:dyDescent="0.25">
      <c r="A882" s="185" t="s">
        <v>1313</v>
      </c>
      <c r="B882" s="185" t="s">
        <v>1336</v>
      </c>
      <c r="C882" s="185" t="s">
        <v>618</v>
      </c>
      <c r="D882" s="185">
        <v>132</v>
      </c>
      <c r="E882" s="186">
        <v>38.700000000000003</v>
      </c>
      <c r="F882" s="186">
        <v>20</v>
      </c>
      <c r="G882" s="186">
        <v>11.9</v>
      </c>
      <c r="H882" s="190">
        <v>0.96</v>
      </c>
      <c r="I882" s="187">
        <v>1.73</v>
      </c>
      <c r="J882" s="187">
        <v>2.91</v>
      </c>
      <c r="K882" s="187">
        <v>3.45</v>
      </c>
      <c r="L882" s="185" t="s">
        <v>8</v>
      </c>
      <c r="M882" s="185">
        <v>1450</v>
      </c>
      <c r="N882" s="185">
        <v>178</v>
      </c>
      <c r="O882" s="186">
        <v>99.2</v>
      </c>
      <c r="P882" s="187">
        <v>6.11</v>
      </c>
      <c r="Q882" s="185">
        <v>246</v>
      </c>
      <c r="R882" s="186">
        <v>66</v>
      </c>
      <c r="S882" s="186">
        <v>41.3</v>
      </c>
      <c r="T882" s="187">
        <v>2.52</v>
      </c>
      <c r="U882" s="186">
        <v>27.9</v>
      </c>
      <c r="V882" s="185">
        <v>233</v>
      </c>
      <c r="W882" s="185" t="s">
        <v>8</v>
      </c>
      <c r="X882" s="185" t="s">
        <v>8</v>
      </c>
      <c r="Y882" s="187">
        <v>8.02</v>
      </c>
      <c r="Z882" s="190">
        <v>0.67900000000000005</v>
      </c>
      <c r="AA882" s="14" t="str">
        <f t="shared" si="48"/>
        <v>WT</v>
      </c>
      <c r="AB882" s="14">
        <v>5.41</v>
      </c>
      <c r="AC882" s="14">
        <v>1.63</v>
      </c>
    </row>
    <row r="883" spans="1:29" s="198" customFormat="1" ht="15" x14ac:dyDescent="0.25">
      <c r="A883" s="185" t="s">
        <v>1313</v>
      </c>
      <c r="B883" s="185" t="s">
        <v>1337</v>
      </c>
      <c r="C883" s="185" t="s">
        <v>618</v>
      </c>
      <c r="D883" s="185">
        <v>117.5</v>
      </c>
      <c r="E883" s="186">
        <v>34.6</v>
      </c>
      <c r="F883" s="186">
        <v>19.8</v>
      </c>
      <c r="G883" s="186">
        <v>11.9</v>
      </c>
      <c r="H883" s="190">
        <v>0.83</v>
      </c>
      <c r="I883" s="187">
        <v>1.58</v>
      </c>
      <c r="J883" s="187">
        <v>2.76</v>
      </c>
      <c r="K883" s="187">
        <v>3.77</v>
      </c>
      <c r="L883" s="185" t="s">
        <v>8</v>
      </c>
      <c r="M883" s="185">
        <v>1260</v>
      </c>
      <c r="N883" s="185">
        <v>153</v>
      </c>
      <c r="O883" s="186">
        <v>85.7</v>
      </c>
      <c r="P883" s="187">
        <v>6.04</v>
      </c>
      <c r="Q883" s="185">
        <v>222</v>
      </c>
      <c r="R883" s="186">
        <v>59</v>
      </c>
      <c r="S883" s="186">
        <v>37.299999999999997</v>
      </c>
      <c r="T883" s="187">
        <v>2.54</v>
      </c>
      <c r="U883" s="186">
        <v>20.6</v>
      </c>
      <c r="V883" s="185">
        <v>156</v>
      </c>
      <c r="W883" s="185" t="s">
        <v>8</v>
      </c>
      <c r="X883" s="185" t="s">
        <v>8</v>
      </c>
      <c r="Y883" s="187">
        <v>7.88</v>
      </c>
      <c r="Z883" s="190">
        <v>0.69099999999999995</v>
      </c>
      <c r="AA883" s="14" t="str">
        <f t="shared" si="48"/>
        <v>WT</v>
      </c>
      <c r="AB883" s="14">
        <v>5.17</v>
      </c>
      <c r="AC883" s="14">
        <v>1.45</v>
      </c>
    </row>
    <row r="884" spans="1:29" s="198" customFormat="1" ht="15" x14ac:dyDescent="0.25">
      <c r="A884" s="185" t="s">
        <v>1313</v>
      </c>
      <c r="B884" s="185" t="s">
        <v>1338</v>
      </c>
      <c r="C884" s="185" t="s">
        <v>618</v>
      </c>
      <c r="D884" s="185">
        <v>105.5</v>
      </c>
      <c r="E884" s="186">
        <v>31.1</v>
      </c>
      <c r="F884" s="186">
        <v>19.7</v>
      </c>
      <c r="G884" s="186">
        <v>11.8</v>
      </c>
      <c r="H884" s="190">
        <v>0.75</v>
      </c>
      <c r="I884" s="187">
        <v>1.42</v>
      </c>
      <c r="J884" s="187">
        <v>2.6</v>
      </c>
      <c r="K884" s="187">
        <v>4.17</v>
      </c>
      <c r="L884" s="185" t="s">
        <v>8</v>
      </c>
      <c r="M884" s="185">
        <v>1120</v>
      </c>
      <c r="N884" s="185">
        <v>137</v>
      </c>
      <c r="O884" s="186">
        <v>76.7</v>
      </c>
      <c r="P884" s="187">
        <v>6.01</v>
      </c>
      <c r="Q884" s="185">
        <v>195</v>
      </c>
      <c r="R884" s="186">
        <v>52.1</v>
      </c>
      <c r="S884" s="186">
        <v>33</v>
      </c>
      <c r="T884" s="187">
        <v>2.5099999999999998</v>
      </c>
      <c r="U884" s="186">
        <v>15.2</v>
      </c>
      <c r="V884" s="185">
        <v>113</v>
      </c>
      <c r="W884" s="185" t="s">
        <v>8</v>
      </c>
      <c r="X884" s="185" t="s">
        <v>8</v>
      </c>
      <c r="Y884" s="187">
        <v>7.84</v>
      </c>
      <c r="Z884" s="190">
        <v>0.69</v>
      </c>
      <c r="AA884" s="14" t="str">
        <f t="shared" si="48"/>
        <v>WT</v>
      </c>
      <c r="AB884" s="14">
        <v>5.08</v>
      </c>
      <c r="AC884" s="14">
        <v>1.31</v>
      </c>
    </row>
    <row r="885" spans="1:29" s="198" customFormat="1" ht="15" x14ac:dyDescent="0.25">
      <c r="A885" s="185" t="s">
        <v>1313</v>
      </c>
      <c r="B885" s="185" t="s">
        <v>1339</v>
      </c>
      <c r="C885" s="185" t="s">
        <v>618</v>
      </c>
      <c r="D885" s="186">
        <v>91.5</v>
      </c>
      <c r="E885" s="186">
        <v>26.7</v>
      </c>
      <c r="F885" s="186">
        <v>19.5</v>
      </c>
      <c r="G885" s="186">
        <v>11.8</v>
      </c>
      <c r="H885" s="190">
        <v>0.65</v>
      </c>
      <c r="I885" s="187">
        <v>1.2</v>
      </c>
      <c r="J885" s="187">
        <v>2.38</v>
      </c>
      <c r="K885" s="187">
        <v>4.92</v>
      </c>
      <c r="L885" s="185" t="s">
        <v>8</v>
      </c>
      <c r="M885" s="185">
        <v>955</v>
      </c>
      <c r="N885" s="185">
        <v>117</v>
      </c>
      <c r="O885" s="186">
        <v>65.7</v>
      </c>
      <c r="P885" s="187">
        <v>5.98</v>
      </c>
      <c r="Q885" s="185">
        <v>165</v>
      </c>
      <c r="R885" s="186">
        <v>44</v>
      </c>
      <c r="S885" s="186">
        <v>28</v>
      </c>
      <c r="T885" s="187">
        <v>2.4900000000000002</v>
      </c>
      <c r="U885" s="187">
        <v>9.65</v>
      </c>
      <c r="V885" s="186">
        <v>71.2</v>
      </c>
      <c r="W885" s="185" t="s">
        <v>8</v>
      </c>
      <c r="X885" s="185" t="s">
        <v>8</v>
      </c>
      <c r="Y885" s="187">
        <v>7.81</v>
      </c>
      <c r="Z885" s="190">
        <v>0.68799999999999994</v>
      </c>
      <c r="AA885" s="14" t="str">
        <f t="shared" si="48"/>
        <v>WT</v>
      </c>
      <c r="AB885" s="14">
        <v>4.97</v>
      </c>
      <c r="AC885" s="14">
        <v>1.1299999999999999</v>
      </c>
    </row>
    <row r="886" spans="1:29" s="198" customFormat="1" ht="15" x14ac:dyDescent="0.25">
      <c r="A886" s="185" t="s">
        <v>1313</v>
      </c>
      <c r="B886" s="185" t="s">
        <v>1340</v>
      </c>
      <c r="C886" s="185" t="s">
        <v>618</v>
      </c>
      <c r="D886" s="186">
        <v>83.5</v>
      </c>
      <c r="E886" s="186">
        <v>24.5</v>
      </c>
      <c r="F886" s="186">
        <v>19.3</v>
      </c>
      <c r="G886" s="186">
        <v>11.8</v>
      </c>
      <c r="H886" s="190">
        <v>0.65</v>
      </c>
      <c r="I886" s="187">
        <v>1.03</v>
      </c>
      <c r="J886" s="187">
        <v>2.21</v>
      </c>
      <c r="K886" s="187">
        <v>5.76</v>
      </c>
      <c r="L886" s="185" t="s">
        <v>8</v>
      </c>
      <c r="M886" s="185">
        <v>899</v>
      </c>
      <c r="N886" s="185">
        <v>115</v>
      </c>
      <c r="O886" s="186">
        <v>63.7</v>
      </c>
      <c r="P886" s="187">
        <v>6.05</v>
      </c>
      <c r="Q886" s="185">
        <v>141</v>
      </c>
      <c r="R886" s="186">
        <v>37.799999999999997</v>
      </c>
      <c r="S886" s="186">
        <v>23.9</v>
      </c>
      <c r="T886" s="187">
        <v>2.4</v>
      </c>
      <c r="U886" s="187">
        <v>6.99</v>
      </c>
      <c r="V886" s="186">
        <v>62.9</v>
      </c>
      <c r="W886" s="185" t="s">
        <v>8</v>
      </c>
      <c r="X886" s="185" t="s">
        <v>8</v>
      </c>
      <c r="Y886" s="187">
        <v>8.01</v>
      </c>
      <c r="Z886" s="190">
        <v>0.65900000000000003</v>
      </c>
      <c r="AA886" s="14" t="str">
        <f t="shared" si="48"/>
        <v>WT</v>
      </c>
      <c r="AB886" s="14">
        <v>5.19</v>
      </c>
      <c r="AC886" s="14">
        <v>1.1000000000000001</v>
      </c>
    </row>
    <row r="887" spans="1:29" s="198" customFormat="1" ht="15" x14ac:dyDescent="0.25">
      <c r="A887" s="185" t="s">
        <v>1313</v>
      </c>
      <c r="B887" s="185" t="s">
        <v>1341</v>
      </c>
      <c r="C887" s="185" t="s">
        <v>618</v>
      </c>
      <c r="D887" s="186">
        <v>74.5</v>
      </c>
      <c r="E887" s="186">
        <v>21.9</v>
      </c>
      <c r="F887" s="186">
        <v>19.100000000000001</v>
      </c>
      <c r="G887" s="186">
        <v>11.8</v>
      </c>
      <c r="H887" s="190">
        <v>0.63</v>
      </c>
      <c r="I887" s="190">
        <v>0.83</v>
      </c>
      <c r="J887" s="187">
        <v>2.0099999999999998</v>
      </c>
      <c r="K887" s="187">
        <v>7.11</v>
      </c>
      <c r="L887" s="185" t="s">
        <v>8</v>
      </c>
      <c r="M887" s="185">
        <v>815</v>
      </c>
      <c r="N887" s="185">
        <v>108</v>
      </c>
      <c r="O887" s="186">
        <v>59.7</v>
      </c>
      <c r="P887" s="187">
        <v>6.1</v>
      </c>
      <c r="Q887" s="185">
        <v>114</v>
      </c>
      <c r="R887" s="186">
        <v>30.9</v>
      </c>
      <c r="S887" s="186">
        <v>19.399999999999999</v>
      </c>
      <c r="T887" s="187">
        <v>2.29</v>
      </c>
      <c r="U887" s="187">
        <v>4.66</v>
      </c>
      <c r="V887" s="186">
        <v>51.9</v>
      </c>
      <c r="W887" s="185" t="s">
        <v>8</v>
      </c>
      <c r="X887" s="185" t="s">
        <v>8</v>
      </c>
      <c r="Y887" s="187">
        <v>8.23</v>
      </c>
      <c r="Z887" s="190">
        <v>0.626</v>
      </c>
      <c r="AA887" s="14" t="str">
        <f t="shared" si="48"/>
        <v>WT</v>
      </c>
      <c r="AB887" s="14">
        <v>5.45</v>
      </c>
      <c r="AC887" s="14">
        <v>1.72</v>
      </c>
    </row>
    <row r="888" spans="1:29" s="198" customFormat="1" ht="15" x14ac:dyDescent="0.25">
      <c r="A888" s="185" t="s">
        <v>1313</v>
      </c>
      <c r="B888" s="185" t="s">
        <v>1342</v>
      </c>
      <c r="C888" s="185" t="s">
        <v>618</v>
      </c>
      <c r="D888" s="186">
        <v>462.5</v>
      </c>
      <c r="E888" s="18">
        <v>136</v>
      </c>
      <c r="F888" s="186">
        <v>21.6</v>
      </c>
      <c r="G888" s="186">
        <v>18.600000000000001</v>
      </c>
      <c r="H888" s="187">
        <v>3.02</v>
      </c>
      <c r="I888" s="187">
        <v>4.53</v>
      </c>
      <c r="J888" s="187">
        <v>5.28</v>
      </c>
      <c r="K888" s="20">
        <v>2.0499999999999998</v>
      </c>
      <c r="L888" s="185" t="s">
        <v>8</v>
      </c>
      <c r="M888" s="19">
        <v>5130</v>
      </c>
      <c r="N888" s="19">
        <v>617</v>
      </c>
      <c r="O888" s="18">
        <v>337</v>
      </c>
      <c r="P888" s="20">
        <v>6.14</v>
      </c>
      <c r="Q888" s="19">
        <v>2470</v>
      </c>
      <c r="R888" s="18">
        <v>431</v>
      </c>
      <c r="S888" s="18">
        <v>266</v>
      </c>
      <c r="T888" s="20">
        <v>4.26</v>
      </c>
      <c r="U888" s="210">
        <v>707</v>
      </c>
      <c r="V888" s="19">
        <v>9680</v>
      </c>
      <c r="W888" s="185" t="s">
        <v>8</v>
      </c>
      <c r="X888" s="185" t="s">
        <v>8</v>
      </c>
      <c r="Y888" s="211">
        <v>8.52</v>
      </c>
      <c r="Z888" s="209">
        <v>0.76900000000000002</v>
      </c>
      <c r="AA888" s="14" t="str">
        <f t="shared" si="48"/>
        <v>WT</v>
      </c>
      <c r="AB888" s="14">
        <v>6.36</v>
      </c>
      <c r="AC888" s="14">
        <v>3.66</v>
      </c>
    </row>
    <row r="889" spans="1:29" s="198" customFormat="1" ht="15" x14ac:dyDescent="0.25">
      <c r="A889" s="185" t="s">
        <v>1313</v>
      </c>
      <c r="B889" s="185" t="s">
        <v>1343</v>
      </c>
      <c r="C889" s="185" t="s">
        <v>618</v>
      </c>
      <c r="D889" s="186">
        <v>426.5</v>
      </c>
      <c r="E889" s="18">
        <v>126</v>
      </c>
      <c r="F889" s="186">
        <v>21.6</v>
      </c>
      <c r="G889" s="186">
        <v>18.2</v>
      </c>
      <c r="H889" s="187">
        <v>2.52</v>
      </c>
      <c r="I889" s="187">
        <v>4.53</v>
      </c>
      <c r="J889" s="187">
        <v>5.28</v>
      </c>
      <c r="K889" s="20">
        <v>2.0099999999999998</v>
      </c>
      <c r="L889" s="185" t="s">
        <v>8</v>
      </c>
      <c r="M889" s="19">
        <v>4480</v>
      </c>
      <c r="N889" s="19">
        <v>533</v>
      </c>
      <c r="O889" s="18">
        <v>286</v>
      </c>
      <c r="P889" s="20">
        <v>5.96</v>
      </c>
      <c r="Q889" s="19">
        <v>2300</v>
      </c>
      <c r="R889" s="18">
        <v>403</v>
      </c>
      <c r="S889" s="18">
        <v>253</v>
      </c>
      <c r="T889" s="20">
        <v>4.2699999999999996</v>
      </c>
      <c r="U889" s="210">
        <v>615</v>
      </c>
      <c r="V889" s="19">
        <v>7100</v>
      </c>
      <c r="W889" s="185" t="s">
        <v>8</v>
      </c>
      <c r="X889" s="185" t="s">
        <v>8</v>
      </c>
      <c r="Y889" s="20">
        <v>8.2100000000000009</v>
      </c>
      <c r="Z889" s="209">
        <v>0.79900000000000004</v>
      </c>
      <c r="AA889" s="14" t="str">
        <f t="shared" si="48"/>
        <v>WT</v>
      </c>
      <c r="AB889" s="14">
        <v>5.95</v>
      </c>
      <c r="AC889" s="14">
        <v>3.46</v>
      </c>
    </row>
    <row r="890" spans="1:29" s="198" customFormat="1" ht="15" x14ac:dyDescent="0.25">
      <c r="A890" s="185" t="s">
        <v>1313</v>
      </c>
      <c r="B890" s="185" t="s">
        <v>1344</v>
      </c>
      <c r="C890" s="185" t="s">
        <v>618</v>
      </c>
      <c r="D890" s="191">
        <v>401</v>
      </c>
      <c r="E890" s="18">
        <v>118</v>
      </c>
      <c r="F890" s="186">
        <v>21.3</v>
      </c>
      <c r="G890" s="186">
        <v>18</v>
      </c>
      <c r="H890" s="187">
        <v>2.38</v>
      </c>
      <c r="I890" s="187">
        <v>4.29</v>
      </c>
      <c r="J890" s="187">
        <v>5.04</v>
      </c>
      <c r="K890" s="20">
        <v>2.1</v>
      </c>
      <c r="L890" s="185" t="s">
        <v>8</v>
      </c>
      <c r="M890" s="19">
        <v>4110</v>
      </c>
      <c r="N890" s="212">
        <v>491</v>
      </c>
      <c r="O890" s="18">
        <v>265</v>
      </c>
      <c r="P890" s="20">
        <v>5.9</v>
      </c>
      <c r="Q890" s="19">
        <v>2100</v>
      </c>
      <c r="R890" s="18">
        <v>372</v>
      </c>
      <c r="S890" s="18">
        <v>233</v>
      </c>
      <c r="T890" s="20">
        <v>4.22</v>
      </c>
      <c r="U890" s="210">
        <v>519</v>
      </c>
      <c r="V890" s="19">
        <v>5830</v>
      </c>
      <c r="W890" s="185" t="s">
        <v>8</v>
      </c>
      <c r="X890" s="185" t="s">
        <v>8</v>
      </c>
      <c r="Y890" s="211">
        <v>8.1199999999999992</v>
      </c>
      <c r="Z890" s="209">
        <v>0.79700000000000004</v>
      </c>
      <c r="AA890" s="14" t="str">
        <f t="shared" si="48"/>
        <v>WT</v>
      </c>
      <c r="AB890" s="14">
        <v>5.8</v>
      </c>
      <c r="AC890" s="14">
        <v>3.28</v>
      </c>
    </row>
    <row r="891" spans="1:29" s="198" customFormat="1" ht="15" x14ac:dyDescent="0.25">
      <c r="A891" s="185" t="s">
        <v>1313</v>
      </c>
      <c r="B891" s="185" t="s">
        <v>1345</v>
      </c>
      <c r="C891" s="185" t="s">
        <v>618</v>
      </c>
      <c r="D891" s="186">
        <v>361.5</v>
      </c>
      <c r="E891" s="18">
        <v>107</v>
      </c>
      <c r="F891" s="186">
        <v>20.9</v>
      </c>
      <c r="G891" s="186">
        <v>17.8</v>
      </c>
      <c r="H891" s="187">
        <v>2.17</v>
      </c>
      <c r="I891" s="187">
        <v>3.9</v>
      </c>
      <c r="J891" s="187">
        <v>4.6500000000000004</v>
      </c>
      <c r="K891" s="20">
        <v>2.2799999999999998</v>
      </c>
      <c r="L891" s="185" t="s">
        <v>8</v>
      </c>
      <c r="M891" s="19">
        <v>3610</v>
      </c>
      <c r="N891" s="212">
        <v>434</v>
      </c>
      <c r="O891" s="18">
        <v>235</v>
      </c>
      <c r="P891" s="20">
        <v>5.81</v>
      </c>
      <c r="Q891" s="19">
        <v>1850</v>
      </c>
      <c r="R891" s="18">
        <v>329</v>
      </c>
      <c r="S891" s="18">
        <v>208</v>
      </c>
      <c r="T891" s="20">
        <v>4.16</v>
      </c>
      <c r="U891" s="210">
        <v>390</v>
      </c>
      <c r="V891" s="19">
        <v>4250</v>
      </c>
      <c r="W891" s="185" t="s">
        <v>8</v>
      </c>
      <c r="X891" s="185" t="s">
        <v>8</v>
      </c>
      <c r="Y891" s="20">
        <v>8</v>
      </c>
      <c r="Z891" s="209">
        <v>0.79800000000000004</v>
      </c>
      <c r="AA891" s="14" t="str">
        <f t="shared" si="48"/>
        <v>WT</v>
      </c>
      <c r="AB891" s="14">
        <v>5.55</v>
      </c>
      <c r="AC891" s="14">
        <v>3.01</v>
      </c>
    </row>
    <row r="892" spans="1:29" s="198" customFormat="1" ht="15" x14ac:dyDescent="0.25">
      <c r="A892" s="185" t="s">
        <v>1313</v>
      </c>
      <c r="B892" s="185" t="s">
        <v>1346</v>
      </c>
      <c r="C892" s="185" t="s">
        <v>618</v>
      </c>
      <c r="D892" s="185">
        <v>326</v>
      </c>
      <c r="E892" s="186">
        <v>96.2</v>
      </c>
      <c r="F892" s="186">
        <v>20.5</v>
      </c>
      <c r="G892" s="186">
        <v>17.600000000000001</v>
      </c>
      <c r="H892" s="187">
        <v>1.97</v>
      </c>
      <c r="I892" s="187">
        <v>3.54</v>
      </c>
      <c r="J892" s="187">
        <v>4.49</v>
      </c>
      <c r="K892" s="187">
        <v>2.48</v>
      </c>
      <c r="L892" s="185" t="s">
        <v>8</v>
      </c>
      <c r="M892" s="185">
        <v>3160</v>
      </c>
      <c r="N892" s="185">
        <v>383</v>
      </c>
      <c r="O892" s="185">
        <v>208</v>
      </c>
      <c r="P892" s="187">
        <v>5.74</v>
      </c>
      <c r="Q892" s="185">
        <v>1610</v>
      </c>
      <c r="R892" s="185">
        <v>290</v>
      </c>
      <c r="S892" s="185">
        <v>184</v>
      </c>
      <c r="T892" s="187">
        <v>4.0999999999999996</v>
      </c>
      <c r="U892" s="185">
        <v>295</v>
      </c>
      <c r="V892" s="185">
        <v>3070</v>
      </c>
      <c r="W892" s="185" t="s">
        <v>8</v>
      </c>
      <c r="X892" s="185" t="s">
        <v>8</v>
      </c>
      <c r="Y892" s="187">
        <v>7.91</v>
      </c>
      <c r="Z892" s="190">
        <v>0.79500000000000004</v>
      </c>
      <c r="AA892" s="14" t="str">
        <f t="shared" si="48"/>
        <v>WT</v>
      </c>
      <c r="AB892" s="14">
        <v>5.35</v>
      </c>
      <c r="AC892" s="14">
        <v>2.73</v>
      </c>
    </row>
    <row r="893" spans="1:29" s="198" customFormat="1" ht="15" x14ac:dyDescent="0.25">
      <c r="A893" s="185" t="s">
        <v>1313</v>
      </c>
      <c r="B893" s="185" t="s">
        <v>1347</v>
      </c>
      <c r="C893" s="185" t="s">
        <v>618</v>
      </c>
      <c r="D893" s="185">
        <v>264.5</v>
      </c>
      <c r="E893" s="186">
        <v>77.8</v>
      </c>
      <c r="F893" s="186">
        <v>19.899999999999999</v>
      </c>
      <c r="G893" s="186">
        <v>17.2</v>
      </c>
      <c r="H893" s="187">
        <v>1.61</v>
      </c>
      <c r="I893" s="187">
        <v>2.91</v>
      </c>
      <c r="J893" s="187">
        <v>3.86</v>
      </c>
      <c r="K893" s="187">
        <v>2.96</v>
      </c>
      <c r="L893" s="185" t="s">
        <v>8</v>
      </c>
      <c r="M893" s="185">
        <v>2440</v>
      </c>
      <c r="N893" s="185">
        <v>298</v>
      </c>
      <c r="O893" s="185">
        <v>164</v>
      </c>
      <c r="P893" s="187">
        <v>5.6</v>
      </c>
      <c r="Q893" s="185">
        <v>1240</v>
      </c>
      <c r="R893" s="185">
        <v>227</v>
      </c>
      <c r="S893" s="185">
        <v>145</v>
      </c>
      <c r="T893" s="187">
        <v>4</v>
      </c>
      <c r="U893" s="185">
        <v>163</v>
      </c>
      <c r="V893" s="185">
        <v>1600</v>
      </c>
      <c r="W893" s="185" t="s">
        <v>8</v>
      </c>
      <c r="X893" s="185" t="s">
        <v>8</v>
      </c>
      <c r="Y893" s="187">
        <v>7.72</v>
      </c>
      <c r="Z893" s="190">
        <v>0.79400000000000004</v>
      </c>
      <c r="AA893" s="14" t="str">
        <f t="shared" si="48"/>
        <v>WT</v>
      </c>
      <c r="AB893" s="14">
        <v>4.96</v>
      </c>
      <c r="AC893" s="14">
        <v>2.2599999999999998</v>
      </c>
    </row>
    <row r="894" spans="1:29" s="198" customFormat="1" ht="15" x14ac:dyDescent="0.25">
      <c r="A894" s="185" t="s">
        <v>1313</v>
      </c>
      <c r="B894" s="185" t="s">
        <v>1348</v>
      </c>
      <c r="C894" s="185" t="s">
        <v>618</v>
      </c>
      <c r="D894" s="185">
        <v>243.5</v>
      </c>
      <c r="E894" s="186">
        <v>71.7</v>
      </c>
      <c r="F894" s="186">
        <v>19.7</v>
      </c>
      <c r="G894" s="186">
        <v>17.100000000000001</v>
      </c>
      <c r="H894" s="187">
        <v>1.5</v>
      </c>
      <c r="I894" s="187">
        <v>2.68</v>
      </c>
      <c r="J894" s="187">
        <v>3.63</v>
      </c>
      <c r="K894" s="187">
        <v>3.19</v>
      </c>
      <c r="L894" s="185" t="s">
        <v>8</v>
      </c>
      <c r="M894" s="185">
        <v>2220</v>
      </c>
      <c r="N894" s="185">
        <v>272</v>
      </c>
      <c r="O894" s="185">
        <v>150</v>
      </c>
      <c r="P894" s="187">
        <v>5.57</v>
      </c>
      <c r="Q894" s="185">
        <v>1120</v>
      </c>
      <c r="R894" s="185">
        <v>206</v>
      </c>
      <c r="S894" s="185">
        <v>131</v>
      </c>
      <c r="T894" s="187">
        <v>3.96</v>
      </c>
      <c r="U894" s="185">
        <v>128</v>
      </c>
      <c r="V894" s="185">
        <v>1250</v>
      </c>
      <c r="W894" s="185" t="s">
        <v>8</v>
      </c>
      <c r="X894" s="185" t="s">
        <v>8</v>
      </c>
      <c r="Y894" s="187">
        <v>7.68</v>
      </c>
      <c r="Z894" s="190">
        <v>0.79200000000000004</v>
      </c>
      <c r="AA894" s="14" t="str">
        <f t="shared" si="48"/>
        <v>WT</v>
      </c>
      <c r="AB894" s="14">
        <v>4.84</v>
      </c>
      <c r="AC894" s="14">
        <v>2.1</v>
      </c>
    </row>
    <row r="895" spans="1:29" s="198" customFormat="1" ht="15" x14ac:dyDescent="0.25">
      <c r="A895" s="185" t="s">
        <v>1313</v>
      </c>
      <c r="B895" s="185" t="s">
        <v>1349</v>
      </c>
      <c r="C895" s="185" t="s">
        <v>618</v>
      </c>
      <c r="D895" s="185">
        <v>220.5</v>
      </c>
      <c r="E895" s="186">
        <v>64.900000000000006</v>
      </c>
      <c r="F895" s="186">
        <v>19.399999999999999</v>
      </c>
      <c r="G895" s="186">
        <v>17</v>
      </c>
      <c r="H895" s="187">
        <v>1.36</v>
      </c>
      <c r="I895" s="187">
        <v>2.44</v>
      </c>
      <c r="J895" s="187">
        <v>3.39</v>
      </c>
      <c r="K895" s="187">
        <v>3.48</v>
      </c>
      <c r="L895" s="185" t="s">
        <v>8</v>
      </c>
      <c r="M895" s="185">
        <v>1980</v>
      </c>
      <c r="N895" s="185">
        <v>242</v>
      </c>
      <c r="O895" s="185">
        <v>134</v>
      </c>
      <c r="P895" s="187">
        <v>5.52</v>
      </c>
      <c r="Q895" s="185">
        <v>997</v>
      </c>
      <c r="R895" s="185">
        <v>184</v>
      </c>
      <c r="S895" s="185">
        <v>117</v>
      </c>
      <c r="T895" s="187">
        <v>3.92</v>
      </c>
      <c r="U895" s="186">
        <v>96.6</v>
      </c>
      <c r="V895" s="185">
        <v>914</v>
      </c>
      <c r="W895" s="185" t="s">
        <v>8</v>
      </c>
      <c r="X895" s="185" t="s">
        <v>8</v>
      </c>
      <c r="Y895" s="187">
        <v>7.6</v>
      </c>
      <c r="Z895" s="190">
        <v>0.79200000000000004</v>
      </c>
      <c r="AA895" s="14" t="str">
        <f t="shared" si="48"/>
        <v>WT</v>
      </c>
      <c r="AB895" s="14">
        <v>4.6900000000000004</v>
      </c>
      <c r="AC895" s="14">
        <v>1.91</v>
      </c>
    </row>
    <row r="896" spans="1:29" s="198" customFormat="1" ht="15" x14ac:dyDescent="0.25">
      <c r="A896" s="185" t="s">
        <v>1313</v>
      </c>
      <c r="B896" s="185" t="s">
        <v>1350</v>
      </c>
      <c r="C896" s="185" t="s">
        <v>618</v>
      </c>
      <c r="D896" s="185">
        <v>197.5</v>
      </c>
      <c r="E896" s="186">
        <v>58.1</v>
      </c>
      <c r="F896" s="186">
        <v>19.2</v>
      </c>
      <c r="G896" s="186">
        <v>16.8</v>
      </c>
      <c r="H896" s="187">
        <v>1.22</v>
      </c>
      <c r="I896" s="187">
        <v>2.2000000000000002</v>
      </c>
      <c r="J896" s="187">
        <v>3.15</v>
      </c>
      <c r="K896" s="187">
        <v>3.83</v>
      </c>
      <c r="L896" s="185" t="s">
        <v>8</v>
      </c>
      <c r="M896" s="185">
        <v>1740</v>
      </c>
      <c r="N896" s="185">
        <v>213</v>
      </c>
      <c r="O896" s="185">
        <v>119</v>
      </c>
      <c r="P896" s="187">
        <v>5.47</v>
      </c>
      <c r="Q896" s="185">
        <v>877</v>
      </c>
      <c r="R896" s="185">
        <v>162</v>
      </c>
      <c r="S896" s="185">
        <v>104</v>
      </c>
      <c r="T896" s="187">
        <v>3.88</v>
      </c>
      <c r="U896" s="186">
        <v>70.7</v>
      </c>
      <c r="V896" s="185">
        <v>652</v>
      </c>
      <c r="W896" s="185" t="s">
        <v>8</v>
      </c>
      <c r="X896" s="185" t="s">
        <v>8</v>
      </c>
      <c r="Y896" s="187">
        <v>7.54</v>
      </c>
      <c r="Z896" s="190">
        <v>0.79200000000000004</v>
      </c>
      <c r="AA896" s="14" t="str">
        <f t="shared" si="48"/>
        <v>WT</v>
      </c>
      <c r="AB896" s="14">
        <v>4.53</v>
      </c>
      <c r="AC896" s="14">
        <v>1.73</v>
      </c>
    </row>
    <row r="897" spans="1:29" s="198" customFormat="1" ht="15" x14ac:dyDescent="0.25">
      <c r="A897" s="185" t="s">
        <v>1313</v>
      </c>
      <c r="B897" s="185" t="s">
        <v>1351</v>
      </c>
      <c r="C897" s="185" t="s">
        <v>618</v>
      </c>
      <c r="D897" s="185">
        <v>180.5</v>
      </c>
      <c r="E897" s="186">
        <v>53</v>
      </c>
      <c r="F897" s="186">
        <v>19</v>
      </c>
      <c r="G897" s="186">
        <v>16.7</v>
      </c>
      <c r="H897" s="187">
        <v>1.1200000000000001</v>
      </c>
      <c r="I897" s="187">
        <v>2.0099999999999998</v>
      </c>
      <c r="J897" s="187">
        <v>2.96</v>
      </c>
      <c r="K897" s="187">
        <v>4.16</v>
      </c>
      <c r="L897" s="185" t="s">
        <v>8</v>
      </c>
      <c r="M897" s="185">
        <v>1570</v>
      </c>
      <c r="N897" s="185">
        <v>192</v>
      </c>
      <c r="O897" s="185">
        <v>107</v>
      </c>
      <c r="P897" s="187">
        <v>5.43</v>
      </c>
      <c r="Q897" s="185">
        <v>786</v>
      </c>
      <c r="R897" s="185">
        <v>146</v>
      </c>
      <c r="S897" s="186">
        <v>94</v>
      </c>
      <c r="T897" s="187">
        <v>3.85</v>
      </c>
      <c r="U897" s="186">
        <v>54.1</v>
      </c>
      <c r="V897" s="185">
        <v>491</v>
      </c>
      <c r="W897" s="185" t="s">
        <v>8</v>
      </c>
      <c r="X897" s="185" t="s">
        <v>8</v>
      </c>
      <c r="Y897" s="187">
        <v>7.49</v>
      </c>
      <c r="Z897" s="190">
        <v>0.79200000000000004</v>
      </c>
      <c r="AA897" s="14" t="str">
        <f t="shared" si="48"/>
        <v>WT</v>
      </c>
      <c r="AB897" s="14">
        <v>4.42</v>
      </c>
      <c r="AC897" s="14">
        <v>1.59</v>
      </c>
    </row>
    <row r="898" spans="1:29" s="198" customFormat="1" ht="15" x14ac:dyDescent="0.25">
      <c r="A898" s="185" t="s">
        <v>1313</v>
      </c>
      <c r="B898" s="185" t="s">
        <v>1352</v>
      </c>
      <c r="C898" s="185" t="s">
        <v>618</v>
      </c>
      <c r="D898" s="185">
        <v>165</v>
      </c>
      <c r="E898" s="186">
        <v>48.4</v>
      </c>
      <c r="F898" s="186">
        <v>18.8</v>
      </c>
      <c r="G898" s="186">
        <v>16.600000000000001</v>
      </c>
      <c r="H898" s="187">
        <v>1.02</v>
      </c>
      <c r="I898" s="187">
        <v>1.85</v>
      </c>
      <c r="J898" s="187">
        <v>2.8</v>
      </c>
      <c r="K898" s="187">
        <v>4.49</v>
      </c>
      <c r="L898" s="185" t="s">
        <v>8</v>
      </c>
      <c r="M898" s="185">
        <v>1410</v>
      </c>
      <c r="N898" s="185">
        <v>173</v>
      </c>
      <c r="O898" s="186">
        <v>97</v>
      </c>
      <c r="P898" s="187">
        <v>5.39</v>
      </c>
      <c r="Q898" s="185">
        <v>711</v>
      </c>
      <c r="R898" s="185">
        <v>132</v>
      </c>
      <c r="S898" s="186">
        <v>85.5</v>
      </c>
      <c r="T898" s="187">
        <v>3.83</v>
      </c>
      <c r="U898" s="186">
        <v>42</v>
      </c>
      <c r="V898" s="185">
        <v>372</v>
      </c>
      <c r="W898" s="185" t="s">
        <v>8</v>
      </c>
      <c r="X898" s="185" t="s">
        <v>8</v>
      </c>
      <c r="Y898" s="187">
        <v>7.43</v>
      </c>
      <c r="Z898" s="190">
        <v>0.79300000000000004</v>
      </c>
      <c r="AA898" s="14" t="str">
        <f t="shared" si="48"/>
        <v>WT</v>
      </c>
      <c r="AB898" s="14">
        <v>4.3</v>
      </c>
      <c r="AC898" s="14">
        <v>1.46</v>
      </c>
    </row>
    <row r="899" spans="1:29" s="198" customFormat="1" ht="15" x14ac:dyDescent="0.25">
      <c r="A899" s="185" t="s">
        <v>1313</v>
      </c>
      <c r="B899" s="185" t="s">
        <v>1353</v>
      </c>
      <c r="C899" s="185" t="s">
        <v>618</v>
      </c>
      <c r="D899" s="185">
        <v>151</v>
      </c>
      <c r="E899" s="186">
        <v>44.5</v>
      </c>
      <c r="F899" s="186">
        <v>18.7</v>
      </c>
      <c r="G899" s="186">
        <v>16.7</v>
      </c>
      <c r="H899" s="190">
        <v>0.94499999999999995</v>
      </c>
      <c r="I899" s="187">
        <v>1.68</v>
      </c>
      <c r="J899" s="187">
        <v>2.63</v>
      </c>
      <c r="K899" s="187">
        <v>4.96</v>
      </c>
      <c r="L899" s="185" t="s">
        <v>8</v>
      </c>
      <c r="M899" s="185">
        <v>1280</v>
      </c>
      <c r="N899" s="185">
        <v>158</v>
      </c>
      <c r="O899" s="186">
        <v>88.8</v>
      </c>
      <c r="P899" s="187">
        <v>5.37</v>
      </c>
      <c r="Q899" s="185">
        <v>648</v>
      </c>
      <c r="R899" s="185">
        <v>120</v>
      </c>
      <c r="S899" s="186">
        <v>77.8</v>
      </c>
      <c r="T899" s="187">
        <v>3.82</v>
      </c>
      <c r="U899" s="186">
        <v>32.1</v>
      </c>
      <c r="V899" s="185">
        <v>285</v>
      </c>
      <c r="W899" s="185" t="s">
        <v>8</v>
      </c>
      <c r="X899" s="185" t="s">
        <v>8</v>
      </c>
      <c r="Y899" s="187">
        <v>7.41</v>
      </c>
      <c r="Z899" s="190">
        <v>0.79200000000000004</v>
      </c>
      <c r="AA899" s="14" t="str">
        <f t="shared" si="48"/>
        <v>WT</v>
      </c>
      <c r="AB899" s="14">
        <v>4.22</v>
      </c>
      <c r="AC899" s="14">
        <v>1.33</v>
      </c>
    </row>
    <row r="900" spans="1:29" s="198" customFormat="1" ht="15" x14ac:dyDescent="0.25">
      <c r="A900" s="185" t="s">
        <v>1313</v>
      </c>
      <c r="B900" s="185" t="s">
        <v>1354</v>
      </c>
      <c r="C900" s="185" t="s">
        <v>618</v>
      </c>
      <c r="D900" s="185">
        <v>141</v>
      </c>
      <c r="E900" s="186">
        <v>41.5</v>
      </c>
      <c r="F900" s="186">
        <v>18.600000000000001</v>
      </c>
      <c r="G900" s="186">
        <v>16.600000000000001</v>
      </c>
      <c r="H900" s="190">
        <v>0.88500000000000001</v>
      </c>
      <c r="I900" s="187">
        <v>1.57</v>
      </c>
      <c r="J900" s="187">
        <v>2.52</v>
      </c>
      <c r="K900" s="187">
        <v>5.29</v>
      </c>
      <c r="L900" s="185" t="s">
        <v>8</v>
      </c>
      <c r="M900" s="185">
        <v>1190</v>
      </c>
      <c r="N900" s="185">
        <v>146</v>
      </c>
      <c r="O900" s="186">
        <v>82.6</v>
      </c>
      <c r="P900" s="187">
        <v>5.36</v>
      </c>
      <c r="Q900" s="185">
        <v>599</v>
      </c>
      <c r="R900" s="185">
        <v>112</v>
      </c>
      <c r="S900" s="186">
        <v>72.2</v>
      </c>
      <c r="T900" s="187">
        <v>3.8</v>
      </c>
      <c r="U900" s="186">
        <v>26.3</v>
      </c>
      <c r="V900" s="185">
        <v>231</v>
      </c>
      <c r="W900" s="185" t="s">
        <v>8</v>
      </c>
      <c r="X900" s="185" t="s">
        <v>8</v>
      </c>
      <c r="Y900" s="187">
        <v>7.38</v>
      </c>
      <c r="Z900" s="190">
        <v>0.79100000000000004</v>
      </c>
      <c r="AA900" s="14" t="str">
        <f t="shared" si="48"/>
        <v>WT</v>
      </c>
      <c r="AB900" s="14">
        <v>4.16</v>
      </c>
      <c r="AC900" s="14">
        <v>1.25</v>
      </c>
    </row>
    <row r="901" spans="1:29" s="198" customFormat="1" ht="15" x14ac:dyDescent="0.25">
      <c r="A901" s="185" t="s">
        <v>1313</v>
      </c>
      <c r="B901" s="185" t="s">
        <v>1355</v>
      </c>
      <c r="C901" s="185" t="s">
        <v>618</v>
      </c>
      <c r="D901" s="185">
        <v>131</v>
      </c>
      <c r="E901" s="186">
        <v>38.5</v>
      </c>
      <c r="F901" s="186">
        <v>18.399999999999999</v>
      </c>
      <c r="G901" s="186">
        <v>16.600000000000001</v>
      </c>
      <c r="H901" s="190">
        <v>0.84</v>
      </c>
      <c r="I901" s="187">
        <v>1.44</v>
      </c>
      <c r="J901" s="187">
        <v>2.39</v>
      </c>
      <c r="K901" s="187">
        <v>5.75</v>
      </c>
      <c r="L901" s="185" t="s">
        <v>8</v>
      </c>
      <c r="M901" s="185">
        <v>1110</v>
      </c>
      <c r="N901" s="185">
        <v>137</v>
      </c>
      <c r="O901" s="186">
        <v>77.5</v>
      </c>
      <c r="P901" s="187">
        <v>5.36</v>
      </c>
      <c r="Q901" s="185">
        <v>545</v>
      </c>
      <c r="R901" s="185">
        <v>102</v>
      </c>
      <c r="S901" s="186">
        <v>65.8</v>
      </c>
      <c r="T901" s="187">
        <v>3.76</v>
      </c>
      <c r="U901" s="186">
        <v>20.8</v>
      </c>
      <c r="V901" s="185">
        <v>185</v>
      </c>
      <c r="W901" s="185" t="s">
        <v>8</v>
      </c>
      <c r="X901" s="185" t="s">
        <v>8</v>
      </c>
      <c r="Y901" s="187">
        <v>7.39</v>
      </c>
      <c r="Z901" s="190">
        <v>0.78500000000000003</v>
      </c>
      <c r="AA901" s="14" t="str">
        <f t="shared" si="48"/>
        <v>WT</v>
      </c>
      <c r="AB901" s="14">
        <v>4.1399999999999997</v>
      </c>
      <c r="AC901" s="14">
        <v>1.1599999999999999</v>
      </c>
    </row>
    <row r="902" spans="1:29" s="198" customFormat="1" ht="15" x14ac:dyDescent="0.25">
      <c r="A902" s="185" t="s">
        <v>1313</v>
      </c>
      <c r="B902" s="185" t="s">
        <v>1356</v>
      </c>
      <c r="C902" s="185" t="s">
        <v>618</v>
      </c>
      <c r="D902" s="185">
        <v>123.5</v>
      </c>
      <c r="E902" s="186">
        <v>36.299999999999997</v>
      </c>
      <c r="F902" s="186">
        <v>18.3</v>
      </c>
      <c r="G902" s="186">
        <v>16.5</v>
      </c>
      <c r="H902" s="190">
        <v>0.8</v>
      </c>
      <c r="I902" s="187">
        <v>1.35</v>
      </c>
      <c r="J902" s="187">
        <v>2.2999999999999998</v>
      </c>
      <c r="K902" s="187">
        <v>6.11</v>
      </c>
      <c r="L902" s="185" t="s">
        <v>8</v>
      </c>
      <c r="M902" s="185">
        <v>1040</v>
      </c>
      <c r="N902" s="185">
        <v>129</v>
      </c>
      <c r="O902" s="186">
        <v>73.3</v>
      </c>
      <c r="P902" s="187">
        <v>5.36</v>
      </c>
      <c r="Q902" s="185">
        <v>507</v>
      </c>
      <c r="R902" s="186">
        <v>94.8</v>
      </c>
      <c r="S902" s="186">
        <v>61.4</v>
      </c>
      <c r="T902" s="187">
        <v>3.74</v>
      </c>
      <c r="U902" s="186">
        <v>17.3</v>
      </c>
      <c r="V902" s="185">
        <v>155</v>
      </c>
      <c r="W902" s="185" t="s">
        <v>8</v>
      </c>
      <c r="X902" s="185" t="s">
        <v>8</v>
      </c>
      <c r="Y902" s="187">
        <v>7.39</v>
      </c>
      <c r="Z902" s="190">
        <v>0.78300000000000003</v>
      </c>
      <c r="AA902" s="14" t="str">
        <f t="shared" si="48"/>
        <v>WT</v>
      </c>
      <c r="AB902" s="14">
        <v>4.12</v>
      </c>
      <c r="AC902" s="14">
        <v>1.1000000000000001</v>
      </c>
    </row>
    <row r="903" spans="1:29" s="198" customFormat="1" ht="15" x14ac:dyDescent="0.25">
      <c r="A903" s="185" t="s">
        <v>1313</v>
      </c>
      <c r="B903" s="185" t="s">
        <v>1357</v>
      </c>
      <c r="C903" s="185" t="s">
        <v>618</v>
      </c>
      <c r="D903" s="185">
        <v>115.5</v>
      </c>
      <c r="E903" s="186">
        <v>34.1</v>
      </c>
      <c r="F903" s="186">
        <v>18.2</v>
      </c>
      <c r="G903" s="186">
        <v>16.5</v>
      </c>
      <c r="H903" s="190">
        <v>0.76</v>
      </c>
      <c r="I903" s="187">
        <v>1.26</v>
      </c>
      <c r="J903" s="187">
        <v>2.21</v>
      </c>
      <c r="K903" s="187">
        <v>6.54</v>
      </c>
      <c r="L903" s="185" t="s">
        <v>8</v>
      </c>
      <c r="M903" s="185">
        <v>978</v>
      </c>
      <c r="N903" s="185">
        <v>122</v>
      </c>
      <c r="O903" s="186">
        <v>69.099999999999994</v>
      </c>
      <c r="P903" s="187">
        <v>5.36</v>
      </c>
      <c r="Q903" s="185">
        <v>470</v>
      </c>
      <c r="R903" s="186">
        <v>88</v>
      </c>
      <c r="S903" s="186">
        <v>57</v>
      </c>
      <c r="T903" s="187">
        <v>3.71</v>
      </c>
      <c r="U903" s="186">
        <v>14.3</v>
      </c>
      <c r="V903" s="185">
        <v>129</v>
      </c>
      <c r="W903" s="185" t="s">
        <v>8</v>
      </c>
      <c r="X903" s="185" t="s">
        <v>8</v>
      </c>
      <c r="Y903" s="187">
        <v>7.39</v>
      </c>
      <c r="Z903" s="190">
        <v>0.78</v>
      </c>
      <c r="AA903" s="14" t="str">
        <f t="shared" si="48"/>
        <v>WT</v>
      </c>
      <c r="AB903" s="14">
        <v>4.0999999999999996</v>
      </c>
      <c r="AC903" s="14">
        <v>1.03</v>
      </c>
    </row>
    <row r="904" spans="1:29" s="198" customFormat="1" ht="15" x14ac:dyDescent="0.25">
      <c r="A904" s="185" t="s">
        <v>1313</v>
      </c>
      <c r="B904" s="185" t="s">
        <v>1868</v>
      </c>
      <c r="C904" s="185" t="s">
        <v>1859</v>
      </c>
      <c r="D904" s="185">
        <v>193.5</v>
      </c>
      <c r="E904" s="186">
        <v>56.8</v>
      </c>
      <c r="F904" s="186">
        <v>19.5</v>
      </c>
      <c r="G904" s="186">
        <v>12.7</v>
      </c>
      <c r="H904" s="190">
        <v>1.42</v>
      </c>
      <c r="I904" s="187">
        <v>2.56</v>
      </c>
      <c r="J904" s="187">
        <v>3.31</v>
      </c>
      <c r="K904" s="187">
        <v>2.48</v>
      </c>
      <c r="L904" s="185" t="s">
        <v>8</v>
      </c>
      <c r="M904" s="185">
        <v>1910</v>
      </c>
      <c r="N904" s="185">
        <v>244</v>
      </c>
      <c r="O904" s="186">
        <v>136</v>
      </c>
      <c r="P904" s="187">
        <v>5.8</v>
      </c>
      <c r="Q904" s="185">
        <v>441</v>
      </c>
      <c r="R904" s="186">
        <v>112</v>
      </c>
      <c r="S904" s="186">
        <v>69.400000000000006</v>
      </c>
      <c r="T904" s="187">
        <v>2.79</v>
      </c>
      <c r="U904" s="186">
        <v>85.3</v>
      </c>
      <c r="V904" s="185">
        <v>720</v>
      </c>
      <c r="W904" s="185" t="s">
        <v>8</v>
      </c>
      <c r="X904" s="185" t="s">
        <v>8</v>
      </c>
      <c r="Y904" s="187">
        <v>7.65</v>
      </c>
      <c r="Z904" s="190">
        <v>0.70699999999999996</v>
      </c>
      <c r="AA904" s="14" t="str">
        <f t="shared" si="48"/>
        <v>WT</v>
      </c>
      <c r="AB904" s="14">
        <v>5.42</v>
      </c>
      <c r="AC904" s="14">
        <v>2.2400000000000002</v>
      </c>
    </row>
    <row r="905" spans="1:29" s="198" customFormat="1" ht="15" x14ac:dyDescent="0.25">
      <c r="A905" s="185" t="s">
        <v>1313</v>
      </c>
      <c r="B905" s="185" t="s">
        <v>1869</v>
      </c>
      <c r="C905" s="185" t="s">
        <v>1859</v>
      </c>
      <c r="D905" s="185">
        <v>175</v>
      </c>
      <c r="E905" s="186">
        <v>51.5</v>
      </c>
      <c r="F905" s="186">
        <v>19.3</v>
      </c>
      <c r="G905" s="186">
        <v>12.6</v>
      </c>
      <c r="H905" s="190">
        <v>1.3</v>
      </c>
      <c r="I905" s="187">
        <v>2.3199999999999998</v>
      </c>
      <c r="J905" s="187">
        <v>3.07</v>
      </c>
      <c r="K905" s="187">
        <v>2.72</v>
      </c>
      <c r="L905" s="185" t="s">
        <v>8</v>
      </c>
      <c r="M905" s="185">
        <v>1720</v>
      </c>
      <c r="N905" s="185">
        <v>220</v>
      </c>
      <c r="O905" s="186">
        <v>123</v>
      </c>
      <c r="P905" s="187">
        <v>5.78</v>
      </c>
      <c r="Q905" s="185">
        <v>390</v>
      </c>
      <c r="R905" s="186">
        <v>99.4</v>
      </c>
      <c r="S905" s="186">
        <v>61.9</v>
      </c>
      <c r="T905" s="187">
        <v>2.75</v>
      </c>
      <c r="U905" s="186">
        <v>64.099999999999994</v>
      </c>
      <c r="V905" s="185">
        <v>538</v>
      </c>
      <c r="W905" s="185" t="s">
        <v>8</v>
      </c>
      <c r="X905" s="185" t="s">
        <v>8</v>
      </c>
      <c r="Y905" s="187">
        <v>7.62</v>
      </c>
      <c r="Z905" s="190">
        <v>0.70499999999999996</v>
      </c>
      <c r="AA905" s="14" t="str">
        <f t="shared" si="48"/>
        <v>WT</v>
      </c>
      <c r="AB905" s="14">
        <v>5.3</v>
      </c>
      <c r="AC905" s="14">
        <v>2.04</v>
      </c>
    </row>
    <row r="906" spans="1:29" s="198" customFormat="1" ht="15" x14ac:dyDescent="0.25">
      <c r="A906" s="185" t="s">
        <v>1313</v>
      </c>
      <c r="B906" s="185" t="s">
        <v>1870</v>
      </c>
      <c r="C906" s="185" t="s">
        <v>1859</v>
      </c>
      <c r="D906" s="185">
        <v>159</v>
      </c>
      <c r="E906" s="186">
        <v>46.7</v>
      </c>
      <c r="F906" s="186">
        <v>19.100000000000001</v>
      </c>
      <c r="G906" s="186">
        <v>12.4</v>
      </c>
      <c r="H906" s="190">
        <v>1.18</v>
      </c>
      <c r="I906" s="187">
        <v>2.13</v>
      </c>
      <c r="J906" s="187">
        <v>2.88</v>
      </c>
      <c r="K906" s="187">
        <v>2.91</v>
      </c>
      <c r="L906" s="185" t="s">
        <v>8</v>
      </c>
      <c r="M906" s="185">
        <v>1530</v>
      </c>
      <c r="N906" s="185">
        <v>197</v>
      </c>
      <c r="O906" s="186">
        <v>110</v>
      </c>
      <c r="P906" s="187">
        <v>5.72</v>
      </c>
      <c r="Q906" s="185">
        <v>341</v>
      </c>
      <c r="R906" s="186">
        <v>87.9</v>
      </c>
      <c r="S906" s="186">
        <v>55</v>
      </c>
      <c r="T906" s="187">
        <v>2.7</v>
      </c>
      <c r="U906" s="186">
        <v>48.9</v>
      </c>
      <c r="V906" s="185">
        <v>396</v>
      </c>
      <c r="W906" s="185" t="s">
        <v>8</v>
      </c>
      <c r="X906" s="185" t="s">
        <v>8</v>
      </c>
      <c r="Y906" s="187">
        <v>7.54</v>
      </c>
      <c r="Z906" s="190">
        <v>0.70399999999999996</v>
      </c>
      <c r="AA906" s="14" t="str">
        <f t="shared" si="48"/>
        <v>WT</v>
      </c>
      <c r="AB906" s="14">
        <v>5.17</v>
      </c>
      <c r="AC906" s="14">
        <v>1.88</v>
      </c>
    </row>
    <row r="907" spans="1:29" s="198" customFormat="1" ht="15" x14ac:dyDescent="0.25">
      <c r="A907" s="185" t="s">
        <v>1313</v>
      </c>
      <c r="B907" s="185" t="s">
        <v>1871</v>
      </c>
      <c r="C907" s="185" t="s">
        <v>1859</v>
      </c>
      <c r="D907" s="185">
        <v>143</v>
      </c>
      <c r="E907" s="186">
        <v>42</v>
      </c>
      <c r="F907" s="186">
        <v>18.899999999999999</v>
      </c>
      <c r="G907" s="186">
        <v>12.3</v>
      </c>
      <c r="H907" s="190">
        <v>1.06</v>
      </c>
      <c r="I907" s="187">
        <v>1.93</v>
      </c>
      <c r="J907" s="187">
        <v>2.68</v>
      </c>
      <c r="K907" s="187">
        <v>3.19</v>
      </c>
      <c r="L907" s="185" t="s">
        <v>8</v>
      </c>
      <c r="M907" s="185">
        <v>1360</v>
      </c>
      <c r="N907" s="185">
        <v>175</v>
      </c>
      <c r="O907" s="186">
        <v>98</v>
      </c>
      <c r="P907" s="187">
        <v>5.69</v>
      </c>
      <c r="Q907" s="185">
        <v>301</v>
      </c>
      <c r="R907" s="186">
        <v>77.8</v>
      </c>
      <c r="S907" s="186">
        <v>48.9</v>
      </c>
      <c r="T907" s="187">
        <v>2.68</v>
      </c>
      <c r="U907" s="186">
        <v>36.200000000000003</v>
      </c>
      <c r="V907" s="185">
        <v>284</v>
      </c>
      <c r="W907" s="185" t="s">
        <v>8</v>
      </c>
      <c r="X907" s="185" t="s">
        <v>8</v>
      </c>
      <c r="Y907" s="187">
        <v>7.48</v>
      </c>
      <c r="Z907" s="190">
        <v>0.70599999999999996</v>
      </c>
      <c r="AA907" s="14" t="str">
        <f t="shared" si="48"/>
        <v>WT</v>
      </c>
      <c r="AB907" s="14">
        <v>5.0199999999999996</v>
      </c>
      <c r="AC907" s="14">
        <v>1.71</v>
      </c>
    </row>
    <row r="908" spans="1:29" s="198" customFormat="1" ht="15" x14ac:dyDescent="0.25">
      <c r="A908" s="185" t="s">
        <v>1313</v>
      </c>
      <c r="B908" s="185" t="s">
        <v>1358</v>
      </c>
      <c r="C908" s="185" t="s">
        <v>618</v>
      </c>
      <c r="D908" s="185">
        <v>128</v>
      </c>
      <c r="E908" s="186">
        <v>37.6</v>
      </c>
      <c r="F908" s="186">
        <v>18.7</v>
      </c>
      <c r="G908" s="186">
        <v>12.2</v>
      </c>
      <c r="H908" s="190">
        <v>0.96</v>
      </c>
      <c r="I908" s="187">
        <v>1.73</v>
      </c>
      <c r="J908" s="188">
        <v>2.48</v>
      </c>
      <c r="K908" s="188">
        <v>3.53</v>
      </c>
      <c r="L908" s="185" t="s">
        <v>8</v>
      </c>
      <c r="M908" s="189">
        <v>1210</v>
      </c>
      <c r="N908" s="189">
        <v>156</v>
      </c>
      <c r="O908" s="186">
        <v>87.4</v>
      </c>
      <c r="P908" s="187">
        <v>5.66</v>
      </c>
      <c r="Q908" s="189">
        <v>264</v>
      </c>
      <c r="R908" s="192">
        <v>68.5</v>
      </c>
      <c r="S908" s="186">
        <v>43.2</v>
      </c>
      <c r="T908" s="187">
        <v>2.65</v>
      </c>
      <c r="U908" s="192">
        <v>26.4</v>
      </c>
      <c r="V908" s="185">
        <v>205</v>
      </c>
      <c r="W908" s="185" t="s">
        <v>8</v>
      </c>
      <c r="X908" s="185" t="s">
        <v>8</v>
      </c>
      <c r="Y908" s="187">
        <v>7.45</v>
      </c>
      <c r="Z908" s="190">
        <v>0.70299999999999996</v>
      </c>
      <c r="AA908" s="14" t="str">
        <f t="shared" si="48"/>
        <v>WT</v>
      </c>
      <c r="AB908" s="14">
        <v>4.92</v>
      </c>
      <c r="AC908" s="14">
        <v>1.54</v>
      </c>
    </row>
    <row r="909" spans="1:29" s="198" customFormat="1" ht="15" x14ac:dyDescent="0.25">
      <c r="A909" s="185" t="s">
        <v>1313</v>
      </c>
      <c r="B909" s="185" t="s">
        <v>1359</v>
      </c>
      <c r="C909" s="185" t="s">
        <v>618</v>
      </c>
      <c r="D909" s="185">
        <v>116</v>
      </c>
      <c r="E909" s="186">
        <v>34</v>
      </c>
      <c r="F909" s="186">
        <v>18.600000000000001</v>
      </c>
      <c r="G909" s="186">
        <v>12.1</v>
      </c>
      <c r="H909" s="190">
        <v>0.87</v>
      </c>
      <c r="I909" s="187">
        <v>1.57</v>
      </c>
      <c r="J909" s="188">
        <v>2.3199999999999998</v>
      </c>
      <c r="K909" s="188">
        <v>3.86</v>
      </c>
      <c r="L909" s="185" t="s">
        <v>8</v>
      </c>
      <c r="M909" s="189">
        <v>1080</v>
      </c>
      <c r="N909" s="189">
        <v>140</v>
      </c>
      <c r="O909" s="186">
        <v>78.5</v>
      </c>
      <c r="P909" s="187">
        <v>5.63</v>
      </c>
      <c r="Q909" s="189">
        <v>234</v>
      </c>
      <c r="R909" s="192">
        <v>60.9</v>
      </c>
      <c r="S909" s="186">
        <v>38.6</v>
      </c>
      <c r="T909" s="187">
        <v>2.62</v>
      </c>
      <c r="U909" s="192">
        <v>19.7</v>
      </c>
      <c r="V909" s="185">
        <v>151</v>
      </c>
      <c r="W909" s="185" t="s">
        <v>8</v>
      </c>
      <c r="X909" s="185" t="s">
        <v>8</v>
      </c>
      <c r="Y909" s="187">
        <v>7.4</v>
      </c>
      <c r="Z909" s="190">
        <v>0.70299999999999996</v>
      </c>
      <c r="AA909" s="14" t="str">
        <f t="shared" si="48"/>
        <v>WT</v>
      </c>
      <c r="AB909" s="14">
        <v>4.82</v>
      </c>
      <c r="AC909" s="14">
        <v>1.4</v>
      </c>
    </row>
    <row r="910" spans="1:29" s="198" customFormat="1" ht="15" x14ac:dyDescent="0.25">
      <c r="A910" s="185" t="s">
        <v>1313</v>
      </c>
      <c r="B910" s="185" t="s">
        <v>1360</v>
      </c>
      <c r="C910" s="185" t="s">
        <v>618</v>
      </c>
      <c r="D910" s="185">
        <v>105</v>
      </c>
      <c r="E910" s="186">
        <v>30.9</v>
      </c>
      <c r="F910" s="186">
        <v>18.3</v>
      </c>
      <c r="G910" s="186">
        <v>12.2</v>
      </c>
      <c r="H910" s="190">
        <v>0.83</v>
      </c>
      <c r="I910" s="187">
        <v>1.36</v>
      </c>
      <c r="J910" s="188">
        <v>2.11</v>
      </c>
      <c r="K910" s="188">
        <v>4.4800000000000004</v>
      </c>
      <c r="L910" s="185" t="s">
        <v>8</v>
      </c>
      <c r="M910" s="189">
        <v>985</v>
      </c>
      <c r="N910" s="189">
        <v>131</v>
      </c>
      <c r="O910" s="186">
        <v>73.099999999999994</v>
      </c>
      <c r="P910" s="187">
        <v>5.65</v>
      </c>
      <c r="Q910" s="189">
        <v>206</v>
      </c>
      <c r="R910" s="192">
        <v>53.4</v>
      </c>
      <c r="S910" s="186">
        <v>33.799999999999997</v>
      </c>
      <c r="T910" s="187">
        <v>2.58</v>
      </c>
      <c r="U910" s="192">
        <v>13.9</v>
      </c>
      <c r="V910" s="185">
        <v>119</v>
      </c>
      <c r="W910" s="185" t="s">
        <v>8</v>
      </c>
      <c r="X910" s="185" t="s">
        <v>8</v>
      </c>
      <c r="Y910" s="187">
        <v>7.49</v>
      </c>
      <c r="Z910" s="190">
        <v>0.68700000000000006</v>
      </c>
      <c r="AA910" s="14" t="str">
        <f t="shared" ref="AA910:AA973" si="50">A910</f>
        <v>WT</v>
      </c>
      <c r="AB910" s="14">
        <v>4.87</v>
      </c>
      <c r="AC910" s="14">
        <v>1.27</v>
      </c>
    </row>
    <row r="911" spans="1:29" s="198" customFormat="1" ht="15" x14ac:dyDescent="0.25">
      <c r="A911" s="185" t="s">
        <v>1313</v>
      </c>
      <c r="B911" s="185" t="s">
        <v>1361</v>
      </c>
      <c r="C911" s="185" t="s">
        <v>618</v>
      </c>
      <c r="D911" s="186">
        <v>97</v>
      </c>
      <c r="E911" s="186">
        <v>28.5</v>
      </c>
      <c r="F911" s="186">
        <v>18.2</v>
      </c>
      <c r="G911" s="186">
        <v>12.1</v>
      </c>
      <c r="H911" s="190">
        <v>0.76500000000000001</v>
      </c>
      <c r="I911" s="187">
        <v>1.26</v>
      </c>
      <c r="J911" s="188">
        <v>2.0099999999999998</v>
      </c>
      <c r="K911" s="188">
        <v>4.8099999999999996</v>
      </c>
      <c r="L911" s="185" t="s">
        <v>8</v>
      </c>
      <c r="M911" s="189">
        <v>901</v>
      </c>
      <c r="N911" s="189">
        <v>120</v>
      </c>
      <c r="O911" s="186">
        <v>67</v>
      </c>
      <c r="P911" s="187">
        <v>5.62</v>
      </c>
      <c r="Q911" s="189">
        <v>187</v>
      </c>
      <c r="R911" s="192">
        <v>48.8</v>
      </c>
      <c r="S911" s="186">
        <v>30.9</v>
      </c>
      <c r="T911" s="187">
        <v>2.56</v>
      </c>
      <c r="U911" s="192">
        <v>11.1</v>
      </c>
      <c r="V911" s="186">
        <v>92.7</v>
      </c>
      <c r="W911" s="185" t="s">
        <v>8</v>
      </c>
      <c r="X911" s="185" t="s">
        <v>8</v>
      </c>
      <c r="Y911" s="187">
        <v>7.45</v>
      </c>
      <c r="Z911" s="190">
        <v>0.68799999999999994</v>
      </c>
      <c r="AA911" s="14" t="str">
        <f t="shared" si="50"/>
        <v>WT</v>
      </c>
      <c r="AB911" s="14">
        <v>4.8</v>
      </c>
      <c r="AC911" s="14">
        <v>1.18</v>
      </c>
    </row>
    <row r="912" spans="1:29" s="198" customFormat="1" ht="15" x14ac:dyDescent="0.25">
      <c r="A912" s="185" t="s">
        <v>1313</v>
      </c>
      <c r="B912" s="185" t="s">
        <v>1362</v>
      </c>
      <c r="C912" s="185" t="s">
        <v>618</v>
      </c>
      <c r="D912" s="186">
        <v>91</v>
      </c>
      <c r="E912" s="186">
        <v>26.8</v>
      </c>
      <c r="F912" s="186">
        <v>18.2</v>
      </c>
      <c r="G912" s="186">
        <v>12.1</v>
      </c>
      <c r="H912" s="190">
        <v>0.72499999999999998</v>
      </c>
      <c r="I912" s="187">
        <v>1.18</v>
      </c>
      <c r="J912" s="188">
        <v>1.93</v>
      </c>
      <c r="K912" s="188">
        <v>5.12</v>
      </c>
      <c r="L912" s="185" t="s">
        <v>8</v>
      </c>
      <c r="M912" s="189">
        <v>845</v>
      </c>
      <c r="N912" s="189">
        <v>113</v>
      </c>
      <c r="O912" s="186">
        <v>63.1</v>
      </c>
      <c r="P912" s="187">
        <v>5.62</v>
      </c>
      <c r="Q912" s="189">
        <v>174</v>
      </c>
      <c r="R912" s="192">
        <v>45.3</v>
      </c>
      <c r="S912" s="186">
        <v>28.8</v>
      </c>
      <c r="T912" s="187">
        <v>2.5499999999999998</v>
      </c>
      <c r="U912" s="188">
        <v>9.1999999999999993</v>
      </c>
      <c r="V912" s="186">
        <v>77.599999999999994</v>
      </c>
      <c r="W912" s="185" t="s">
        <v>8</v>
      </c>
      <c r="X912" s="185" t="s">
        <v>8</v>
      </c>
      <c r="Y912" s="187">
        <v>7.45</v>
      </c>
      <c r="Z912" s="190">
        <v>0.68500000000000005</v>
      </c>
      <c r="AA912" s="14" t="str">
        <f t="shared" si="50"/>
        <v>WT</v>
      </c>
      <c r="AB912" s="14">
        <v>4.7699999999999996</v>
      </c>
      <c r="AC912" s="14">
        <v>1.1100000000000001</v>
      </c>
    </row>
    <row r="913" spans="1:29" s="198" customFormat="1" ht="15" x14ac:dyDescent="0.25">
      <c r="A913" s="185" t="s">
        <v>1313</v>
      </c>
      <c r="B913" s="185" t="s">
        <v>1363</v>
      </c>
      <c r="C913" s="185" t="s">
        <v>618</v>
      </c>
      <c r="D913" s="186">
        <v>85</v>
      </c>
      <c r="E913" s="186">
        <v>25</v>
      </c>
      <c r="F913" s="186">
        <v>18.100000000000001</v>
      </c>
      <c r="G913" s="186">
        <v>12</v>
      </c>
      <c r="H913" s="190">
        <v>0.68</v>
      </c>
      <c r="I913" s="187">
        <v>1.1000000000000001</v>
      </c>
      <c r="J913" s="188">
        <v>1.85</v>
      </c>
      <c r="K913" s="188">
        <v>5.47</v>
      </c>
      <c r="L913" s="185" t="s">
        <v>8</v>
      </c>
      <c r="M913" s="189">
        <v>786</v>
      </c>
      <c r="N913" s="189">
        <v>105</v>
      </c>
      <c r="O913" s="186">
        <v>58.9</v>
      </c>
      <c r="P913" s="187">
        <v>5.61</v>
      </c>
      <c r="Q913" s="189">
        <v>160</v>
      </c>
      <c r="R913" s="192">
        <v>41.8</v>
      </c>
      <c r="S913" s="186">
        <v>26.6</v>
      </c>
      <c r="T913" s="187">
        <v>2.5299999999999998</v>
      </c>
      <c r="U913" s="188">
        <v>7.51</v>
      </c>
      <c r="V913" s="186">
        <v>63.2</v>
      </c>
      <c r="W913" s="185" t="s">
        <v>8</v>
      </c>
      <c r="X913" s="185" t="s">
        <v>8</v>
      </c>
      <c r="Y913" s="187">
        <v>7.44</v>
      </c>
      <c r="Z913" s="190">
        <v>0.68400000000000005</v>
      </c>
      <c r="AA913" s="14" t="str">
        <f t="shared" si="50"/>
        <v>WT</v>
      </c>
      <c r="AB913" s="14">
        <v>4.7300000000000004</v>
      </c>
      <c r="AC913" s="14">
        <v>1.04</v>
      </c>
    </row>
    <row r="914" spans="1:29" s="198" customFormat="1" ht="15" x14ac:dyDescent="0.25">
      <c r="A914" s="185" t="s">
        <v>1313</v>
      </c>
      <c r="B914" s="185" t="s">
        <v>1364</v>
      </c>
      <c r="C914" s="185" t="s">
        <v>618</v>
      </c>
      <c r="D914" s="186">
        <v>80</v>
      </c>
      <c r="E914" s="186">
        <v>23.5</v>
      </c>
      <c r="F914" s="186">
        <v>18</v>
      </c>
      <c r="G914" s="186">
        <v>12</v>
      </c>
      <c r="H914" s="190">
        <v>0.65</v>
      </c>
      <c r="I914" s="187">
        <v>1.02</v>
      </c>
      <c r="J914" s="188">
        <v>1.77</v>
      </c>
      <c r="K914" s="188">
        <v>5.88</v>
      </c>
      <c r="L914" s="185" t="s">
        <v>8</v>
      </c>
      <c r="M914" s="189">
        <v>740</v>
      </c>
      <c r="N914" s="189">
        <v>100</v>
      </c>
      <c r="O914" s="186">
        <v>55.8</v>
      </c>
      <c r="P914" s="187">
        <v>5.61</v>
      </c>
      <c r="Q914" s="189">
        <v>147</v>
      </c>
      <c r="R914" s="192">
        <v>38.6</v>
      </c>
      <c r="S914" s="186">
        <v>24.6</v>
      </c>
      <c r="T914" s="187">
        <v>2.5</v>
      </c>
      <c r="U914" s="188">
        <v>6.17</v>
      </c>
      <c r="V914" s="186">
        <v>53.6</v>
      </c>
      <c r="W914" s="185" t="s">
        <v>8</v>
      </c>
      <c r="X914" s="185" t="s">
        <v>8</v>
      </c>
      <c r="Y914" s="187">
        <v>7.46</v>
      </c>
      <c r="Z914" s="190">
        <v>0.67800000000000005</v>
      </c>
      <c r="AA914" s="14" t="str">
        <f t="shared" si="50"/>
        <v>WT</v>
      </c>
      <c r="AB914" s="14">
        <v>4.74</v>
      </c>
      <c r="AC914" s="14">
        <v>0.98</v>
      </c>
    </row>
    <row r="915" spans="1:29" s="198" customFormat="1" ht="15" x14ac:dyDescent="0.25">
      <c r="A915" s="185" t="s">
        <v>1313</v>
      </c>
      <c r="B915" s="185" t="s">
        <v>1365</v>
      </c>
      <c r="C915" s="185" t="s">
        <v>618</v>
      </c>
      <c r="D915" s="186">
        <v>75</v>
      </c>
      <c r="E915" s="186">
        <v>22.1</v>
      </c>
      <c r="F915" s="186">
        <v>17.899999999999999</v>
      </c>
      <c r="G915" s="186">
        <v>12</v>
      </c>
      <c r="H915" s="190">
        <v>0.625</v>
      </c>
      <c r="I915" s="190">
        <v>0.94</v>
      </c>
      <c r="J915" s="188">
        <v>1.69</v>
      </c>
      <c r="K915" s="188">
        <v>6.37</v>
      </c>
      <c r="L915" s="185" t="s">
        <v>8</v>
      </c>
      <c r="M915" s="189">
        <v>698</v>
      </c>
      <c r="N915" s="192">
        <v>95.5</v>
      </c>
      <c r="O915" s="186">
        <v>53.1</v>
      </c>
      <c r="P915" s="187">
        <v>5.62</v>
      </c>
      <c r="Q915" s="189">
        <v>135</v>
      </c>
      <c r="R915" s="192">
        <v>35.4</v>
      </c>
      <c r="S915" s="186">
        <v>22.5</v>
      </c>
      <c r="T915" s="187">
        <v>2.4700000000000002</v>
      </c>
      <c r="U915" s="188">
        <v>5.04</v>
      </c>
      <c r="V915" s="186">
        <v>46</v>
      </c>
      <c r="W915" s="185" t="s">
        <v>8</v>
      </c>
      <c r="X915" s="185" t="s">
        <v>8</v>
      </c>
      <c r="Y915" s="187">
        <v>7.5</v>
      </c>
      <c r="Z915" s="190">
        <v>0.67</v>
      </c>
      <c r="AA915" s="14" t="str">
        <f t="shared" si="50"/>
        <v>WT</v>
      </c>
      <c r="AB915" s="14">
        <v>4.78</v>
      </c>
      <c r="AC915" s="14">
        <v>0.92300000000000004</v>
      </c>
    </row>
    <row r="916" spans="1:29" s="198" customFormat="1" ht="15" x14ac:dyDescent="0.25">
      <c r="A916" s="185" t="s">
        <v>1313</v>
      </c>
      <c r="B916" s="185" t="s">
        <v>1366</v>
      </c>
      <c r="C916" s="185" t="s">
        <v>618</v>
      </c>
      <c r="D916" s="186">
        <v>67.5</v>
      </c>
      <c r="E916" s="186">
        <v>19.899999999999999</v>
      </c>
      <c r="F916" s="186">
        <v>17.8</v>
      </c>
      <c r="G916" s="186">
        <v>12</v>
      </c>
      <c r="H916" s="190">
        <v>0.6</v>
      </c>
      <c r="I916" s="190">
        <v>0.79</v>
      </c>
      <c r="J916" s="188">
        <v>1.54</v>
      </c>
      <c r="K916" s="188">
        <v>7.56</v>
      </c>
      <c r="L916" s="185" t="s">
        <v>8</v>
      </c>
      <c r="M916" s="189">
        <v>637</v>
      </c>
      <c r="N916" s="192">
        <v>90.1</v>
      </c>
      <c r="O916" s="186">
        <v>49.7</v>
      </c>
      <c r="P916" s="187">
        <v>5.66</v>
      </c>
      <c r="Q916" s="189">
        <v>113</v>
      </c>
      <c r="R916" s="192">
        <v>29.8</v>
      </c>
      <c r="S916" s="186">
        <v>18.899999999999999</v>
      </c>
      <c r="T916" s="187">
        <v>2.38</v>
      </c>
      <c r="U916" s="188">
        <v>3.48</v>
      </c>
      <c r="V916" s="186">
        <v>37.299999999999997</v>
      </c>
      <c r="W916" s="185" t="s">
        <v>8</v>
      </c>
      <c r="X916" s="185" t="s">
        <v>8</v>
      </c>
      <c r="Y916" s="187">
        <v>7.65</v>
      </c>
      <c r="Z916" s="190">
        <v>0.64400000000000002</v>
      </c>
      <c r="AA916" s="14" t="str">
        <f t="shared" si="50"/>
        <v>WT</v>
      </c>
      <c r="AB916" s="14">
        <v>4.96</v>
      </c>
      <c r="AC916" s="14">
        <v>1.23</v>
      </c>
    </row>
    <row r="917" spans="1:29" s="198" customFormat="1" ht="15" x14ac:dyDescent="0.25">
      <c r="A917" s="185" t="s">
        <v>1313</v>
      </c>
      <c r="B917" s="185" t="s">
        <v>1367</v>
      </c>
      <c r="C917" s="185" t="s">
        <v>618</v>
      </c>
      <c r="D917" s="185">
        <v>193.5</v>
      </c>
      <c r="E917" s="186">
        <v>57</v>
      </c>
      <c r="F917" s="186">
        <v>18</v>
      </c>
      <c r="G917" s="186">
        <v>16.2</v>
      </c>
      <c r="H917" s="187">
        <v>1.26</v>
      </c>
      <c r="I917" s="187">
        <v>2.2799999999999998</v>
      </c>
      <c r="J917" s="188">
        <v>3.07</v>
      </c>
      <c r="K917" s="188">
        <v>3.55</v>
      </c>
      <c r="L917" s="185" t="s">
        <v>8</v>
      </c>
      <c r="M917" s="189">
        <v>1460</v>
      </c>
      <c r="N917" s="189">
        <v>193</v>
      </c>
      <c r="O917" s="185">
        <v>107</v>
      </c>
      <c r="P917" s="187">
        <v>5.07</v>
      </c>
      <c r="Q917" s="189">
        <v>810</v>
      </c>
      <c r="R917" s="189">
        <v>156</v>
      </c>
      <c r="S917" s="185">
        <v>100</v>
      </c>
      <c r="T917" s="187">
        <v>3.77</v>
      </c>
      <c r="U917" s="192">
        <v>73.900000000000006</v>
      </c>
      <c r="V917" s="185">
        <v>615</v>
      </c>
      <c r="W917" s="185" t="s">
        <v>8</v>
      </c>
      <c r="X917" s="185" t="s">
        <v>8</v>
      </c>
      <c r="Y917" s="187">
        <v>7.05</v>
      </c>
      <c r="Z917" s="190">
        <v>0.80300000000000005</v>
      </c>
      <c r="AA917" s="14" t="str">
        <f t="shared" si="50"/>
        <v>WT</v>
      </c>
      <c r="AB917" s="14">
        <v>4.2699999999999996</v>
      </c>
      <c r="AC917" s="14">
        <v>1.76</v>
      </c>
    </row>
    <row r="918" spans="1:29" s="198" customFormat="1" ht="15" x14ac:dyDescent="0.25">
      <c r="A918" s="185" t="s">
        <v>1313</v>
      </c>
      <c r="B918" s="185" t="s">
        <v>1368</v>
      </c>
      <c r="C918" s="185" t="s">
        <v>618</v>
      </c>
      <c r="D918" s="185">
        <v>177</v>
      </c>
      <c r="E918" s="186">
        <v>52.1</v>
      </c>
      <c r="F918" s="186">
        <v>17.8</v>
      </c>
      <c r="G918" s="186">
        <v>16.100000000000001</v>
      </c>
      <c r="H918" s="187">
        <v>1.1599999999999999</v>
      </c>
      <c r="I918" s="187">
        <v>2.09</v>
      </c>
      <c r="J918" s="188">
        <v>2.88</v>
      </c>
      <c r="K918" s="188">
        <v>3.85</v>
      </c>
      <c r="L918" s="185" t="s">
        <v>8</v>
      </c>
      <c r="M918" s="189">
        <v>1320</v>
      </c>
      <c r="N918" s="189">
        <v>174</v>
      </c>
      <c r="O918" s="186">
        <v>96.8</v>
      </c>
      <c r="P918" s="187">
        <v>5.03</v>
      </c>
      <c r="Q918" s="189">
        <v>729</v>
      </c>
      <c r="R918" s="189">
        <v>141</v>
      </c>
      <c r="S918" s="186">
        <v>90.6</v>
      </c>
      <c r="T918" s="187">
        <v>3.74</v>
      </c>
      <c r="U918" s="192">
        <v>57.1</v>
      </c>
      <c r="V918" s="185">
        <v>468</v>
      </c>
      <c r="W918" s="185" t="s">
        <v>8</v>
      </c>
      <c r="X918" s="185" t="s">
        <v>8</v>
      </c>
      <c r="Y918" s="187">
        <v>7</v>
      </c>
      <c r="Z918" s="190">
        <v>0.80300000000000005</v>
      </c>
      <c r="AA918" s="14" t="str">
        <f t="shared" si="50"/>
        <v>WT</v>
      </c>
      <c r="AB918" s="14">
        <v>4.1500000000000004</v>
      </c>
      <c r="AC918" s="14">
        <v>1.62</v>
      </c>
    </row>
    <row r="919" spans="1:29" s="198" customFormat="1" ht="15" x14ac:dyDescent="0.25">
      <c r="A919" s="185" t="s">
        <v>1313</v>
      </c>
      <c r="B919" s="185" t="s">
        <v>1369</v>
      </c>
      <c r="C919" s="185" t="s">
        <v>618</v>
      </c>
      <c r="D919" s="185">
        <v>159</v>
      </c>
      <c r="E919" s="186">
        <v>46.8</v>
      </c>
      <c r="F919" s="186">
        <v>17.600000000000001</v>
      </c>
      <c r="G919" s="186">
        <v>16</v>
      </c>
      <c r="H919" s="187">
        <v>1.04</v>
      </c>
      <c r="I919" s="187">
        <v>1.89</v>
      </c>
      <c r="J919" s="188">
        <v>2.68</v>
      </c>
      <c r="K919" s="188">
        <v>4.2300000000000004</v>
      </c>
      <c r="L919" s="185" t="s">
        <v>8</v>
      </c>
      <c r="M919" s="189">
        <v>1160</v>
      </c>
      <c r="N919" s="189">
        <v>154</v>
      </c>
      <c r="O919" s="186">
        <v>85.8</v>
      </c>
      <c r="P919" s="187">
        <v>4.99</v>
      </c>
      <c r="Q919" s="189">
        <v>645</v>
      </c>
      <c r="R919" s="189">
        <v>125</v>
      </c>
      <c r="S919" s="186">
        <v>80.7</v>
      </c>
      <c r="T919" s="187">
        <v>3.71</v>
      </c>
      <c r="U919" s="192">
        <v>42.1</v>
      </c>
      <c r="V919" s="185">
        <v>335</v>
      </c>
      <c r="W919" s="185" t="s">
        <v>8</v>
      </c>
      <c r="X919" s="185" t="s">
        <v>8</v>
      </c>
      <c r="Y919" s="187">
        <v>6.93</v>
      </c>
      <c r="Z919" s="190">
        <v>0.80400000000000005</v>
      </c>
      <c r="AA919" s="14" t="str">
        <f t="shared" si="50"/>
        <v>WT</v>
      </c>
      <c r="AB919" s="14">
        <v>4.0199999999999996</v>
      </c>
      <c r="AC919" s="14">
        <v>1.46</v>
      </c>
    </row>
    <row r="920" spans="1:29" s="198" customFormat="1" ht="15" x14ac:dyDescent="0.25">
      <c r="A920" s="185" t="s">
        <v>1313</v>
      </c>
      <c r="B920" s="185" t="s">
        <v>1370</v>
      </c>
      <c r="C920" s="185" t="s">
        <v>618</v>
      </c>
      <c r="D920" s="185">
        <v>145.5</v>
      </c>
      <c r="E920" s="186">
        <v>42.8</v>
      </c>
      <c r="F920" s="186">
        <v>17.399999999999999</v>
      </c>
      <c r="G920" s="186">
        <v>15.9</v>
      </c>
      <c r="H920" s="190">
        <v>0.96</v>
      </c>
      <c r="I920" s="187">
        <v>1.73</v>
      </c>
      <c r="J920" s="188">
        <v>2.52</v>
      </c>
      <c r="K920" s="188">
        <v>4.5999999999999996</v>
      </c>
      <c r="L920" s="185" t="s">
        <v>8</v>
      </c>
      <c r="M920" s="189">
        <v>1060</v>
      </c>
      <c r="N920" s="189">
        <v>140</v>
      </c>
      <c r="O920" s="186">
        <v>78.3</v>
      </c>
      <c r="P920" s="187">
        <v>4.96</v>
      </c>
      <c r="Q920" s="189">
        <v>581</v>
      </c>
      <c r="R920" s="189">
        <v>113</v>
      </c>
      <c r="S920" s="186">
        <v>73.099999999999994</v>
      </c>
      <c r="T920" s="187">
        <v>3.68</v>
      </c>
      <c r="U920" s="192">
        <v>32.5</v>
      </c>
      <c r="V920" s="185">
        <v>256</v>
      </c>
      <c r="W920" s="185" t="s">
        <v>8</v>
      </c>
      <c r="X920" s="185" t="s">
        <v>8</v>
      </c>
      <c r="Y920" s="187">
        <v>6.9</v>
      </c>
      <c r="Z920" s="190">
        <v>0.80200000000000005</v>
      </c>
      <c r="AA920" s="14" t="str">
        <f t="shared" si="50"/>
        <v>WT</v>
      </c>
      <c r="AB920" s="14">
        <v>3.93</v>
      </c>
      <c r="AC920" s="14">
        <v>1.35</v>
      </c>
    </row>
    <row r="921" spans="1:29" s="198" customFormat="1" ht="15" x14ac:dyDescent="0.25">
      <c r="A921" s="185" t="s">
        <v>1313</v>
      </c>
      <c r="B921" s="185" t="s">
        <v>1371</v>
      </c>
      <c r="C921" s="185" t="s">
        <v>618</v>
      </c>
      <c r="D921" s="185">
        <v>131.5</v>
      </c>
      <c r="E921" s="186">
        <v>38.700000000000003</v>
      </c>
      <c r="F921" s="186">
        <v>17.3</v>
      </c>
      <c r="G921" s="186">
        <v>15.8</v>
      </c>
      <c r="H921" s="190">
        <v>0.87</v>
      </c>
      <c r="I921" s="187">
        <v>1.57</v>
      </c>
      <c r="J921" s="188">
        <v>2.36</v>
      </c>
      <c r="K921" s="188">
        <v>5.03</v>
      </c>
      <c r="L921" s="185" t="s">
        <v>8</v>
      </c>
      <c r="M921" s="189">
        <v>943</v>
      </c>
      <c r="N921" s="189">
        <v>125</v>
      </c>
      <c r="O921" s="186">
        <v>70.2</v>
      </c>
      <c r="P921" s="187">
        <v>4.93</v>
      </c>
      <c r="Q921" s="189">
        <v>517</v>
      </c>
      <c r="R921" s="189">
        <v>101</v>
      </c>
      <c r="S921" s="186">
        <v>65.5</v>
      </c>
      <c r="T921" s="187">
        <v>3.65</v>
      </c>
      <c r="U921" s="192">
        <v>24.3</v>
      </c>
      <c r="V921" s="185">
        <v>188</v>
      </c>
      <c r="W921" s="185" t="s">
        <v>8</v>
      </c>
      <c r="X921" s="185" t="s">
        <v>8</v>
      </c>
      <c r="Y921" s="187">
        <v>6.86</v>
      </c>
      <c r="Z921" s="190">
        <v>0.80200000000000005</v>
      </c>
      <c r="AA921" s="14" t="str">
        <f t="shared" si="50"/>
        <v>WT</v>
      </c>
      <c r="AB921" s="14">
        <v>3.83</v>
      </c>
      <c r="AC921" s="14">
        <v>1.23</v>
      </c>
    </row>
    <row r="922" spans="1:29" s="198" customFormat="1" ht="15" x14ac:dyDescent="0.25">
      <c r="A922" s="185" t="s">
        <v>1313</v>
      </c>
      <c r="B922" s="185" t="s">
        <v>1372</v>
      </c>
      <c r="C922" s="185" t="s">
        <v>618</v>
      </c>
      <c r="D922" s="185">
        <v>120.5</v>
      </c>
      <c r="E922" s="186">
        <v>35.6</v>
      </c>
      <c r="F922" s="186">
        <v>17.100000000000001</v>
      </c>
      <c r="G922" s="186">
        <v>15.9</v>
      </c>
      <c r="H922" s="190">
        <v>0.83</v>
      </c>
      <c r="I922" s="187">
        <v>1.4</v>
      </c>
      <c r="J922" s="188">
        <v>2.19</v>
      </c>
      <c r="K922" s="188">
        <v>5.66</v>
      </c>
      <c r="L922" s="185" t="s">
        <v>8</v>
      </c>
      <c r="M922" s="189">
        <v>872</v>
      </c>
      <c r="N922" s="189">
        <v>116</v>
      </c>
      <c r="O922" s="186">
        <v>65.8</v>
      </c>
      <c r="P922" s="187">
        <v>4.96</v>
      </c>
      <c r="Q922" s="189">
        <v>466</v>
      </c>
      <c r="R922" s="192">
        <v>90.8</v>
      </c>
      <c r="S922" s="186">
        <v>58.8</v>
      </c>
      <c r="T922" s="187">
        <v>3.62</v>
      </c>
      <c r="U922" s="192">
        <v>18</v>
      </c>
      <c r="V922" s="185">
        <v>146</v>
      </c>
      <c r="W922" s="185" t="s">
        <v>8</v>
      </c>
      <c r="X922" s="185" t="s">
        <v>8</v>
      </c>
      <c r="Y922" s="187">
        <v>6.9</v>
      </c>
      <c r="Z922" s="190">
        <v>0.79200000000000004</v>
      </c>
      <c r="AA922" s="14" t="str">
        <f t="shared" si="50"/>
        <v>WT</v>
      </c>
      <c r="AB922" s="14">
        <v>3.84</v>
      </c>
      <c r="AC922" s="14">
        <v>1.1200000000000001</v>
      </c>
    </row>
    <row r="923" spans="1:29" s="198" customFormat="1" ht="15" x14ac:dyDescent="0.25">
      <c r="A923" s="185" t="s">
        <v>1313</v>
      </c>
      <c r="B923" s="185" t="s">
        <v>1373</v>
      </c>
      <c r="C923" s="185" t="s">
        <v>618</v>
      </c>
      <c r="D923" s="185">
        <v>110.5</v>
      </c>
      <c r="E923" s="186">
        <v>32.6</v>
      </c>
      <c r="F923" s="186">
        <v>17</v>
      </c>
      <c r="G923" s="186">
        <v>15.8</v>
      </c>
      <c r="H923" s="190">
        <v>0.77500000000000002</v>
      </c>
      <c r="I923" s="187">
        <v>1.28</v>
      </c>
      <c r="J923" s="188">
        <v>2.06</v>
      </c>
      <c r="K923" s="188">
        <v>6.2</v>
      </c>
      <c r="L923" s="185" t="s">
        <v>8</v>
      </c>
      <c r="M923" s="189">
        <v>799</v>
      </c>
      <c r="N923" s="189">
        <v>107</v>
      </c>
      <c r="O923" s="186">
        <v>60.8</v>
      </c>
      <c r="P923" s="187">
        <v>4.95</v>
      </c>
      <c r="Q923" s="189">
        <v>420</v>
      </c>
      <c r="R923" s="192">
        <v>82.1</v>
      </c>
      <c r="S923" s="186">
        <v>53.2</v>
      </c>
      <c r="T923" s="187">
        <v>3.59</v>
      </c>
      <c r="U923" s="192">
        <v>13.9</v>
      </c>
      <c r="V923" s="185">
        <v>113</v>
      </c>
      <c r="W923" s="185" t="s">
        <v>8</v>
      </c>
      <c r="X923" s="185" t="s">
        <v>8</v>
      </c>
      <c r="Y923" s="187">
        <v>6.89</v>
      </c>
      <c r="Z923" s="190">
        <v>0.78800000000000003</v>
      </c>
      <c r="AA923" s="14" t="str">
        <f t="shared" si="50"/>
        <v>WT</v>
      </c>
      <c r="AB923" s="14">
        <v>3.81</v>
      </c>
      <c r="AC923" s="14">
        <v>1.03</v>
      </c>
    </row>
    <row r="924" spans="1:29" s="198" customFormat="1" ht="15" x14ac:dyDescent="0.25">
      <c r="A924" s="185" t="s">
        <v>1313</v>
      </c>
      <c r="B924" s="185" t="s">
        <v>1374</v>
      </c>
      <c r="C924" s="185" t="s">
        <v>618</v>
      </c>
      <c r="D924" s="185">
        <v>100.5</v>
      </c>
      <c r="E924" s="186">
        <v>29.7</v>
      </c>
      <c r="F924" s="186">
        <v>16.8</v>
      </c>
      <c r="G924" s="186">
        <v>15.7</v>
      </c>
      <c r="H924" s="190">
        <v>0.71499999999999997</v>
      </c>
      <c r="I924" s="187">
        <v>1.1499999999999999</v>
      </c>
      <c r="J924" s="188">
        <v>1.94</v>
      </c>
      <c r="K924" s="188">
        <v>6.85</v>
      </c>
      <c r="L924" s="185" t="s">
        <v>8</v>
      </c>
      <c r="M924" s="189">
        <v>725</v>
      </c>
      <c r="N924" s="192">
        <v>97.8</v>
      </c>
      <c r="O924" s="186">
        <v>55.5</v>
      </c>
      <c r="P924" s="187">
        <v>4.95</v>
      </c>
      <c r="Q924" s="189">
        <v>375</v>
      </c>
      <c r="R924" s="192">
        <v>73.3</v>
      </c>
      <c r="S924" s="186">
        <v>47.6</v>
      </c>
      <c r="T924" s="187">
        <v>3.56</v>
      </c>
      <c r="U924" s="192">
        <v>10.4</v>
      </c>
      <c r="V924" s="186">
        <v>84.9</v>
      </c>
      <c r="W924" s="185" t="s">
        <v>8</v>
      </c>
      <c r="X924" s="185" t="s">
        <v>8</v>
      </c>
      <c r="Y924" s="187">
        <v>6.88</v>
      </c>
      <c r="Z924" s="190">
        <v>0.78400000000000003</v>
      </c>
      <c r="AA924" s="14" t="str">
        <f t="shared" si="50"/>
        <v>WT</v>
      </c>
      <c r="AB924" s="14">
        <v>3.77</v>
      </c>
      <c r="AC924" s="14">
        <v>0.94</v>
      </c>
    </row>
    <row r="925" spans="1:29" s="198" customFormat="1" ht="15" x14ac:dyDescent="0.25">
      <c r="A925" s="185" t="s">
        <v>1313</v>
      </c>
      <c r="B925" s="185" t="s">
        <v>1375</v>
      </c>
      <c r="C925" s="185" t="s">
        <v>618</v>
      </c>
      <c r="D925" s="186">
        <v>84.5</v>
      </c>
      <c r="E925" s="186">
        <v>24.7</v>
      </c>
      <c r="F925" s="186">
        <v>16.899999999999999</v>
      </c>
      <c r="G925" s="186">
        <v>11.5</v>
      </c>
      <c r="H925" s="190">
        <v>0.67</v>
      </c>
      <c r="I925" s="187">
        <v>1.22</v>
      </c>
      <c r="J925" s="188">
        <v>1.92</v>
      </c>
      <c r="K925" s="188">
        <v>4.71</v>
      </c>
      <c r="L925" s="185" t="s">
        <v>8</v>
      </c>
      <c r="M925" s="189">
        <v>649</v>
      </c>
      <c r="N925" s="192">
        <v>90.8</v>
      </c>
      <c r="O925" s="186">
        <v>51.1</v>
      </c>
      <c r="P925" s="187">
        <v>5.12</v>
      </c>
      <c r="Q925" s="189">
        <v>155</v>
      </c>
      <c r="R925" s="192">
        <v>42.1</v>
      </c>
      <c r="S925" s="186">
        <v>27</v>
      </c>
      <c r="T925" s="187">
        <v>2.5</v>
      </c>
      <c r="U925" s="188">
        <v>8.81</v>
      </c>
      <c r="V925" s="186">
        <v>55.4</v>
      </c>
      <c r="W925" s="185" t="s">
        <v>8</v>
      </c>
      <c r="X925" s="185" t="s">
        <v>8</v>
      </c>
      <c r="Y925" s="187">
        <v>6.74</v>
      </c>
      <c r="Z925" s="190">
        <v>0.71499999999999997</v>
      </c>
      <c r="AA925" s="14" t="str">
        <f t="shared" si="50"/>
        <v>WT</v>
      </c>
      <c r="AB925" s="14">
        <v>4.21</v>
      </c>
      <c r="AC925" s="14">
        <v>1.08</v>
      </c>
    </row>
    <row r="926" spans="1:29" s="198" customFormat="1" ht="15" x14ac:dyDescent="0.25">
      <c r="A926" s="185" t="s">
        <v>1313</v>
      </c>
      <c r="B926" s="185" t="s">
        <v>1376</v>
      </c>
      <c r="C926" s="185" t="s">
        <v>618</v>
      </c>
      <c r="D926" s="186">
        <v>76</v>
      </c>
      <c r="E926" s="186">
        <v>22.5</v>
      </c>
      <c r="F926" s="186">
        <v>16.7</v>
      </c>
      <c r="G926" s="186">
        <v>11.6</v>
      </c>
      <c r="H926" s="190">
        <v>0.63500000000000001</v>
      </c>
      <c r="I926" s="187">
        <v>1.06</v>
      </c>
      <c r="J926" s="188">
        <v>1.76</v>
      </c>
      <c r="K926" s="188">
        <v>5.48</v>
      </c>
      <c r="L926" s="185" t="s">
        <v>8</v>
      </c>
      <c r="M926" s="189">
        <v>592</v>
      </c>
      <c r="N926" s="192">
        <v>84.5</v>
      </c>
      <c r="O926" s="186">
        <v>47.4</v>
      </c>
      <c r="P926" s="187">
        <v>5.14</v>
      </c>
      <c r="Q926" s="189">
        <v>136</v>
      </c>
      <c r="R926" s="192">
        <v>36.9</v>
      </c>
      <c r="S926" s="186">
        <v>23.6</v>
      </c>
      <c r="T926" s="187">
        <v>2.4700000000000002</v>
      </c>
      <c r="U926" s="188">
        <v>6.16</v>
      </c>
      <c r="V926" s="186">
        <v>43</v>
      </c>
      <c r="W926" s="185" t="s">
        <v>8</v>
      </c>
      <c r="X926" s="185" t="s">
        <v>8</v>
      </c>
      <c r="Y926" s="187">
        <v>6.82</v>
      </c>
      <c r="Z926" s="190">
        <v>0.7</v>
      </c>
      <c r="AA926" s="14" t="str">
        <f t="shared" si="50"/>
        <v>WT</v>
      </c>
      <c r="AB926" s="14">
        <v>4.26</v>
      </c>
      <c r="AC926" s="14">
        <v>0.96699999999999997</v>
      </c>
    </row>
    <row r="927" spans="1:29" s="198" customFormat="1" ht="15" x14ac:dyDescent="0.25">
      <c r="A927" s="185" t="s">
        <v>1313</v>
      </c>
      <c r="B927" s="185" t="s">
        <v>1377</v>
      </c>
      <c r="C927" s="185" t="s">
        <v>618</v>
      </c>
      <c r="D927" s="186">
        <v>70.5</v>
      </c>
      <c r="E927" s="186">
        <v>20.7</v>
      </c>
      <c r="F927" s="186">
        <v>16.7</v>
      </c>
      <c r="G927" s="186">
        <v>11.5</v>
      </c>
      <c r="H927" s="190">
        <v>0.60499999999999998</v>
      </c>
      <c r="I927" s="190">
        <v>0.96</v>
      </c>
      <c r="J927" s="188">
        <v>1.66</v>
      </c>
      <c r="K927" s="188">
        <v>6.01</v>
      </c>
      <c r="L927" s="185" t="s">
        <v>8</v>
      </c>
      <c r="M927" s="189">
        <v>552</v>
      </c>
      <c r="N927" s="192">
        <v>79.8</v>
      </c>
      <c r="O927" s="186">
        <v>44.7</v>
      </c>
      <c r="P927" s="187">
        <v>5.15</v>
      </c>
      <c r="Q927" s="189">
        <v>123</v>
      </c>
      <c r="R927" s="192">
        <v>33.4</v>
      </c>
      <c r="S927" s="186">
        <v>21.3</v>
      </c>
      <c r="T927" s="187">
        <v>2.4300000000000002</v>
      </c>
      <c r="U927" s="188">
        <v>4.84</v>
      </c>
      <c r="V927" s="186">
        <v>35.4</v>
      </c>
      <c r="W927" s="185" t="s">
        <v>8</v>
      </c>
      <c r="X927" s="185" t="s">
        <v>8</v>
      </c>
      <c r="Y927" s="187">
        <v>6.86</v>
      </c>
      <c r="Z927" s="190">
        <v>0.69099999999999995</v>
      </c>
      <c r="AA927" s="14" t="str">
        <f t="shared" si="50"/>
        <v>WT</v>
      </c>
      <c r="AB927" s="14">
        <v>4.29</v>
      </c>
      <c r="AC927" s="14">
        <v>0.90100000000000002</v>
      </c>
    </row>
    <row r="928" spans="1:29" s="198" customFormat="1" ht="15" x14ac:dyDescent="0.25">
      <c r="A928" s="185" t="s">
        <v>1313</v>
      </c>
      <c r="B928" s="185" t="s">
        <v>1378</v>
      </c>
      <c r="C928" s="185" t="s">
        <v>618</v>
      </c>
      <c r="D928" s="186">
        <v>65</v>
      </c>
      <c r="E928" s="186">
        <v>19.100000000000001</v>
      </c>
      <c r="F928" s="186">
        <v>16.5</v>
      </c>
      <c r="G928" s="186">
        <v>11.5</v>
      </c>
      <c r="H928" s="190">
        <v>0.57999999999999996</v>
      </c>
      <c r="I928" s="190">
        <v>0.85499999999999998</v>
      </c>
      <c r="J928" s="188">
        <v>1.56</v>
      </c>
      <c r="K928" s="188">
        <v>6.73</v>
      </c>
      <c r="L928" s="185" t="s">
        <v>8</v>
      </c>
      <c r="M928" s="189">
        <v>513</v>
      </c>
      <c r="N928" s="192">
        <v>75.599999999999994</v>
      </c>
      <c r="O928" s="186">
        <v>42.1</v>
      </c>
      <c r="P928" s="187">
        <v>5.18</v>
      </c>
      <c r="Q928" s="189">
        <v>109</v>
      </c>
      <c r="R928" s="192">
        <v>29.7</v>
      </c>
      <c r="S928" s="186">
        <v>18.899999999999999</v>
      </c>
      <c r="T928" s="187">
        <v>2.38</v>
      </c>
      <c r="U928" s="188">
        <v>3.67</v>
      </c>
      <c r="V928" s="186">
        <v>29.3</v>
      </c>
      <c r="W928" s="185" t="s">
        <v>8</v>
      </c>
      <c r="X928" s="185" t="s">
        <v>8</v>
      </c>
      <c r="Y928" s="187">
        <v>6.93</v>
      </c>
      <c r="Z928" s="190">
        <v>0.67700000000000005</v>
      </c>
      <c r="AA928" s="14" t="str">
        <f t="shared" si="50"/>
        <v>WT</v>
      </c>
      <c r="AB928" s="14">
        <v>4.3600000000000003</v>
      </c>
      <c r="AC928" s="14">
        <v>0.83199999999999996</v>
      </c>
    </row>
    <row r="929" spans="1:29" s="198" customFormat="1" ht="15" x14ac:dyDescent="0.25">
      <c r="A929" s="185" t="s">
        <v>1313</v>
      </c>
      <c r="B929" s="185" t="s">
        <v>1379</v>
      </c>
      <c r="C929" s="185" t="s">
        <v>618</v>
      </c>
      <c r="D929" s="186">
        <v>59</v>
      </c>
      <c r="E929" s="186">
        <v>17.399999999999999</v>
      </c>
      <c r="F929" s="186">
        <v>16.399999999999999</v>
      </c>
      <c r="G929" s="186">
        <v>11.5</v>
      </c>
      <c r="H929" s="190">
        <v>0.55000000000000004</v>
      </c>
      <c r="I929" s="190">
        <v>0.74</v>
      </c>
      <c r="J929" s="188">
        <v>1.44</v>
      </c>
      <c r="K929" s="188">
        <v>7.76</v>
      </c>
      <c r="L929" s="185" t="s">
        <v>8</v>
      </c>
      <c r="M929" s="189">
        <v>469</v>
      </c>
      <c r="N929" s="192">
        <v>70.8</v>
      </c>
      <c r="O929" s="186">
        <v>39.200000000000003</v>
      </c>
      <c r="P929" s="187">
        <v>5.2</v>
      </c>
      <c r="Q929" s="192">
        <v>93.5</v>
      </c>
      <c r="R929" s="192">
        <v>25.6</v>
      </c>
      <c r="S929" s="186">
        <v>16.3</v>
      </c>
      <c r="T929" s="187">
        <v>2.3199999999999998</v>
      </c>
      <c r="U929" s="188">
        <v>2.64</v>
      </c>
      <c r="V929" s="186">
        <v>23.4</v>
      </c>
      <c r="W929" s="185" t="s">
        <v>8</v>
      </c>
      <c r="X929" s="185" t="s">
        <v>8</v>
      </c>
      <c r="Y929" s="187">
        <v>7.02</v>
      </c>
      <c r="Z929" s="190">
        <v>0.65900000000000003</v>
      </c>
      <c r="AA929" s="14" t="str">
        <f t="shared" si="50"/>
        <v>WT</v>
      </c>
      <c r="AB929" s="14">
        <v>4.47</v>
      </c>
      <c r="AC929" s="14">
        <v>0.86199999999999999</v>
      </c>
    </row>
    <row r="930" spans="1:29" s="198" customFormat="1" ht="15" x14ac:dyDescent="0.25">
      <c r="A930" s="185" t="s">
        <v>1313</v>
      </c>
      <c r="B930" s="185" t="s">
        <v>1380</v>
      </c>
      <c r="C930" s="185" t="s">
        <v>618</v>
      </c>
      <c r="D930" s="185">
        <v>195.5</v>
      </c>
      <c r="E930" s="186">
        <v>57.6</v>
      </c>
      <c r="F930" s="186">
        <v>16.600000000000001</v>
      </c>
      <c r="G930" s="186">
        <v>15.6</v>
      </c>
      <c r="H930" s="187">
        <v>1.36</v>
      </c>
      <c r="I930" s="187">
        <v>2.44</v>
      </c>
      <c r="J930" s="188">
        <v>3.23</v>
      </c>
      <c r="K930" s="188">
        <v>3.19</v>
      </c>
      <c r="L930" s="185" t="s">
        <v>8</v>
      </c>
      <c r="M930" s="189">
        <v>1220</v>
      </c>
      <c r="N930" s="189">
        <v>177</v>
      </c>
      <c r="O930" s="186">
        <v>96.9</v>
      </c>
      <c r="P930" s="187">
        <v>4.6100000000000003</v>
      </c>
      <c r="Q930" s="189">
        <v>774</v>
      </c>
      <c r="R930" s="189">
        <v>155</v>
      </c>
      <c r="S930" s="186">
        <v>99.2</v>
      </c>
      <c r="T930" s="187">
        <v>3.67</v>
      </c>
      <c r="U930" s="192">
        <v>86.3</v>
      </c>
      <c r="V930" s="185">
        <v>636</v>
      </c>
      <c r="W930" s="185" t="s">
        <v>8</v>
      </c>
      <c r="X930" s="185" t="s">
        <v>8</v>
      </c>
      <c r="Y930" s="187">
        <v>6.51</v>
      </c>
      <c r="Z930" s="190">
        <v>0.81699999999999995</v>
      </c>
      <c r="AA930" s="14" t="str">
        <f t="shared" si="50"/>
        <v>WT</v>
      </c>
      <c r="AB930" s="14">
        <v>4</v>
      </c>
      <c r="AC930" s="14">
        <v>1.85</v>
      </c>
    </row>
    <row r="931" spans="1:29" s="198" customFormat="1" ht="15" x14ac:dyDescent="0.25">
      <c r="A931" s="185" t="s">
        <v>1313</v>
      </c>
      <c r="B931" s="185" t="s">
        <v>1381</v>
      </c>
      <c r="C931" s="185" t="s">
        <v>618</v>
      </c>
      <c r="D931" s="185">
        <v>178.5</v>
      </c>
      <c r="E931" s="186">
        <v>52.5</v>
      </c>
      <c r="F931" s="186">
        <v>16.399999999999999</v>
      </c>
      <c r="G931" s="186">
        <v>15.5</v>
      </c>
      <c r="H931" s="187">
        <v>1.24</v>
      </c>
      <c r="I931" s="187">
        <v>2.2400000000000002</v>
      </c>
      <c r="J931" s="188">
        <v>3.03</v>
      </c>
      <c r="K931" s="188">
        <v>3.45</v>
      </c>
      <c r="L931" s="185" t="s">
        <v>8</v>
      </c>
      <c r="M931" s="189">
        <v>1090</v>
      </c>
      <c r="N931" s="189">
        <v>159</v>
      </c>
      <c r="O931" s="186">
        <v>87.2</v>
      </c>
      <c r="P931" s="187">
        <v>4.5599999999999996</v>
      </c>
      <c r="Q931" s="189">
        <v>693</v>
      </c>
      <c r="R931" s="189">
        <v>140</v>
      </c>
      <c r="S931" s="186">
        <v>89.6</v>
      </c>
      <c r="T931" s="187">
        <v>3.64</v>
      </c>
      <c r="U931" s="192">
        <v>66.599999999999994</v>
      </c>
      <c r="V931" s="185">
        <v>478</v>
      </c>
      <c r="W931" s="185" t="s">
        <v>8</v>
      </c>
      <c r="X931" s="185" t="s">
        <v>8</v>
      </c>
      <c r="Y931" s="187">
        <v>6.45</v>
      </c>
      <c r="Z931" s="190">
        <v>0.81799999999999995</v>
      </c>
      <c r="AA931" s="14" t="str">
        <f t="shared" si="50"/>
        <v>WT</v>
      </c>
      <c r="AB931" s="14">
        <v>3.87</v>
      </c>
      <c r="AC931" s="14">
        <v>1.7</v>
      </c>
    </row>
    <row r="932" spans="1:29" s="198" customFormat="1" ht="15" x14ac:dyDescent="0.25">
      <c r="A932" s="185" t="s">
        <v>1313</v>
      </c>
      <c r="B932" s="185" t="s">
        <v>1382</v>
      </c>
      <c r="C932" s="185" t="s">
        <v>618</v>
      </c>
      <c r="D932" s="185">
        <v>163</v>
      </c>
      <c r="E932" s="186">
        <v>48</v>
      </c>
      <c r="F932" s="186">
        <v>16.2</v>
      </c>
      <c r="G932" s="186">
        <v>15.4</v>
      </c>
      <c r="H932" s="187">
        <v>1.1399999999999999</v>
      </c>
      <c r="I932" s="187">
        <v>2.0499999999999998</v>
      </c>
      <c r="J932" s="188">
        <v>2.84</v>
      </c>
      <c r="K932" s="188">
        <v>3.75</v>
      </c>
      <c r="L932" s="185" t="s">
        <v>8</v>
      </c>
      <c r="M932" s="189">
        <v>981</v>
      </c>
      <c r="N932" s="189">
        <v>143</v>
      </c>
      <c r="O932" s="186">
        <v>78.8</v>
      </c>
      <c r="P932" s="187">
        <v>4.5199999999999996</v>
      </c>
      <c r="Q932" s="189">
        <v>622</v>
      </c>
      <c r="R932" s="189">
        <v>126</v>
      </c>
      <c r="S932" s="186">
        <v>81</v>
      </c>
      <c r="T932" s="187">
        <v>3.6</v>
      </c>
      <c r="U932" s="192">
        <v>51.2</v>
      </c>
      <c r="V932" s="185">
        <v>361</v>
      </c>
      <c r="W932" s="185" t="s">
        <v>8</v>
      </c>
      <c r="X932" s="185" t="s">
        <v>8</v>
      </c>
      <c r="Y932" s="187">
        <v>6.4</v>
      </c>
      <c r="Z932" s="190">
        <v>0.81699999999999995</v>
      </c>
      <c r="AA932" s="14" t="str">
        <f t="shared" si="50"/>
        <v>WT</v>
      </c>
      <c r="AB932" s="14">
        <v>3.76</v>
      </c>
      <c r="AC932" s="14">
        <v>1.56</v>
      </c>
    </row>
    <row r="933" spans="1:29" s="198" customFormat="1" ht="15" x14ac:dyDescent="0.25">
      <c r="A933" s="185" t="s">
        <v>1313</v>
      </c>
      <c r="B933" s="185" t="s">
        <v>1383</v>
      </c>
      <c r="C933" s="185" t="s">
        <v>618</v>
      </c>
      <c r="D933" s="185">
        <v>146</v>
      </c>
      <c r="E933" s="186">
        <v>43</v>
      </c>
      <c r="F933" s="186">
        <v>16</v>
      </c>
      <c r="G933" s="186">
        <v>15.3</v>
      </c>
      <c r="H933" s="187">
        <v>1.02</v>
      </c>
      <c r="I933" s="187">
        <v>1.85</v>
      </c>
      <c r="J933" s="188">
        <v>2.64</v>
      </c>
      <c r="K933" s="188">
        <v>4.12</v>
      </c>
      <c r="L933" s="185" t="s">
        <v>8</v>
      </c>
      <c r="M933" s="189">
        <v>861</v>
      </c>
      <c r="N933" s="189">
        <v>125</v>
      </c>
      <c r="O933" s="186">
        <v>69.599999999999994</v>
      </c>
      <c r="P933" s="187">
        <v>4.4800000000000004</v>
      </c>
      <c r="Q933" s="189">
        <v>549</v>
      </c>
      <c r="R933" s="189">
        <v>111</v>
      </c>
      <c r="S933" s="186">
        <v>71.900000000000006</v>
      </c>
      <c r="T933" s="187">
        <v>3.58</v>
      </c>
      <c r="U933" s="192">
        <v>37.5</v>
      </c>
      <c r="V933" s="185">
        <v>257</v>
      </c>
      <c r="W933" s="185" t="s">
        <v>8</v>
      </c>
      <c r="X933" s="185" t="s">
        <v>8</v>
      </c>
      <c r="Y933" s="187">
        <v>6.33</v>
      </c>
      <c r="Z933" s="190">
        <v>0.81899999999999995</v>
      </c>
      <c r="AA933" s="14" t="str">
        <f t="shared" si="50"/>
        <v>WT</v>
      </c>
      <c r="AB933" s="14">
        <v>3.62</v>
      </c>
      <c r="AC933" s="14">
        <v>1.41</v>
      </c>
    </row>
    <row r="934" spans="1:29" s="198" customFormat="1" ht="15" x14ac:dyDescent="0.25">
      <c r="A934" s="185" t="s">
        <v>1313</v>
      </c>
      <c r="B934" s="185" t="s">
        <v>1384</v>
      </c>
      <c r="C934" s="185" t="s">
        <v>618</v>
      </c>
      <c r="D934" s="185">
        <v>130.5</v>
      </c>
      <c r="E934" s="186">
        <v>38.5</v>
      </c>
      <c r="F934" s="186">
        <v>15.8</v>
      </c>
      <c r="G934" s="186">
        <v>15.2</v>
      </c>
      <c r="H934" s="190">
        <v>0.93</v>
      </c>
      <c r="I934" s="187">
        <v>1.65</v>
      </c>
      <c r="J934" s="188">
        <v>2.44</v>
      </c>
      <c r="K934" s="188">
        <v>4.59</v>
      </c>
      <c r="L934" s="185" t="s">
        <v>8</v>
      </c>
      <c r="M934" s="189">
        <v>765</v>
      </c>
      <c r="N934" s="189">
        <v>112</v>
      </c>
      <c r="O934" s="186">
        <v>62.4</v>
      </c>
      <c r="P934" s="187">
        <v>4.46</v>
      </c>
      <c r="Q934" s="189">
        <v>480</v>
      </c>
      <c r="R934" s="192">
        <v>97.9</v>
      </c>
      <c r="S934" s="186">
        <v>63.3</v>
      </c>
      <c r="T934" s="187">
        <v>3.53</v>
      </c>
      <c r="U934" s="192">
        <v>26.9</v>
      </c>
      <c r="V934" s="185">
        <v>184</v>
      </c>
      <c r="W934" s="185" t="s">
        <v>8</v>
      </c>
      <c r="X934" s="185" t="s">
        <v>8</v>
      </c>
      <c r="Y934" s="187">
        <v>6.3</v>
      </c>
      <c r="Z934" s="190">
        <v>0.81499999999999995</v>
      </c>
      <c r="AA934" s="14" t="str">
        <f t="shared" si="50"/>
        <v>WT</v>
      </c>
      <c r="AB934" s="14">
        <v>3.54</v>
      </c>
      <c r="AC934" s="14">
        <v>1.27</v>
      </c>
    </row>
    <row r="935" spans="1:29" s="198" customFormat="1" ht="15" x14ac:dyDescent="0.25">
      <c r="A935" s="185" t="s">
        <v>1313</v>
      </c>
      <c r="B935" s="185" t="s">
        <v>1385</v>
      </c>
      <c r="C935" s="185" t="s">
        <v>618</v>
      </c>
      <c r="D935" s="185">
        <v>117.5</v>
      </c>
      <c r="E935" s="186">
        <v>34.700000000000003</v>
      </c>
      <c r="F935" s="186">
        <v>15.7</v>
      </c>
      <c r="G935" s="186">
        <v>15.1</v>
      </c>
      <c r="H935" s="190">
        <v>0.83</v>
      </c>
      <c r="I935" s="187">
        <v>1.5</v>
      </c>
      <c r="J935" s="188">
        <v>2.29</v>
      </c>
      <c r="K935" s="188">
        <v>5.0199999999999996</v>
      </c>
      <c r="L935" s="185" t="s">
        <v>8</v>
      </c>
      <c r="M935" s="189">
        <v>674</v>
      </c>
      <c r="N935" s="192">
        <v>98.2</v>
      </c>
      <c r="O935" s="186">
        <v>55.1</v>
      </c>
      <c r="P935" s="187">
        <v>4.41</v>
      </c>
      <c r="Q935" s="189">
        <v>427</v>
      </c>
      <c r="R935" s="192">
        <v>87.5</v>
      </c>
      <c r="S935" s="186">
        <v>56.8</v>
      </c>
      <c r="T935" s="187">
        <v>3.51</v>
      </c>
      <c r="U935" s="192">
        <v>20.100000000000001</v>
      </c>
      <c r="V935" s="185">
        <v>133</v>
      </c>
      <c r="W935" s="185" t="s">
        <v>8</v>
      </c>
      <c r="X935" s="185" t="s">
        <v>8</v>
      </c>
      <c r="Y935" s="187">
        <v>6.24</v>
      </c>
      <c r="Z935" s="190">
        <v>0.81799999999999995</v>
      </c>
      <c r="AA935" s="14" t="str">
        <f t="shared" si="50"/>
        <v>WT</v>
      </c>
      <c r="AB935" s="14">
        <v>3.41</v>
      </c>
      <c r="AC935" s="14">
        <v>1.1499999999999999</v>
      </c>
    </row>
    <row r="936" spans="1:29" s="198" customFormat="1" ht="15" x14ac:dyDescent="0.25">
      <c r="A936" s="185" t="s">
        <v>1313</v>
      </c>
      <c r="B936" s="185" t="s">
        <v>1386</v>
      </c>
      <c r="C936" s="185" t="s">
        <v>618</v>
      </c>
      <c r="D936" s="185">
        <v>105.5</v>
      </c>
      <c r="E936" s="186">
        <v>31.1</v>
      </c>
      <c r="F936" s="186">
        <v>15.5</v>
      </c>
      <c r="G936" s="186">
        <v>15.1</v>
      </c>
      <c r="H936" s="190">
        <v>0.77500000000000002</v>
      </c>
      <c r="I936" s="187">
        <v>1.32</v>
      </c>
      <c r="J936" s="188">
        <v>2.1</v>
      </c>
      <c r="K936" s="188">
        <v>5.74</v>
      </c>
      <c r="L936" s="185" t="s">
        <v>8</v>
      </c>
      <c r="M936" s="189">
        <v>610</v>
      </c>
      <c r="N936" s="192">
        <v>89.5</v>
      </c>
      <c r="O936" s="186">
        <v>50.5</v>
      </c>
      <c r="P936" s="187">
        <v>4.43</v>
      </c>
      <c r="Q936" s="189">
        <v>378</v>
      </c>
      <c r="R936" s="192">
        <v>77.2</v>
      </c>
      <c r="S936" s="186">
        <v>50.1</v>
      </c>
      <c r="T936" s="187">
        <v>3.49</v>
      </c>
      <c r="U936" s="192">
        <v>14.1</v>
      </c>
      <c r="V936" s="186">
        <v>96.4</v>
      </c>
      <c r="W936" s="185" t="s">
        <v>8</v>
      </c>
      <c r="X936" s="185" t="s">
        <v>8</v>
      </c>
      <c r="Y936" s="187">
        <v>6.27</v>
      </c>
      <c r="Z936" s="190">
        <v>0.80900000000000005</v>
      </c>
      <c r="AA936" s="14" t="str">
        <f t="shared" si="50"/>
        <v>WT</v>
      </c>
      <c r="AB936" s="14">
        <v>3.39</v>
      </c>
      <c r="AC936" s="14">
        <v>1.03</v>
      </c>
    </row>
    <row r="937" spans="1:29" s="198" customFormat="1" ht="15" x14ac:dyDescent="0.25">
      <c r="A937" s="185" t="s">
        <v>1313</v>
      </c>
      <c r="B937" s="185" t="s">
        <v>1387</v>
      </c>
      <c r="C937" s="185" t="s">
        <v>618</v>
      </c>
      <c r="D937" s="186">
        <v>95.5</v>
      </c>
      <c r="E937" s="186">
        <v>28</v>
      </c>
      <c r="F937" s="186">
        <v>15.3</v>
      </c>
      <c r="G937" s="186">
        <v>15</v>
      </c>
      <c r="H937" s="190">
        <v>0.71</v>
      </c>
      <c r="I937" s="187">
        <v>1.19</v>
      </c>
      <c r="J937" s="188">
        <v>1.97</v>
      </c>
      <c r="K937" s="188">
        <v>6.35</v>
      </c>
      <c r="L937" s="185" t="s">
        <v>8</v>
      </c>
      <c r="M937" s="189">
        <v>549</v>
      </c>
      <c r="N937" s="192">
        <v>80.8</v>
      </c>
      <c r="O937" s="186">
        <v>45.7</v>
      </c>
      <c r="P937" s="187">
        <v>4.42</v>
      </c>
      <c r="Q937" s="189">
        <v>336</v>
      </c>
      <c r="R937" s="192">
        <v>68.900000000000006</v>
      </c>
      <c r="S937" s="186">
        <v>44.7</v>
      </c>
      <c r="T937" s="187">
        <v>3.46</v>
      </c>
      <c r="U937" s="192">
        <v>10.5</v>
      </c>
      <c r="V937" s="186">
        <v>71.2</v>
      </c>
      <c r="W937" s="185" t="s">
        <v>8</v>
      </c>
      <c r="X937" s="185" t="s">
        <v>8</v>
      </c>
      <c r="Y937" s="187">
        <v>6.25</v>
      </c>
      <c r="Z937" s="190">
        <v>0.80700000000000005</v>
      </c>
      <c r="AA937" s="14" t="str">
        <f t="shared" si="50"/>
        <v>WT</v>
      </c>
      <c r="AB937" s="14">
        <v>3.34</v>
      </c>
      <c r="AC937" s="14">
        <v>0.93500000000000005</v>
      </c>
    </row>
    <row r="938" spans="1:29" s="198" customFormat="1" ht="15" x14ac:dyDescent="0.25">
      <c r="A938" s="185" t="s">
        <v>1313</v>
      </c>
      <c r="B938" s="185" t="s">
        <v>1388</v>
      </c>
      <c r="C938" s="185" t="s">
        <v>618</v>
      </c>
      <c r="D938" s="186">
        <v>86.5</v>
      </c>
      <c r="E938" s="186">
        <v>25.4</v>
      </c>
      <c r="F938" s="186">
        <v>15.2</v>
      </c>
      <c r="G938" s="186">
        <v>15</v>
      </c>
      <c r="H938" s="190">
        <v>0.65500000000000003</v>
      </c>
      <c r="I938" s="187">
        <v>1.07</v>
      </c>
      <c r="J938" s="188">
        <v>1.85</v>
      </c>
      <c r="K938" s="188">
        <v>7.04</v>
      </c>
      <c r="L938" s="185" t="s">
        <v>8</v>
      </c>
      <c r="M938" s="189">
        <v>497</v>
      </c>
      <c r="N938" s="192">
        <v>73.5</v>
      </c>
      <c r="O938" s="186">
        <v>41.7</v>
      </c>
      <c r="P938" s="187">
        <v>4.42</v>
      </c>
      <c r="Q938" s="189">
        <v>299</v>
      </c>
      <c r="R938" s="192">
        <v>61.4</v>
      </c>
      <c r="S938" s="186">
        <v>39.9</v>
      </c>
      <c r="T938" s="187">
        <v>3.42</v>
      </c>
      <c r="U938" s="188">
        <v>7.78</v>
      </c>
      <c r="V938" s="186">
        <v>53</v>
      </c>
      <c r="W938" s="185" t="s">
        <v>8</v>
      </c>
      <c r="X938" s="185" t="s">
        <v>8</v>
      </c>
      <c r="Y938" s="187">
        <v>6.24</v>
      </c>
      <c r="Z938" s="190">
        <v>0.80200000000000005</v>
      </c>
      <c r="AA938" s="14" t="str">
        <f t="shared" si="50"/>
        <v>WT</v>
      </c>
      <c r="AB938" s="14">
        <v>3.31</v>
      </c>
      <c r="AC938" s="14">
        <v>0.85099999999999998</v>
      </c>
    </row>
    <row r="939" spans="1:29" s="198" customFormat="1" ht="15" x14ac:dyDescent="0.25">
      <c r="A939" s="185" t="s">
        <v>1313</v>
      </c>
      <c r="B939" s="185" t="s">
        <v>1389</v>
      </c>
      <c r="C939" s="185" t="s">
        <v>618</v>
      </c>
      <c r="D939" s="186">
        <v>74</v>
      </c>
      <c r="E939" s="186">
        <v>21.8</v>
      </c>
      <c r="F939" s="186">
        <v>15.3</v>
      </c>
      <c r="G939" s="186">
        <v>10.5</v>
      </c>
      <c r="H939" s="190">
        <v>0.65</v>
      </c>
      <c r="I939" s="187">
        <v>1.18</v>
      </c>
      <c r="J939" s="188">
        <v>1.83</v>
      </c>
      <c r="K939" s="188">
        <v>4.4400000000000004</v>
      </c>
      <c r="L939" s="185" t="s">
        <v>8</v>
      </c>
      <c r="M939" s="189">
        <v>466</v>
      </c>
      <c r="N939" s="192">
        <v>72.2</v>
      </c>
      <c r="O939" s="186">
        <v>40.6</v>
      </c>
      <c r="P939" s="187">
        <v>4.63</v>
      </c>
      <c r="Q939" s="189">
        <v>114</v>
      </c>
      <c r="R939" s="192">
        <v>33.9</v>
      </c>
      <c r="S939" s="186">
        <v>21.7</v>
      </c>
      <c r="T939" s="187">
        <v>2.2799999999999998</v>
      </c>
      <c r="U939" s="188">
        <v>7.24</v>
      </c>
      <c r="V939" s="186">
        <v>37.6</v>
      </c>
      <c r="W939" s="185" t="s">
        <v>8</v>
      </c>
      <c r="X939" s="185" t="s">
        <v>8</v>
      </c>
      <c r="Y939" s="187">
        <v>6.1</v>
      </c>
      <c r="Z939" s="190">
        <v>0.71599999999999997</v>
      </c>
      <c r="AA939" s="14" t="str">
        <f t="shared" si="50"/>
        <v>WT</v>
      </c>
      <c r="AB939" s="14">
        <v>3.84</v>
      </c>
      <c r="AC939" s="14">
        <v>1.04</v>
      </c>
    </row>
    <row r="940" spans="1:29" s="198" customFormat="1" ht="15" x14ac:dyDescent="0.25">
      <c r="A940" s="185" t="s">
        <v>1313</v>
      </c>
      <c r="B940" s="185" t="s">
        <v>1390</v>
      </c>
      <c r="C940" s="185" t="s">
        <v>618</v>
      </c>
      <c r="D940" s="186">
        <v>66</v>
      </c>
      <c r="E940" s="186">
        <v>19.5</v>
      </c>
      <c r="F940" s="186">
        <v>15.2</v>
      </c>
      <c r="G940" s="186">
        <v>10.5</v>
      </c>
      <c r="H940" s="190">
        <v>0.61499999999999999</v>
      </c>
      <c r="I940" s="187">
        <v>1</v>
      </c>
      <c r="J940" s="188">
        <v>1.65</v>
      </c>
      <c r="K940" s="188">
        <v>5.27</v>
      </c>
      <c r="L940" s="185" t="s">
        <v>8</v>
      </c>
      <c r="M940" s="189">
        <v>421</v>
      </c>
      <c r="N940" s="192">
        <v>66.8</v>
      </c>
      <c r="O940" s="186">
        <v>37.4</v>
      </c>
      <c r="P940" s="187">
        <v>4.66</v>
      </c>
      <c r="Q940" s="192">
        <v>98</v>
      </c>
      <c r="R940" s="192">
        <v>29.2</v>
      </c>
      <c r="S940" s="186">
        <v>18.600000000000001</v>
      </c>
      <c r="T940" s="187">
        <v>2.25</v>
      </c>
      <c r="U940" s="188">
        <v>4.8499999999999996</v>
      </c>
      <c r="V940" s="186">
        <v>28.5</v>
      </c>
      <c r="W940" s="185" t="s">
        <v>8</v>
      </c>
      <c r="X940" s="185" t="s">
        <v>8</v>
      </c>
      <c r="Y940" s="187">
        <v>6.19</v>
      </c>
      <c r="Z940" s="190">
        <v>0.69799999999999995</v>
      </c>
      <c r="AA940" s="14" t="str">
        <f t="shared" si="50"/>
        <v>WT</v>
      </c>
      <c r="AB940" s="14">
        <v>3.9</v>
      </c>
      <c r="AC940" s="14">
        <v>0.92100000000000004</v>
      </c>
    </row>
    <row r="941" spans="1:29" s="198" customFormat="1" ht="15" x14ac:dyDescent="0.25">
      <c r="A941" s="185" t="s">
        <v>1313</v>
      </c>
      <c r="B941" s="185" t="s">
        <v>1391</v>
      </c>
      <c r="C941" s="185" t="s">
        <v>618</v>
      </c>
      <c r="D941" s="186">
        <v>62</v>
      </c>
      <c r="E941" s="186">
        <v>18.2</v>
      </c>
      <c r="F941" s="186">
        <v>15.1</v>
      </c>
      <c r="G941" s="186">
        <v>10.5</v>
      </c>
      <c r="H941" s="190">
        <v>0.58499999999999996</v>
      </c>
      <c r="I941" s="190">
        <v>0.93</v>
      </c>
      <c r="J941" s="188">
        <v>1.58</v>
      </c>
      <c r="K941" s="188">
        <v>5.65</v>
      </c>
      <c r="L941" s="185" t="s">
        <v>8</v>
      </c>
      <c r="M941" s="189">
        <v>396</v>
      </c>
      <c r="N941" s="192">
        <v>63.1</v>
      </c>
      <c r="O941" s="186">
        <v>35.299999999999997</v>
      </c>
      <c r="P941" s="187">
        <v>4.66</v>
      </c>
      <c r="Q941" s="192">
        <v>90.4</v>
      </c>
      <c r="R941" s="192">
        <v>27</v>
      </c>
      <c r="S941" s="186">
        <v>17.2</v>
      </c>
      <c r="T941" s="187">
        <v>2.23</v>
      </c>
      <c r="U941" s="188">
        <v>3.98</v>
      </c>
      <c r="V941" s="186">
        <v>23.9</v>
      </c>
      <c r="W941" s="185" t="s">
        <v>8</v>
      </c>
      <c r="X941" s="185" t="s">
        <v>8</v>
      </c>
      <c r="Y941" s="187">
        <v>6.2</v>
      </c>
      <c r="Z941" s="190">
        <v>0.69399999999999995</v>
      </c>
      <c r="AA941" s="14" t="str">
        <f t="shared" si="50"/>
        <v>WT</v>
      </c>
      <c r="AB941" s="14">
        <v>3.9</v>
      </c>
      <c r="AC941" s="14">
        <v>0.86699999999999999</v>
      </c>
    </row>
    <row r="942" spans="1:29" s="198" customFormat="1" ht="15" x14ac:dyDescent="0.25">
      <c r="A942" s="185" t="s">
        <v>1313</v>
      </c>
      <c r="B942" s="185" t="s">
        <v>1392</v>
      </c>
      <c r="C942" s="185" t="s">
        <v>618</v>
      </c>
      <c r="D942" s="186">
        <v>58</v>
      </c>
      <c r="E942" s="186">
        <v>17.100000000000001</v>
      </c>
      <c r="F942" s="186">
        <v>15</v>
      </c>
      <c r="G942" s="186">
        <v>10.5</v>
      </c>
      <c r="H942" s="190">
        <v>0.56499999999999995</v>
      </c>
      <c r="I942" s="190">
        <v>0.85</v>
      </c>
      <c r="J942" s="188">
        <v>1.5</v>
      </c>
      <c r="K942" s="188">
        <v>6.17</v>
      </c>
      <c r="L942" s="185" t="s">
        <v>8</v>
      </c>
      <c r="M942" s="189">
        <v>373</v>
      </c>
      <c r="N942" s="192">
        <v>60.4</v>
      </c>
      <c r="O942" s="186">
        <v>33.700000000000003</v>
      </c>
      <c r="P942" s="187">
        <v>4.67</v>
      </c>
      <c r="Q942" s="192">
        <v>82.1</v>
      </c>
      <c r="R942" s="192">
        <v>24.6</v>
      </c>
      <c r="S942" s="186">
        <v>15.6</v>
      </c>
      <c r="T942" s="187">
        <v>2.19</v>
      </c>
      <c r="U942" s="188">
        <v>3.21</v>
      </c>
      <c r="V942" s="186">
        <v>20.5</v>
      </c>
      <c r="W942" s="185" t="s">
        <v>8</v>
      </c>
      <c r="X942" s="185" t="s">
        <v>8</v>
      </c>
      <c r="Y942" s="187">
        <v>6.24</v>
      </c>
      <c r="Z942" s="190">
        <v>0.68300000000000005</v>
      </c>
      <c r="AA942" s="14" t="str">
        <f t="shared" si="50"/>
        <v>WT</v>
      </c>
      <c r="AB942" s="14">
        <v>3.94</v>
      </c>
      <c r="AC942" s="14">
        <v>0.81499999999999995</v>
      </c>
    </row>
    <row r="943" spans="1:29" s="198" customFormat="1" ht="15" x14ac:dyDescent="0.25">
      <c r="A943" s="185" t="s">
        <v>1313</v>
      </c>
      <c r="B943" s="185" t="s">
        <v>1393</v>
      </c>
      <c r="C943" s="185" t="s">
        <v>618</v>
      </c>
      <c r="D943" s="186">
        <v>54</v>
      </c>
      <c r="E943" s="186">
        <v>15.9</v>
      </c>
      <c r="F943" s="186">
        <v>14.9</v>
      </c>
      <c r="G943" s="186">
        <v>10.5</v>
      </c>
      <c r="H943" s="190">
        <v>0.54500000000000004</v>
      </c>
      <c r="I943" s="190">
        <v>0.76</v>
      </c>
      <c r="J943" s="188">
        <v>1.41</v>
      </c>
      <c r="K943" s="188">
        <v>6.89</v>
      </c>
      <c r="L943" s="185" t="s">
        <v>8</v>
      </c>
      <c r="M943" s="189">
        <v>349</v>
      </c>
      <c r="N943" s="192">
        <v>57.7</v>
      </c>
      <c r="O943" s="186">
        <v>32</v>
      </c>
      <c r="P943" s="187">
        <v>4.6900000000000004</v>
      </c>
      <c r="Q943" s="192">
        <v>73</v>
      </c>
      <c r="R943" s="192">
        <v>21.9</v>
      </c>
      <c r="S943" s="186">
        <v>13.9</v>
      </c>
      <c r="T943" s="187">
        <v>2.15</v>
      </c>
      <c r="U943" s="188">
        <v>2.4900000000000002</v>
      </c>
      <c r="V943" s="186">
        <v>17.3</v>
      </c>
      <c r="W943" s="185" t="s">
        <v>8</v>
      </c>
      <c r="X943" s="185" t="s">
        <v>8</v>
      </c>
      <c r="Y943" s="187">
        <v>6.31</v>
      </c>
      <c r="Z943" s="190">
        <v>0.66800000000000004</v>
      </c>
      <c r="AA943" s="14" t="str">
        <f t="shared" si="50"/>
        <v>WT</v>
      </c>
      <c r="AB943" s="14">
        <v>4.01</v>
      </c>
      <c r="AC943" s="14">
        <v>0.75700000000000001</v>
      </c>
    </row>
    <row r="944" spans="1:29" s="198" customFormat="1" ht="15" x14ac:dyDescent="0.25">
      <c r="A944" s="185" t="s">
        <v>1313</v>
      </c>
      <c r="B944" s="185" t="s">
        <v>1394</v>
      </c>
      <c r="C944" s="185" t="s">
        <v>618</v>
      </c>
      <c r="D944" s="186">
        <v>49.5</v>
      </c>
      <c r="E944" s="186">
        <v>14.5</v>
      </c>
      <c r="F944" s="186">
        <v>14.8</v>
      </c>
      <c r="G944" s="186">
        <v>10.5</v>
      </c>
      <c r="H944" s="190">
        <v>0.52</v>
      </c>
      <c r="I944" s="190">
        <v>0.67</v>
      </c>
      <c r="J944" s="188">
        <v>1.32</v>
      </c>
      <c r="K944" s="188">
        <v>7.8</v>
      </c>
      <c r="L944" s="185" t="s">
        <v>8</v>
      </c>
      <c r="M944" s="189">
        <v>322</v>
      </c>
      <c r="N944" s="192">
        <v>54.4</v>
      </c>
      <c r="O944" s="186">
        <v>30</v>
      </c>
      <c r="P944" s="187">
        <v>4.71</v>
      </c>
      <c r="Q944" s="192">
        <v>63.9</v>
      </c>
      <c r="R944" s="192">
        <v>19.3</v>
      </c>
      <c r="S944" s="186">
        <v>12.2</v>
      </c>
      <c r="T944" s="187">
        <v>2.1</v>
      </c>
      <c r="U944" s="188">
        <v>1.88</v>
      </c>
      <c r="V944" s="186">
        <v>14.3</v>
      </c>
      <c r="W944" s="185" t="s">
        <v>8</v>
      </c>
      <c r="X944" s="185" t="s">
        <v>8</v>
      </c>
      <c r="Y944" s="187">
        <v>6.38</v>
      </c>
      <c r="Z944" s="190">
        <v>0.65300000000000002</v>
      </c>
      <c r="AA944" s="14" t="str">
        <f t="shared" si="50"/>
        <v>WT</v>
      </c>
      <c r="AB944" s="14">
        <v>4.09</v>
      </c>
      <c r="AC944" s="14">
        <v>0.91200000000000003</v>
      </c>
    </row>
    <row r="945" spans="1:29" s="198" customFormat="1" ht="15" x14ac:dyDescent="0.25">
      <c r="A945" s="185" t="s">
        <v>1313</v>
      </c>
      <c r="B945" s="185" t="s">
        <v>1395</v>
      </c>
      <c r="C945" s="185" t="s">
        <v>618</v>
      </c>
      <c r="D945" s="186">
        <v>45</v>
      </c>
      <c r="E945" s="186">
        <v>13.2</v>
      </c>
      <c r="F945" s="186">
        <v>14.8</v>
      </c>
      <c r="G945" s="186">
        <v>10.4</v>
      </c>
      <c r="H945" s="190">
        <v>0.47</v>
      </c>
      <c r="I945" s="190">
        <v>0.61</v>
      </c>
      <c r="J945" s="188">
        <v>1.26</v>
      </c>
      <c r="K945" s="188">
        <v>8.52</v>
      </c>
      <c r="L945" s="185" t="s">
        <v>8</v>
      </c>
      <c r="M945" s="189">
        <v>290</v>
      </c>
      <c r="N945" s="192">
        <v>49</v>
      </c>
      <c r="O945" s="186">
        <v>27.1</v>
      </c>
      <c r="P945" s="187">
        <v>4.6900000000000004</v>
      </c>
      <c r="Q945" s="192">
        <v>57.3</v>
      </c>
      <c r="R945" s="192">
        <v>17.3</v>
      </c>
      <c r="S945" s="186">
        <v>11</v>
      </c>
      <c r="T945" s="187">
        <v>2.09</v>
      </c>
      <c r="U945" s="188">
        <v>1.41</v>
      </c>
      <c r="V945" s="186">
        <v>10.5</v>
      </c>
      <c r="W945" s="185" t="s">
        <v>8</v>
      </c>
      <c r="X945" s="185" t="s">
        <v>8</v>
      </c>
      <c r="Y945" s="187">
        <v>6.35</v>
      </c>
      <c r="Z945" s="190">
        <v>0.65400000000000003</v>
      </c>
      <c r="AA945" s="14" t="str">
        <f t="shared" si="50"/>
        <v>WT</v>
      </c>
      <c r="AB945" s="14">
        <v>4.04</v>
      </c>
      <c r="AC945" s="14">
        <v>0.83499999999999996</v>
      </c>
    </row>
    <row r="946" spans="1:29" s="198" customFormat="1" ht="15" x14ac:dyDescent="0.25">
      <c r="A946" s="185" t="s">
        <v>1313</v>
      </c>
      <c r="B946" s="185" t="s">
        <v>1396</v>
      </c>
      <c r="C946" s="185" t="s">
        <v>618</v>
      </c>
      <c r="D946" s="185">
        <v>269.5</v>
      </c>
      <c r="E946" s="186">
        <v>79.3</v>
      </c>
      <c r="F946" s="186">
        <v>16.3</v>
      </c>
      <c r="G946" s="186">
        <v>15.3</v>
      </c>
      <c r="H946" s="187">
        <v>1.97</v>
      </c>
      <c r="I946" s="187">
        <v>3.54</v>
      </c>
      <c r="J946" s="187">
        <v>4.33</v>
      </c>
      <c r="K946" s="187">
        <v>2.15</v>
      </c>
      <c r="L946" s="185" t="s">
        <v>8</v>
      </c>
      <c r="M946" s="185">
        <v>1530</v>
      </c>
      <c r="N946" s="185">
        <v>242</v>
      </c>
      <c r="O946" s="185">
        <v>128</v>
      </c>
      <c r="P946" s="187">
        <v>4.3899999999999997</v>
      </c>
      <c r="Q946" s="185">
        <v>1060</v>
      </c>
      <c r="R946" s="185">
        <v>218</v>
      </c>
      <c r="S946" s="185">
        <v>138</v>
      </c>
      <c r="T946" s="187">
        <v>3.65</v>
      </c>
      <c r="U946" s="185">
        <v>247</v>
      </c>
      <c r="V946" s="185">
        <v>1740</v>
      </c>
      <c r="W946" s="185" t="s">
        <v>8</v>
      </c>
      <c r="X946" s="185" t="s">
        <v>8</v>
      </c>
      <c r="Y946" s="187">
        <v>6.26</v>
      </c>
      <c r="Z946" s="190">
        <v>0.83099999999999996</v>
      </c>
      <c r="AA946" s="14" t="str">
        <f t="shared" si="50"/>
        <v>WT</v>
      </c>
      <c r="AB946" s="14">
        <v>4.34</v>
      </c>
      <c r="AC946" s="14">
        <v>2.6</v>
      </c>
    </row>
    <row r="947" spans="1:29" s="198" customFormat="1" ht="15" x14ac:dyDescent="0.25">
      <c r="A947" s="185" t="s">
        <v>1313</v>
      </c>
      <c r="B947" s="185" t="s">
        <v>1397</v>
      </c>
      <c r="C947" s="185" t="s">
        <v>618</v>
      </c>
      <c r="D947" s="185">
        <v>184</v>
      </c>
      <c r="E947" s="186">
        <v>54.2</v>
      </c>
      <c r="F947" s="186">
        <v>15.2</v>
      </c>
      <c r="G947" s="186">
        <v>14.7</v>
      </c>
      <c r="H947" s="187">
        <v>1.38</v>
      </c>
      <c r="I947" s="187">
        <v>2.48</v>
      </c>
      <c r="J947" s="188">
        <v>3.27</v>
      </c>
      <c r="K947" s="188">
        <v>2.96</v>
      </c>
      <c r="L947" s="185" t="s">
        <v>8</v>
      </c>
      <c r="M947" s="189">
        <v>939</v>
      </c>
      <c r="N947" s="189">
        <v>151</v>
      </c>
      <c r="O947" s="186">
        <v>81.7</v>
      </c>
      <c r="P947" s="187">
        <v>4.16</v>
      </c>
      <c r="Q947" s="189">
        <v>655</v>
      </c>
      <c r="R947" s="189">
        <v>140</v>
      </c>
      <c r="S947" s="186">
        <v>89.3</v>
      </c>
      <c r="T947" s="187">
        <v>3.48</v>
      </c>
      <c r="U947" s="192">
        <v>84.5</v>
      </c>
      <c r="V947" s="185">
        <v>532</v>
      </c>
      <c r="W947" s="185" t="s">
        <v>8</v>
      </c>
      <c r="X947" s="185" t="s">
        <v>8</v>
      </c>
      <c r="Y947" s="187">
        <v>5.96</v>
      </c>
      <c r="Z947" s="190">
        <v>0.82799999999999996</v>
      </c>
      <c r="AA947" s="14" t="str">
        <f t="shared" si="50"/>
        <v>WT</v>
      </c>
      <c r="AB947" s="14">
        <v>3.71</v>
      </c>
      <c r="AC947" s="14">
        <v>1.85</v>
      </c>
    </row>
    <row r="948" spans="1:29" s="198" customFormat="1" ht="15" x14ac:dyDescent="0.25">
      <c r="A948" s="185" t="s">
        <v>1313</v>
      </c>
      <c r="B948" s="185" t="s">
        <v>1398</v>
      </c>
      <c r="C948" s="185" t="s">
        <v>618</v>
      </c>
      <c r="D948" s="185">
        <v>168</v>
      </c>
      <c r="E948" s="186">
        <v>49.5</v>
      </c>
      <c r="F948" s="186">
        <v>15</v>
      </c>
      <c r="G948" s="186">
        <v>14.6</v>
      </c>
      <c r="H948" s="187">
        <v>1.26</v>
      </c>
      <c r="I948" s="187">
        <v>2.2799999999999998</v>
      </c>
      <c r="J948" s="188">
        <v>3.07</v>
      </c>
      <c r="K948" s="188">
        <v>3.19</v>
      </c>
      <c r="L948" s="185" t="s">
        <v>8</v>
      </c>
      <c r="M948" s="189">
        <v>839</v>
      </c>
      <c r="N948" s="189">
        <v>135</v>
      </c>
      <c r="O948" s="186">
        <v>73.400000000000006</v>
      </c>
      <c r="P948" s="187">
        <v>4.12</v>
      </c>
      <c r="Q948" s="189">
        <v>587</v>
      </c>
      <c r="R948" s="189">
        <v>126</v>
      </c>
      <c r="S948" s="186">
        <v>80.8</v>
      </c>
      <c r="T948" s="187">
        <v>3.45</v>
      </c>
      <c r="U948" s="192">
        <v>65.400000000000006</v>
      </c>
      <c r="V948" s="185">
        <v>401</v>
      </c>
      <c r="W948" s="185" t="s">
        <v>8</v>
      </c>
      <c r="X948" s="185" t="s">
        <v>8</v>
      </c>
      <c r="Y948" s="187">
        <v>5.9</v>
      </c>
      <c r="Z948" s="190">
        <v>0.82899999999999996</v>
      </c>
      <c r="AA948" s="14" t="str">
        <f t="shared" si="50"/>
        <v>WT</v>
      </c>
      <c r="AB948" s="14">
        <v>3.58</v>
      </c>
      <c r="AC948" s="14">
        <v>1.7</v>
      </c>
    </row>
    <row r="949" spans="1:29" s="198" customFormat="1" ht="15" x14ac:dyDescent="0.25">
      <c r="A949" s="185" t="s">
        <v>1313</v>
      </c>
      <c r="B949" s="185" t="s">
        <v>1399</v>
      </c>
      <c r="C949" s="185" t="s">
        <v>618</v>
      </c>
      <c r="D949" s="185">
        <v>153.5</v>
      </c>
      <c r="E949" s="186">
        <v>45.2</v>
      </c>
      <c r="F949" s="186">
        <v>14.8</v>
      </c>
      <c r="G949" s="186">
        <v>14.4</v>
      </c>
      <c r="H949" s="187">
        <v>1.1599999999999999</v>
      </c>
      <c r="I949" s="187">
        <v>2.09</v>
      </c>
      <c r="J949" s="188">
        <v>2.88</v>
      </c>
      <c r="K949" s="188">
        <v>3.46</v>
      </c>
      <c r="L949" s="185" t="s">
        <v>8</v>
      </c>
      <c r="M949" s="189">
        <v>753</v>
      </c>
      <c r="N949" s="189">
        <v>121</v>
      </c>
      <c r="O949" s="186">
        <v>66.400000000000006</v>
      </c>
      <c r="P949" s="187">
        <v>4.08</v>
      </c>
      <c r="Q949" s="189">
        <v>527</v>
      </c>
      <c r="R949" s="189">
        <v>113</v>
      </c>
      <c r="S949" s="186">
        <v>72.900000000000006</v>
      </c>
      <c r="T949" s="187">
        <v>3.41</v>
      </c>
      <c r="U949" s="192">
        <v>50.5</v>
      </c>
      <c r="V949" s="185">
        <v>304</v>
      </c>
      <c r="W949" s="185" t="s">
        <v>8</v>
      </c>
      <c r="X949" s="185" t="s">
        <v>8</v>
      </c>
      <c r="Y949" s="187">
        <v>5.85</v>
      </c>
      <c r="Z949" s="190">
        <v>0.82799999999999996</v>
      </c>
      <c r="AA949" s="14" t="str">
        <f t="shared" si="50"/>
        <v>WT</v>
      </c>
      <c r="AB949" s="14">
        <v>3.47</v>
      </c>
      <c r="AC949" s="14">
        <v>1.56</v>
      </c>
    </row>
    <row r="950" spans="1:29" s="198" customFormat="1" ht="15" x14ac:dyDescent="0.25">
      <c r="A950" s="185" t="s">
        <v>1313</v>
      </c>
      <c r="B950" s="185" t="s">
        <v>1400</v>
      </c>
      <c r="C950" s="185" t="s">
        <v>618</v>
      </c>
      <c r="D950" s="185">
        <v>140.5</v>
      </c>
      <c r="E950" s="186">
        <v>41.5</v>
      </c>
      <c r="F950" s="186">
        <v>14.6</v>
      </c>
      <c r="G950" s="186">
        <v>14.4</v>
      </c>
      <c r="H950" s="187">
        <v>1.06</v>
      </c>
      <c r="I950" s="187">
        <v>1.93</v>
      </c>
      <c r="J950" s="188">
        <v>2.72</v>
      </c>
      <c r="K950" s="188">
        <v>3.72</v>
      </c>
      <c r="L950" s="185" t="s">
        <v>8</v>
      </c>
      <c r="M950" s="189">
        <v>677</v>
      </c>
      <c r="N950" s="189">
        <v>109</v>
      </c>
      <c r="O950" s="186">
        <v>59.9</v>
      </c>
      <c r="P950" s="187">
        <v>4.04</v>
      </c>
      <c r="Q950" s="189">
        <v>477</v>
      </c>
      <c r="R950" s="189">
        <v>103</v>
      </c>
      <c r="S950" s="186">
        <v>66.400000000000006</v>
      </c>
      <c r="T950" s="187">
        <v>3.39</v>
      </c>
      <c r="U950" s="192">
        <v>39.6</v>
      </c>
      <c r="V950" s="185">
        <v>232</v>
      </c>
      <c r="W950" s="185" t="s">
        <v>8</v>
      </c>
      <c r="X950" s="185" t="s">
        <v>8</v>
      </c>
      <c r="Y950" s="187">
        <v>5.79</v>
      </c>
      <c r="Z950" s="190">
        <v>0.83</v>
      </c>
      <c r="AA950" s="14" t="str">
        <f t="shared" si="50"/>
        <v>WT</v>
      </c>
      <c r="AB950" s="14">
        <v>3.35</v>
      </c>
      <c r="AC950" s="14">
        <v>1.44</v>
      </c>
    </row>
    <row r="951" spans="1:29" s="198" customFormat="1" ht="15" x14ac:dyDescent="0.25">
      <c r="A951" s="185" t="s">
        <v>1313</v>
      </c>
      <c r="B951" s="185" t="s">
        <v>1401</v>
      </c>
      <c r="C951" s="185" t="s">
        <v>618</v>
      </c>
      <c r="D951" s="185">
        <v>129</v>
      </c>
      <c r="E951" s="186">
        <v>38.1</v>
      </c>
      <c r="F951" s="186">
        <v>14.5</v>
      </c>
      <c r="G951" s="186">
        <v>14.3</v>
      </c>
      <c r="H951" s="190">
        <v>0.98</v>
      </c>
      <c r="I951" s="187">
        <v>1.77</v>
      </c>
      <c r="J951" s="188">
        <v>2.56</v>
      </c>
      <c r="K951" s="188">
        <v>4.03</v>
      </c>
      <c r="L951" s="185" t="s">
        <v>8</v>
      </c>
      <c r="M951" s="189">
        <v>613</v>
      </c>
      <c r="N951" s="192">
        <v>98.9</v>
      </c>
      <c r="O951" s="186">
        <v>54.7</v>
      </c>
      <c r="P951" s="187">
        <v>4.0199999999999996</v>
      </c>
      <c r="Q951" s="189">
        <v>430</v>
      </c>
      <c r="R951" s="192">
        <v>93.3</v>
      </c>
      <c r="S951" s="186">
        <v>60.2</v>
      </c>
      <c r="T951" s="187">
        <v>3.36</v>
      </c>
      <c r="U951" s="192">
        <v>30.7</v>
      </c>
      <c r="V951" s="185">
        <v>178</v>
      </c>
      <c r="W951" s="185" t="s">
        <v>8</v>
      </c>
      <c r="X951" s="185" t="s">
        <v>8</v>
      </c>
      <c r="Y951" s="187">
        <v>5.76</v>
      </c>
      <c r="Z951" s="190">
        <v>0.82799999999999996</v>
      </c>
      <c r="AA951" s="14" t="str">
        <f t="shared" si="50"/>
        <v>WT</v>
      </c>
      <c r="AB951" s="14">
        <v>3.27</v>
      </c>
      <c r="AC951" s="14">
        <v>1.33</v>
      </c>
    </row>
    <row r="952" spans="1:29" s="198" customFormat="1" ht="15" x14ac:dyDescent="0.25">
      <c r="A952" s="185" t="s">
        <v>1313</v>
      </c>
      <c r="B952" s="185" t="s">
        <v>1402</v>
      </c>
      <c r="C952" s="185" t="s">
        <v>618</v>
      </c>
      <c r="D952" s="185">
        <v>117.5</v>
      </c>
      <c r="E952" s="186">
        <v>34.700000000000003</v>
      </c>
      <c r="F952" s="186">
        <v>14.3</v>
      </c>
      <c r="G952" s="186">
        <v>14.2</v>
      </c>
      <c r="H952" s="190">
        <v>0.91</v>
      </c>
      <c r="I952" s="187">
        <v>1.61</v>
      </c>
      <c r="J952" s="188">
        <v>2.4</v>
      </c>
      <c r="K952" s="188">
        <v>4.41</v>
      </c>
      <c r="L952" s="185" t="s">
        <v>8</v>
      </c>
      <c r="M952" s="189">
        <v>556</v>
      </c>
      <c r="N952" s="192">
        <v>89.9</v>
      </c>
      <c r="O952" s="186">
        <v>50</v>
      </c>
      <c r="P952" s="187">
        <v>4</v>
      </c>
      <c r="Q952" s="189">
        <v>384</v>
      </c>
      <c r="R952" s="192">
        <v>83.8</v>
      </c>
      <c r="S952" s="186">
        <v>54.2</v>
      </c>
      <c r="T952" s="187">
        <v>3.33</v>
      </c>
      <c r="U952" s="192">
        <v>23.4</v>
      </c>
      <c r="V952" s="185">
        <v>135</v>
      </c>
      <c r="W952" s="185" t="s">
        <v>8</v>
      </c>
      <c r="X952" s="185" t="s">
        <v>8</v>
      </c>
      <c r="Y952" s="187">
        <v>5.73</v>
      </c>
      <c r="Z952" s="190">
        <v>0.82499999999999996</v>
      </c>
      <c r="AA952" s="14" t="str">
        <f t="shared" si="50"/>
        <v>WT</v>
      </c>
      <c r="AB952" s="14">
        <v>3.2</v>
      </c>
      <c r="AC952" s="14">
        <v>1.22</v>
      </c>
    </row>
    <row r="953" spans="1:29" s="198" customFormat="1" ht="15" x14ac:dyDescent="0.25">
      <c r="A953" s="185" t="s">
        <v>1313</v>
      </c>
      <c r="B953" s="185" t="s">
        <v>1403</v>
      </c>
      <c r="C953" s="185" t="s">
        <v>618</v>
      </c>
      <c r="D953" s="185">
        <v>108.5</v>
      </c>
      <c r="E953" s="186">
        <v>32</v>
      </c>
      <c r="F953" s="186">
        <v>14.2</v>
      </c>
      <c r="G953" s="186">
        <v>14.1</v>
      </c>
      <c r="H953" s="190">
        <v>0.83</v>
      </c>
      <c r="I953" s="187">
        <v>1.5</v>
      </c>
      <c r="J953" s="188">
        <v>2.29</v>
      </c>
      <c r="K953" s="188">
        <v>4.71</v>
      </c>
      <c r="L953" s="185" t="s">
        <v>8</v>
      </c>
      <c r="M953" s="189">
        <v>502</v>
      </c>
      <c r="N953" s="192">
        <v>81.099999999999994</v>
      </c>
      <c r="O953" s="186">
        <v>45.2</v>
      </c>
      <c r="P953" s="187">
        <v>3.96</v>
      </c>
      <c r="Q953" s="189">
        <v>352</v>
      </c>
      <c r="R953" s="192">
        <v>77</v>
      </c>
      <c r="S953" s="186">
        <v>49.9</v>
      </c>
      <c r="T953" s="187">
        <v>3.32</v>
      </c>
      <c r="U953" s="192">
        <v>18.8</v>
      </c>
      <c r="V953" s="185">
        <v>105</v>
      </c>
      <c r="W953" s="185" t="s">
        <v>8</v>
      </c>
      <c r="X953" s="185" t="s">
        <v>8</v>
      </c>
      <c r="Y953" s="187">
        <v>5.68</v>
      </c>
      <c r="Z953" s="190">
        <v>0.82799999999999996</v>
      </c>
      <c r="AA953" s="14" t="str">
        <f t="shared" si="50"/>
        <v>WT</v>
      </c>
      <c r="AB953" s="14">
        <v>3.1</v>
      </c>
      <c r="AC953" s="14">
        <v>1.1299999999999999</v>
      </c>
    </row>
    <row r="954" spans="1:29" s="198" customFormat="1" ht="15" x14ac:dyDescent="0.25">
      <c r="A954" s="185" t="s">
        <v>1313</v>
      </c>
      <c r="B954" s="185" t="s">
        <v>1404</v>
      </c>
      <c r="C954" s="185" t="s">
        <v>618</v>
      </c>
      <c r="D954" s="186">
        <v>97</v>
      </c>
      <c r="E954" s="186">
        <v>28.6</v>
      </c>
      <c r="F954" s="186">
        <v>14.1</v>
      </c>
      <c r="G954" s="186">
        <v>14</v>
      </c>
      <c r="H954" s="190">
        <v>0.75</v>
      </c>
      <c r="I954" s="187">
        <v>1.34</v>
      </c>
      <c r="J954" s="188">
        <v>2.13</v>
      </c>
      <c r="K954" s="188">
        <v>5.24</v>
      </c>
      <c r="L954" s="185" t="s">
        <v>8</v>
      </c>
      <c r="M954" s="189">
        <v>444</v>
      </c>
      <c r="N954" s="192">
        <v>71.8</v>
      </c>
      <c r="O954" s="186">
        <v>40.299999999999997</v>
      </c>
      <c r="P954" s="187">
        <v>3.94</v>
      </c>
      <c r="Q954" s="189">
        <v>309</v>
      </c>
      <c r="R954" s="192">
        <v>67.8</v>
      </c>
      <c r="S954" s="186">
        <v>44.1</v>
      </c>
      <c r="T954" s="187">
        <v>3.29</v>
      </c>
      <c r="U954" s="192">
        <v>13.5</v>
      </c>
      <c r="V954" s="186">
        <v>74.3</v>
      </c>
      <c r="W954" s="185" t="s">
        <v>8</v>
      </c>
      <c r="X954" s="185" t="s">
        <v>8</v>
      </c>
      <c r="Y954" s="187">
        <v>5.64</v>
      </c>
      <c r="Z954" s="190">
        <v>0.82699999999999996</v>
      </c>
      <c r="AA954" s="14" t="str">
        <f t="shared" si="50"/>
        <v>WT</v>
      </c>
      <c r="AB954" s="14">
        <v>3.02</v>
      </c>
      <c r="AC954" s="14">
        <v>1.02</v>
      </c>
    </row>
    <row r="955" spans="1:29" s="198" customFormat="1" ht="15" x14ac:dyDescent="0.25">
      <c r="A955" s="185" t="s">
        <v>1313</v>
      </c>
      <c r="B955" s="185" t="s">
        <v>1405</v>
      </c>
      <c r="C955" s="185" t="s">
        <v>618</v>
      </c>
      <c r="D955" s="186">
        <v>89</v>
      </c>
      <c r="E955" s="186">
        <v>26.3</v>
      </c>
      <c r="F955" s="186">
        <v>13.9</v>
      </c>
      <c r="G955" s="186">
        <v>14.1</v>
      </c>
      <c r="H955" s="190">
        <v>0.72499999999999998</v>
      </c>
      <c r="I955" s="187">
        <v>1.19</v>
      </c>
      <c r="J955" s="188">
        <v>1.98</v>
      </c>
      <c r="K955" s="188">
        <v>5.92</v>
      </c>
      <c r="L955" s="185" t="s">
        <v>8</v>
      </c>
      <c r="M955" s="189">
        <v>414</v>
      </c>
      <c r="N955" s="192">
        <v>67.7</v>
      </c>
      <c r="O955" s="186">
        <v>38.200000000000003</v>
      </c>
      <c r="P955" s="187">
        <v>3.97</v>
      </c>
      <c r="Q955" s="189">
        <v>278</v>
      </c>
      <c r="R955" s="192">
        <v>60.8</v>
      </c>
      <c r="S955" s="186">
        <v>39.4</v>
      </c>
      <c r="T955" s="187">
        <v>3.25</v>
      </c>
      <c r="U955" s="192">
        <v>10</v>
      </c>
      <c r="V955" s="186">
        <v>57.7</v>
      </c>
      <c r="W955" s="185" t="s">
        <v>8</v>
      </c>
      <c r="X955" s="185" t="s">
        <v>8</v>
      </c>
      <c r="Y955" s="187">
        <v>5.69</v>
      </c>
      <c r="Z955" s="190">
        <v>0.81499999999999995</v>
      </c>
      <c r="AA955" s="14" t="str">
        <f t="shared" si="50"/>
        <v>WT</v>
      </c>
      <c r="AB955" s="14">
        <v>3.04</v>
      </c>
      <c r="AC955" s="14">
        <v>0.93200000000000005</v>
      </c>
    </row>
    <row r="956" spans="1:29" s="198" customFormat="1" ht="15" x14ac:dyDescent="0.25">
      <c r="A956" s="185" t="s">
        <v>1313</v>
      </c>
      <c r="B956" s="185" t="s">
        <v>1406</v>
      </c>
      <c r="C956" s="185" t="s">
        <v>618</v>
      </c>
      <c r="D956" s="186">
        <v>80.5</v>
      </c>
      <c r="E956" s="186">
        <v>23.8</v>
      </c>
      <c r="F956" s="186">
        <v>13.8</v>
      </c>
      <c r="G956" s="186">
        <v>14</v>
      </c>
      <c r="H956" s="190">
        <v>0.66</v>
      </c>
      <c r="I956" s="187">
        <v>1.08</v>
      </c>
      <c r="J956" s="188">
        <v>1.87</v>
      </c>
      <c r="K956" s="188">
        <v>6.49</v>
      </c>
      <c r="L956" s="185" t="s">
        <v>8</v>
      </c>
      <c r="M956" s="189">
        <v>372</v>
      </c>
      <c r="N956" s="192">
        <v>60.8</v>
      </c>
      <c r="O956" s="186">
        <v>34.4</v>
      </c>
      <c r="P956" s="187">
        <v>3.95</v>
      </c>
      <c r="Q956" s="189">
        <v>248</v>
      </c>
      <c r="R956" s="192">
        <v>54.5</v>
      </c>
      <c r="S956" s="186">
        <v>35.4</v>
      </c>
      <c r="T956" s="187">
        <v>3.23</v>
      </c>
      <c r="U956" s="188">
        <v>7.53</v>
      </c>
      <c r="V956" s="186">
        <v>42.7</v>
      </c>
      <c r="W956" s="185" t="s">
        <v>8</v>
      </c>
      <c r="X956" s="185" t="s">
        <v>8</v>
      </c>
      <c r="Y956" s="187">
        <v>5.66</v>
      </c>
      <c r="Z956" s="190">
        <v>0.81399999999999995</v>
      </c>
      <c r="AA956" s="14" t="str">
        <f t="shared" si="50"/>
        <v>WT</v>
      </c>
      <c r="AB956" s="14">
        <v>2.98</v>
      </c>
      <c r="AC956" s="14">
        <v>0.84899999999999998</v>
      </c>
    </row>
    <row r="957" spans="1:29" s="198" customFormat="1" ht="15" x14ac:dyDescent="0.25">
      <c r="A957" s="185" t="s">
        <v>1313</v>
      </c>
      <c r="B957" s="185" t="s">
        <v>1407</v>
      </c>
      <c r="C957" s="185" t="s">
        <v>618</v>
      </c>
      <c r="D957" s="186">
        <v>73</v>
      </c>
      <c r="E957" s="186">
        <v>21.6</v>
      </c>
      <c r="F957" s="186">
        <v>13.7</v>
      </c>
      <c r="G957" s="186">
        <v>14</v>
      </c>
      <c r="H957" s="190">
        <v>0.60499999999999998</v>
      </c>
      <c r="I957" s="190">
        <v>0.97499999999999998</v>
      </c>
      <c r="J957" s="188">
        <v>1.76</v>
      </c>
      <c r="K957" s="188">
        <v>7.16</v>
      </c>
      <c r="L957" s="185" t="s">
        <v>8</v>
      </c>
      <c r="M957" s="189">
        <v>336</v>
      </c>
      <c r="N957" s="192">
        <v>55</v>
      </c>
      <c r="O957" s="186">
        <v>31.2</v>
      </c>
      <c r="P957" s="187">
        <v>3.95</v>
      </c>
      <c r="Q957" s="189">
        <v>222</v>
      </c>
      <c r="R957" s="192">
        <v>48.8</v>
      </c>
      <c r="S957" s="186">
        <v>31.7</v>
      </c>
      <c r="T957" s="187">
        <v>3.2</v>
      </c>
      <c r="U957" s="188">
        <v>5.62</v>
      </c>
      <c r="V957" s="186">
        <v>31.7</v>
      </c>
      <c r="W957" s="185" t="s">
        <v>8</v>
      </c>
      <c r="X957" s="185" t="s">
        <v>8</v>
      </c>
      <c r="Y957" s="187">
        <v>5.64</v>
      </c>
      <c r="Z957" s="190">
        <v>0.81200000000000006</v>
      </c>
      <c r="AA957" s="14" t="str">
        <f t="shared" si="50"/>
        <v>WT</v>
      </c>
      <c r="AB957" s="14">
        <v>2.94</v>
      </c>
      <c r="AC957" s="14">
        <v>0.77200000000000002</v>
      </c>
    </row>
    <row r="958" spans="1:29" s="198" customFormat="1" ht="15" x14ac:dyDescent="0.25">
      <c r="A958" s="185" t="s">
        <v>1313</v>
      </c>
      <c r="B958" s="185" t="s">
        <v>1408</v>
      </c>
      <c r="C958" s="185" t="s">
        <v>618</v>
      </c>
      <c r="D958" s="186">
        <v>64.5</v>
      </c>
      <c r="E958" s="186">
        <v>18.899999999999999</v>
      </c>
      <c r="F958" s="186">
        <v>13.8</v>
      </c>
      <c r="G958" s="186">
        <v>10</v>
      </c>
      <c r="H958" s="190">
        <v>0.61</v>
      </c>
      <c r="I958" s="187">
        <v>1.1000000000000001</v>
      </c>
      <c r="J958" s="188">
        <v>1.7</v>
      </c>
      <c r="K958" s="188">
        <v>4.55</v>
      </c>
      <c r="L958" s="185" t="s">
        <v>8</v>
      </c>
      <c r="M958" s="189">
        <v>323</v>
      </c>
      <c r="N958" s="192">
        <v>55.1</v>
      </c>
      <c r="O958" s="186">
        <v>31</v>
      </c>
      <c r="P958" s="187">
        <v>4.13</v>
      </c>
      <c r="Q958" s="192">
        <v>92.2</v>
      </c>
      <c r="R958" s="192">
        <v>28.8</v>
      </c>
      <c r="S958" s="186">
        <v>18.399999999999999</v>
      </c>
      <c r="T958" s="187">
        <v>2.21</v>
      </c>
      <c r="U958" s="188">
        <v>5.55</v>
      </c>
      <c r="V958" s="186">
        <v>24</v>
      </c>
      <c r="W958" s="185" t="s">
        <v>8</v>
      </c>
      <c r="X958" s="185" t="s">
        <v>8</v>
      </c>
      <c r="Y958" s="187">
        <v>5.48</v>
      </c>
      <c r="Z958" s="190">
        <v>0.73199999999999998</v>
      </c>
      <c r="AA958" s="14" t="str">
        <f t="shared" si="50"/>
        <v>WT</v>
      </c>
      <c r="AB958" s="14">
        <v>3.39</v>
      </c>
      <c r="AC958" s="14">
        <v>0.94499999999999995</v>
      </c>
    </row>
    <row r="959" spans="1:29" s="198" customFormat="1" ht="15" x14ac:dyDescent="0.25">
      <c r="A959" s="185" t="s">
        <v>1313</v>
      </c>
      <c r="B959" s="185" t="s">
        <v>1409</v>
      </c>
      <c r="C959" s="185" t="s">
        <v>618</v>
      </c>
      <c r="D959" s="186">
        <v>57</v>
      </c>
      <c r="E959" s="186">
        <v>16.8</v>
      </c>
      <c r="F959" s="186">
        <v>13.6</v>
      </c>
      <c r="G959" s="186">
        <v>10.1</v>
      </c>
      <c r="H959" s="190">
        <v>0.56999999999999995</v>
      </c>
      <c r="I959" s="190">
        <v>0.93</v>
      </c>
      <c r="J959" s="188">
        <v>1.53</v>
      </c>
      <c r="K959" s="188">
        <v>5.41</v>
      </c>
      <c r="L959" s="185" t="s">
        <v>8</v>
      </c>
      <c r="M959" s="189">
        <v>289</v>
      </c>
      <c r="N959" s="192">
        <v>50.4</v>
      </c>
      <c r="O959" s="186">
        <v>28.3</v>
      </c>
      <c r="P959" s="187">
        <v>4.1500000000000004</v>
      </c>
      <c r="Q959" s="192">
        <v>79.3</v>
      </c>
      <c r="R959" s="192">
        <v>24.6</v>
      </c>
      <c r="S959" s="186">
        <v>15.8</v>
      </c>
      <c r="T959" s="187">
        <v>2.1800000000000002</v>
      </c>
      <c r="U959" s="188">
        <v>3.65</v>
      </c>
      <c r="V959" s="186">
        <v>17.5</v>
      </c>
      <c r="W959" s="185" t="s">
        <v>8</v>
      </c>
      <c r="X959" s="185" t="s">
        <v>8</v>
      </c>
      <c r="Y959" s="187">
        <v>5.54</v>
      </c>
      <c r="Z959" s="190">
        <v>0.71599999999999997</v>
      </c>
      <c r="AA959" s="14" t="str">
        <f t="shared" si="50"/>
        <v>WT</v>
      </c>
      <c r="AB959" s="14">
        <v>3.42</v>
      </c>
      <c r="AC959" s="14">
        <v>0.83199999999999996</v>
      </c>
    </row>
    <row r="960" spans="1:29" s="198" customFormat="1" ht="15" x14ac:dyDescent="0.25">
      <c r="A960" s="185" t="s">
        <v>1313</v>
      </c>
      <c r="B960" s="185" t="s">
        <v>1410</v>
      </c>
      <c r="C960" s="185" t="s">
        <v>618</v>
      </c>
      <c r="D960" s="186">
        <v>51</v>
      </c>
      <c r="E960" s="186">
        <v>15</v>
      </c>
      <c r="F960" s="186">
        <v>13.5</v>
      </c>
      <c r="G960" s="186">
        <v>10</v>
      </c>
      <c r="H960" s="190">
        <v>0.51500000000000001</v>
      </c>
      <c r="I960" s="190">
        <v>0.83</v>
      </c>
      <c r="J960" s="188">
        <v>1.43</v>
      </c>
      <c r="K960" s="188">
        <v>6.03</v>
      </c>
      <c r="L960" s="185" t="s">
        <v>8</v>
      </c>
      <c r="M960" s="189">
        <v>258</v>
      </c>
      <c r="N960" s="192">
        <v>45</v>
      </c>
      <c r="O960" s="186">
        <v>25.3</v>
      </c>
      <c r="P960" s="187">
        <v>4.1399999999999997</v>
      </c>
      <c r="Q960" s="192">
        <v>69.599999999999994</v>
      </c>
      <c r="R960" s="192">
        <v>21.7</v>
      </c>
      <c r="S960" s="186">
        <v>13.9</v>
      </c>
      <c r="T960" s="187">
        <v>2.15</v>
      </c>
      <c r="U960" s="188">
        <v>2.63</v>
      </c>
      <c r="V960" s="186">
        <v>12.6</v>
      </c>
      <c r="W960" s="185" t="s">
        <v>8</v>
      </c>
      <c r="X960" s="185" t="s">
        <v>8</v>
      </c>
      <c r="Y960" s="187">
        <v>5.53</v>
      </c>
      <c r="Z960" s="190">
        <v>0.71299999999999997</v>
      </c>
      <c r="AA960" s="14" t="str">
        <f t="shared" si="50"/>
        <v>WT</v>
      </c>
      <c r="AB960" s="14">
        <v>3.37</v>
      </c>
      <c r="AC960" s="14">
        <v>0.75</v>
      </c>
    </row>
    <row r="961" spans="1:29" s="198" customFormat="1" ht="15" x14ac:dyDescent="0.25">
      <c r="A961" s="185" t="s">
        <v>1313</v>
      </c>
      <c r="B961" s="185" t="s">
        <v>1411</v>
      </c>
      <c r="C961" s="185" t="s">
        <v>618</v>
      </c>
      <c r="D961" s="186">
        <v>47</v>
      </c>
      <c r="E961" s="186">
        <v>13.8</v>
      </c>
      <c r="F961" s="186">
        <v>13.5</v>
      </c>
      <c r="G961" s="186">
        <v>10</v>
      </c>
      <c r="H961" s="190">
        <v>0.49</v>
      </c>
      <c r="I961" s="190">
        <v>0.745</v>
      </c>
      <c r="J961" s="188">
        <v>1.34</v>
      </c>
      <c r="K961" s="188">
        <v>6.7</v>
      </c>
      <c r="L961" s="185" t="s">
        <v>8</v>
      </c>
      <c r="M961" s="189">
        <v>239</v>
      </c>
      <c r="N961" s="192">
        <v>42.4</v>
      </c>
      <c r="O961" s="186">
        <v>23.8</v>
      </c>
      <c r="P961" s="187">
        <v>4.16</v>
      </c>
      <c r="Q961" s="192">
        <v>62</v>
      </c>
      <c r="R961" s="192">
        <v>19.399999999999999</v>
      </c>
      <c r="S961" s="186">
        <v>12.4</v>
      </c>
      <c r="T961" s="187">
        <v>2.12</v>
      </c>
      <c r="U961" s="188">
        <v>2.0099999999999998</v>
      </c>
      <c r="V961" s="186">
        <v>10.199999999999999</v>
      </c>
      <c r="W961" s="185" t="s">
        <v>8</v>
      </c>
      <c r="X961" s="185" t="s">
        <v>8</v>
      </c>
      <c r="Y961" s="187">
        <v>5.57</v>
      </c>
      <c r="Z961" s="190">
        <v>0.70199999999999996</v>
      </c>
      <c r="AA961" s="14" t="str">
        <f t="shared" si="50"/>
        <v>WT</v>
      </c>
      <c r="AB961" s="14">
        <v>3.41</v>
      </c>
      <c r="AC961" s="14">
        <v>0.69199999999999995</v>
      </c>
    </row>
    <row r="962" spans="1:29" s="198" customFormat="1" ht="15" x14ac:dyDescent="0.25">
      <c r="A962" s="185" t="s">
        <v>1313</v>
      </c>
      <c r="B962" s="185" t="s">
        <v>1412</v>
      </c>
      <c r="C962" s="185" t="s">
        <v>618</v>
      </c>
      <c r="D962" s="186">
        <v>42</v>
      </c>
      <c r="E962" s="186">
        <v>12.4</v>
      </c>
      <c r="F962" s="186">
        <v>13.4</v>
      </c>
      <c r="G962" s="186">
        <v>10</v>
      </c>
      <c r="H962" s="190">
        <v>0.46</v>
      </c>
      <c r="I962" s="190">
        <v>0.64</v>
      </c>
      <c r="J962" s="188">
        <v>1.24</v>
      </c>
      <c r="K962" s="188">
        <v>7.78</v>
      </c>
      <c r="L962" s="185" t="s">
        <v>8</v>
      </c>
      <c r="M962" s="189">
        <v>216</v>
      </c>
      <c r="N962" s="192">
        <v>39.200000000000003</v>
      </c>
      <c r="O962" s="186">
        <v>21.9</v>
      </c>
      <c r="P962" s="187">
        <v>4.18</v>
      </c>
      <c r="Q962" s="192">
        <v>52.8</v>
      </c>
      <c r="R962" s="192">
        <v>16.600000000000001</v>
      </c>
      <c r="S962" s="186">
        <v>10.6</v>
      </c>
      <c r="T962" s="187">
        <v>2.0699999999999998</v>
      </c>
      <c r="U962" s="188">
        <v>1.4</v>
      </c>
      <c r="V962" s="187">
        <v>7.79</v>
      </c>
      <c r="W962" s="185" t="s">
        <v>8</v>
      </c>
      <c r="X962" s="185" t="s">
        <v>8</v>
      </c>
      <c r="Y962" s="187">
        <v>5.63</v>
      </c>
      <c r="Z962" s="190">
        <v>0.68500000000000005</v>
      </c>
      <c r="AA962" s="14" t="str">
        <f t="shared" si="50"/>
        <v>WT</v>
      </c>
      <c r="AB962" s="14">
        <v>3.48</v>
      </c>
      <c r="AC962" s="14">
        <v>0.621</v>
      </c>
    </row>
    <row r="963" spans="1:29" s="198" customFormat="1" ht="15" x14ac:dyDescent="0.25">
      <c r="A963" s="185" t="s">
        <v>1313</v>
      </c>
      <c r="B963" s="185" t="s">
        <v>1413</v>
      </c>
      <c r="C963" s="185" t="s">
        <v>618</v>
      </c>
      <c r="D963" s="185">
        <v>185</v>
      </c>
      <c r="E963" s="186">
        <v>54.5</v>
      </c>
      <c r="F963" s="186">
        <v>14</v>
      </c>
      <c r="G963" s="186">
        <v>13.7</v>
      </c>
      <c r="H963" s="187">
        <v>1.52</v>
      </c>
      <c r="I963" s="187">
        <v>2.72</v>
      </c>
      <c r="J963" s="188">
        <v>3.22</v>
      </c>
      <c r="K963" s="188">
        <v>2.5099999999999998</v>
      </c>
      <c r="L963" s="185" t="s">
        <v>8</v>
      </c>
      <c r="M963" s="189">
        <v>779</v>
      </c>
      <c r="N963" s="189">
        <v>140</v>
      </c>
      <c r="O963" s="186">
        <v>74.7</v>
      </c>
      <c r="P963" s="187">
        <v>3.78</v>
      </c>
      <c r="Q963" s="189">
        <v>581</v>
      </c>
      <c r="R963" s="189">
        <v>133</v>
      </c>
      <c r="S963" s="186">
        <v>85.1</v>
      </c>
      <c r="T963" s="187">
        <v>3.27</v>
      </c>
      <c r="U963" s="189">
        <v>100</v>
      </c>
      <c r="V963" s="185">
        <v>553</v>
      </c>
      <c r="W963" s="185" t="s">
        <v>8</v>
      </c>
      <c r="X963" s="185" t="s">
        <v>8</v>
      </c>
      <c r="Y963" s="187">
        <v>5.47</v>
      </c>
      <c r="Z963" s="190">
        <v>0.83699999999999997</v>
      </c>
      <c r="AA963" s="14" t="str">
        <f t="shared" si="50"/>
        <v>WT</v>
      </c>
      <c r="AB963" s="14">
        <v>3.57</v>
      </c>
      <c r="AC963" s="14">
        <v>1.99</v>
      </c>
    </row>
    <row r="964" spans="1:29" s="198" customFormat="1" ht="15" x14ac:dyDescent="0.25">
      <c r="A964" s="185" t="s">
        <v>1313</v>
      </c>
      <c r="B964" s="185" t="s">
        <v>1414</v>
      </c>
      <c r="C964" s="185" t="s">
        <v>618</v>
      </c>
      <c r="D964" s="185">
        <v>167.5</v>
      </c>
      <c r="E964" s="186">
        <v>49.1</v>
      </c>
      <c r="F964" s="186">
        <v>13.8</v>
      </c>
      <c r="G964" s="186">
        <v>13.5</v>
      </c>
      <c r="H964" s="187">
        <v>1.38</v>
      </c>
      <c r="I964" s="187">
        <v>2.48</v>
      </c>
      <c r="J964" s="188">
        <v>2.98</v>
      </c>
      <c r="K964" s="188">
        <v>2.73</v>
      </c>
      <c r="L964" s="185" t="s">
        <v>8</v>
      </c>
      <c r="M964" s="189">
        <v>686</v>
      </c>
      <c r="N964" s="189">
        <v>123</v>
      </c>
      <c r="O964" s="186">
        <v>66.3</v>
      </c>
      <c r="P964" s="187">
        <v>3.73</v>
      </c>
      <c r="Q964" s="189">
        <v>513</v>
      </c>
      <c r="R964" s="189">
        <v>119</v>
      </c>
      <c r="S964" s="186">
        <v>75.900000000000006</v>
      </c>
      <c r="T964" s="187">
        <v>3.23</v>
      </c>
      <c r="U964" s="192">
        <v>75.599999999999994</v>
      </c>
      <c r="V964" s="185">
        <v>405</v>
      </c>
      <c r="W964" s="185" t="s">
        <v>8</v>
      </c>
      <c r="X964" s="185" t="s">
        <v>8</v>
      </c>
      <c r="Y964" s="187">
        <v>5.4</v>
      </c>
      <c r="Z964" s="190">
        <v>0.83699999999999997</v>
      </c>
      <c r="AA964" s="14" t="str">
        <f t="shared" si="50"/>
        <v>WT</v>
      </c>
      <c r="AB964" s="14">
        <v>3.42</v>
      </c>
      <c r="AC964" s="14">
        <v>1.82</v>
      </c>
    </row>
    <row r="965" spans="1:29" s="198" customFormat="1" ht="15" x14ac:dyDescent="0.25">
      <c r="A965" s="185" t="s">
        <v>1313</v>
      </c>
      <c r="B965" s="185" t="s">
        <v>1415</v>
      </c>
      <c r="C965" s="185" t="s">
        <v>618</v>
      </c>
      <c r="D965" s="185">
        <v>153</v>
      </c>
      <c r="E965" s="186">
        <v>44.9</v>
      </c>
      <c r="F965" s="186">
        <v>13.6</v>
      </c>
      <c r="G965" s="186">
        <v>13.4</v>
      </c>
      <c r="H965" s="187">
        <v>1.26</v>
      </c>
      <c r="I965" s="187">
        <v>2.2799999999999998</v>
      </c>
      <c r="J965" s="188">
        <v>2.78</v>
      </c>
      <c r="K965" s="188">
        <v>2.94</v>
      </c>
      <c r="L965" s="185" t="s">
        <v>8</v>
      </c>
      <c r="M965" s="189">
        <v>611</v>
      </c>
      <c r="N965" s="189">
        <v>110</v>
      </c>
      <c r="O965" s="186">
        <v>59.4</v>
      </c>
      <c r="P965" s="187">
        <v>3.69</v>
      </c>
      <c r="Q965" s="189">
        <v>460</v>
      </c>
      <c r="R965" s="189">
        <v>107</v>
      </c>
      <c r="S965" s="186">
        <v>68.599999999999994</v>
      </c>
      <c r="T965" s="187">
        <v>3.2</v>
      </c>
      <c r="U965" s="192">
        <v>58.4</v>
      </c>
      <c r="V965" s="185">
        <v>305</v>
      </c>
      <c r="W965" s="185" t="s">
        <v>8</v>
      </c>
      <c r="X965" s="185" t="s">
        <v>8</v>
      </c>
      <c r="Y965" s="187">
        <v>5.34</v>
      </c>
      <c r="Z965" s="190">
        <v>0.83699999999999997</v>
      </c>
      <c r="AA965" s="14" t="str">
        <f t="shared" si="50"/>
        <v>WT</v>
      </c>
      <c r="AB965" s="14">
        <v>3.29</v>
      </c>
      <c r="AC965" s="14">
        <v>1.67</v>
      </c>
    </row>
    <row r="966" spans="1:29" s="198" customFormat="1" ht="15" x14ac:dyDescent="0.25">
      <c r="A966" s="185" t="s">
        <v>1313</v>
      </c>
      <c r="B966" s="185" t="s">
        <v>1416</v>
      </c>
      <c r="C966" s="185" t="s">
        <v>618</v>
      </c>
      <c r="D966" s="185">
        <v>139.5</v>
      </c>
      <c r="E966" s="186">
        <v>41</v>
      </c>
      <c r="F966" s="186">
        <v>13.4</v>
      </c>
      <c r="G966" s="186">
        <v>13.3</v>
      </c>
      <c r="H966" s="187">
        <v>1.1599999999999999</v>
      </c>
      <c r="I966" s="187">
        <v>2.09</v>
      </c>
      <c r="J966" s="188">
        <v>2.59</v>
      </c>
      <c r="K966" s="188">
        <v>3.18</v>
      </c>
      <c r="L966" s="185" t="s">
        <v>8</v>
      </c>
      <c r="M966" s="189">
        <v>546</v>
      </c>
      <c r="N966" s="192">
        <v>98.8</v>
      </c>
      <c r="O966" s="186">
        <v>53.6</v>
      </c>
      <c r="P966" s="187">
        <v>3.65</v>
      </c>
      <c r="Q966" s="189">
        <v>412</v>
      </c>
      <c r="R966" s="192">
        <v>96.3</v>
      </c>
      <c r="S966" s="186">
        <v>61.9</v>
      </c>
      <c r="T966" s="187">
        <v>3.17</v>
      </c>
      <c r="U966" s="192">
        <v>45.1</v>
      </c>
      <c r="V966" s="185">
        <v>230</v>
      </c>
      <c r="W966" s="185" t="s">
        <v>8</v>
      </c>
      <c r="X966" s="185" t="s">
        <v>8</v>
      </c>
      <c r="Y966" s="187">
        <v>5.28</v>
      </c>
      <c r="Z966" s="190">
        <v>0.83699999999999997</v>
      </c>
      <c r="AA966" s="14" t="str">
        <f t="shared" si="50"/>
        <v>WT</v>
      </c>
      <c r="AB966" s="14">
        <v>3.18</v>
      </c>
      <c r="AC966" s="14">
        <v>1.54</v>
      </c>
    </row>
    <row r="967" spans="1:29" s="198" customFormat="1" ht="15" x14ac:dyDescent="0.25">
      <c r="A967" s="185" t="s">
        <v>1313</v>
      </c>
      <c r="B967" s="185" t="s">
        <v>1417</v>
      </c>
      <c r="C967" s="185" t="s">
        <v>618</v>
      </c>
      <c r="D967" s="185">
        <v>125</v>
      </c>
      <c r="E967" s="186">
        <v>36.799999999999997</v>
      </c>
      <c r="F967" s="186">
        <v>13.2</v>
      </c>
      <c r="G967" s="186">
        <v>13.2</v>
      </c>
      <c r="H967" s="187">
        <v>1.04</v>
      </c>
      <c r="I967" s="187">
        <v>1.89</v>
      </c>
      <c r="J967" s="188">
        <v>2.39</v>
      </c>
      <c r="K967" s="188">
        <v>3.49</v>
      </c>
      <c r="L967" s="185" t="s">
        <v>8</v>
      </c>
      <c r="M967" s="189">
        <v>478</v>
      </c>
      <c r="N967" s="192">
        <v>86.5</v>
      </c>
      <c r="O967" s="186">
        <v>47.2</v>
      </c>
      <c r="P967" s="187">
        <v>3.61</v>
      </c>
      <c r="Q967" s="189">
        <v>362</v>
      </c>
      <c r="R967" s="192">
        <v>85.2</v>
      </c>
      <c r="S967" s="186">
        <v>54.9</v>
      </c>
      <c r="T967" s="187">
        <v>3.14</v>
      </c>
      <c r="U967" s="192">
        <v>33.200000000000003</v>
      </c>
      <c r="V967" s="185">
        <v>165</v>
      </c>
      <c r="W967" s="185" t="s">
        <v>8</v>
      </c>
      <c r="X967" s="185" t="s">
        <v>8</v>
      </c>
      <c r="Y967" s="187">
        <v>5.22</v>
      </c>
      <c r="Z967" s="190">
        <v>0.83799999999999997</v>
      </c>
      <c r="AA967" s="14" t="str">
        <f t="shared" si="50"/>
        <v>WT</v>
      </c>
      <c r="AB967" s="14">
        <v>3.05</v>
      </c>
      <c r="AC967" s="14">
        <v>1.39</v>
      </c>
    </row>
    <row r="968" spans="1:29" s="198" customFormat="1" ht="15" x14ac:dyDescent="0.25">
      <c r="A968" s="185" t="s">
        <v>1313</v>
      </c>
      <c r="B968" s="185" t="s">
        <v>1418</v>
      </c>
      <c r="C968" s="185" t="s">
        <v>618</v>
      </c>
      <c r="D968" s="185">
        <v>114.5</v>
      </c>
      <c r="E968" s="186">
        <v>33.6</v>
      </c>
      <c r="F968" s="186">
        <v>13</v>
      </c>
      <c r="G968" s="186">
        <v>13.1</v>
      </c>
      <c r="H968" s="190">
        <v>0.96</v>
      </c>
      <c r="I968" s="187">
        <v>1.73</v>
      </c>
      <c r="J968" s="188">
        <v>2.23</v>
      </c>
      <c r="K968" s="188">
        <v>3.79</v>
      </c>
      <c r="L968" s="185" t="s">
        <v>8</v>
      </c>
      <c r="M968" s="189">
        <v>431</v>
      </c>
      <c r="N968" s="192">
        <v>78.099999999999994</v>
      </c>
      <c r="O968" s="186">
        <v>42.9</v>
      </c>
      <c r="P968" s="187">
        <v>3.58</v>
      </c>
      <c r="Q968" s="189">
        <v>326</v>
      </c>
      <c r="R968" s="192">
        <v>77</v>
      </c>
      <c r="S968" s="186">
        <v>49.7</v>
      </c>
      <c r="T968" s="187">
        <v>3.11</v>
      </c>
      <c r="U968" s="192">
        <v>25.5</v>
      </c>
      <c r="V968" s="185">
        <v>125</v>
      </c>
      <c r="W968" s="185" t="s">
        <v>8</v>
      </c>
      <c r="X968" s="185" t="s">
        <v>8</v>
      </c>
      <c r="Y968" s="187">
        <v>5.19</v>
      </c>
      <c r="Z968" s="190">
        <v>0.83599999999999997</v>
      </c>
      <c r="AA968" s="14" t="str">
        <f t="shared" si="50"/>
        <v>WT</v>
      </c>
      <c r="AB968" s="14">
        <v>2.96</v>
      </c>
      <c r="AC968" s="14">
        <v>1.28</v>
      </c>
    </row>
    <row r="969" spans="1:29" s="198" customFormat="1" ht="15" x14ac:dyDescent="0.25">
      <c r="A969" s="185" t="s">
        <v>1313</v>
      </c>
      <c r="B969" s="185" t="s">
        <v>1419</v>
      </c>
      <c r="C969" s="185" t="s">
        <v>618</v>
      </c>
      <c r="D969" s="185">
        <v>103.5</v>
      </c>
      <c r="E969" s="186">
        <v>30.3</v>
      </c>
      <c r="F969" s="186">
        <v>12.9</v>
      </c>
      <c r="G969" s="186">
        <v>13</v>
      </c>
      <c r="H969" s="190">
        <v>0.87</v>
      </c>
      <c r="I969" s="187">
        <v>1.57</v>
      </c>
      <c r="J969" s="188">
        <v>2.0699999999999998</v>
      </c>
      <c r="K969" s="188">
        <v>4.1399999999999997</v>
      </c>
      <c r="L969" s="185" t="s">
        <v>8</v>
      </c>
      <c r="M969" s="189">
        <v>382</v>
      </c>
      <c r="N969" s="192">
        <v>69.3</v>
      </c>
      <c r="O969" s="186">
        <v>38.299999999999997</v>
      </c>
      <c r="P969" s="187">
        <v>3.55</v>
      </c>
      <c r="Q969" s="189">
        <v>289</v>
      </c>
      <c r="R969" s="192">
        <v>68.599999999999994</v>
      </c>
      <c r="S969" s="186">
        <v>44.4</v>
      </c>
      <c r="T969" s="187">
        <v>3.08</v>
      </c>
      <c r="U969" s="192">
        <v>19.100000000000001</v>
      </c>
      <c r="V969" s="186">
        <v>91.3</v>
      </c>
      <c r="W969" s="185" t="s">
        <v>8</v>
      </c>
      <c r="X969" s="185" t="s">
        <v>8</v>
      </c>
      <c r="Y969" s="187">
        <v>5.14</v>
      </c>
      <c r="Z969" s="190">
        <v>0.83599999999999997</v>
      </c>
      <c r="AA969" s="14" t="str">
        <f t="shared" si="50"/>
        <v>WT</v>
      </c>
      <c r="AB969" s="14">
        <v>2.87</v>
      </c>
      <c r="AC969" s="14">
        <v>1.17</v>
      </c>
    </row>
    <row r="970" spans="1:29" s="198" customFormat="1" ht="15" x14ac:dyDescent="0.25">
      <c r="A970" s="185" t="s">
        <v>1313</v>
      </c>
      <c r="B970" s="185" t="s">
        <v>1420</v>
      </c>
      <c r="C970" s="185" t="s">
        <v>618</v>
      </c>
      <c r="D970" s="186">
        <v>96</v>
      </c>
      <c r="E970" s="186">
        <v>28.2</v>
      </c>
      <c r="F970" s="186">
        <v>12.7</v>
      </c>
      <c r="G970" s="186">
        <v>13</v>
      </c>
      <c r="H970" s="190">
        <v>0.81</v>
      </c>
      <c r="I970" s="187">
        <v>1.46</v>
      </c>
      <c r="J970" s="188">
        <v>1.96</v>
      </c>
      <c r="K970" s="188">
        <v>4.43</v>
      </c>
      <c r="L970" s="185" t="s">
        <v>8</v>
      </c>
      <c r="M970" s="189">
        <v>350</v>
      </c>
      <c r="N970" s="192">
        <v>63.5</v>
      </c>
      <c r="O970" s="186">
        <v>35.200000000000003</v>
      </c>
      <c r="P970" s="187">
        <v>3.53</v>
      </c>
      <c r="Q970" s="189">
        <v>265</v>
      </c>
      <c r="R970" s="192">
        <v>63.1</v>
      </c>
      <c r="S970" s="186">
        <v>40.9</v>
      </c>
      <c r="T970" s="187">
        <v>3.07</v>
      </c>
      <c r="U970" s="192">
        <v>15.3</v>
      </c>
      <c r="V970" s="186">
        <v>72.5</v>
      </c>
      <c r="W970" s="185" t="s">
        <v>8</v>
      </c>
      <c r="X970" s="185" t="s">
        <v>8</v>
      </c>
      <c r="Y970" s="187">
        <v>5.1100000000000003</v>
      </c>
      <c r="Z970" s="190">
        <v>0.83599999999999997</v>
      </c>
      <c r="AA970" s="14" t="str">
        <f t="shared" si="50"/>
        <v>WT</v>
      </c>
      <c r="AB970" s="14">
        <v>2.8</v>
      </c>
      <c r="AC970" s="14">
        <v>1.0900000000000001</v>
      </c>
    </row>
    <row r="971" spans="1:29" s="198" customFormat="1" ht="15" x14ac:dyDescent="0.25">
      <c r="A971" s="185" t="s">
        <v>1313</v>
      </c>
      <c r="B971" s="185" t="s">
        <v>1421</v>
      </c>
      <c r="C971" s="185" t="s">
        <v>618</v>
      </c>
      <c r="D971" s="186">
        <v>88</v>
      </c>
      <c r="E971" s="186">
        <v>25.8</v>
      </c>
      <c r="F971" s="186">
        <v>12.6</v>
      </c>
      <c r="G971" s="186">
        <v>12.9</v>
      </c>
      <c r="H971" s="190">
        <v>0.75</v>
      </c>
      <c r="I971" s="187">
        <v>1.34</v>
      </c>
      <c r="J971" s="188">
        <v>1.84</v>
      </c>
      <c r="K971" s="188">
        <v>4.8099999999999996</v>
      </c>
      <c r="L971" s="185" t="s">
        <v>8</v>
      </c>
      <c r="M971" s="189">
        <v>319</v>
      </c>
      <c r="N971" s="192">
        <v>57.8</v>
      </c>
      <c r="O971" s="186">
        <v>32.200000000000003</v>
      </c>
      <c r="P971" s="187">
        <v>3.51</v>
      </c>
      <c r="Q971" s="189">
        <v>240</v>
      </c>
      <c r="R971" s="192">
        <v>57.3</v>
      </c>
      <c r="S971" s="186">
        <v>37.200000000000003</v>
      </c>
      <c r="T971" s="187">
        <v>3.04</v>
      </c>
      <c r="U971" s="192">
        <v>11.9</v>
      </c>
      <c r="V971" s="186">
        <v>55.8</v>
      </c>
      <c r="W971" s="185" t="s">
        <v>8</v>
      </c>
      <c r="X971" s="185" t="s">
        <v>8</v>
      </c>
      <c r="Y971" s="187">
        <v>5.09</v>
      </c>
      <c r="Z971" s="190">
        <v>0.83499999999999996</v>
      </c>
      <c r="AA971" s="14" t="str">
        <f t="shared" si="50"/>
        <v>WT</v>
      </c>
      <c r="AB971" s="14">
        <v>2.74</v>
      </c>
      <c r="AC971" s="14">
        <v>1</v>
      </c>
    </row>
    <row r="972" spans="1:29" s="198" customFormat="1" ht="15" x14ac:dyDescent="0.25">
      <c r="A972" s="185" t="s">
        <v>1313</v>
      </c>
      <c r="B972" s="185" t="s">
        <v>1422</v>
      </c>
      <c r="C972" s="185" t="s">
        <v>618</v>
      </c>
      <c r="D972" s="186">
        <v>81</v>
      </c>
      <c r="E972" s="186">
        <v>23.9</v>
      </c>
      <c r="F972" s="186">
        <v>12.5</v>
      </c>
      <c r="G972" s="186">
        <v>13</v>
      </c>
      <c r="H972" s="190">
        <v>0.70499999999999996</v>
      </c>
      <c r="I972" s="187">
        <v>1.22</v>
      </c>
      <c r="J972" s="188">
        <v>1.72</v>
      </c>
      <c r="K972" s="188">
        <v>5.31</v>
      </c>
      <c r="L972" s="185" t="s">
        <v>8</v>
      </c>
      <c r="M972" s="189">
        <v>293</v>
      </c>
      <c r="N972" s="192">
        <v>53.3</v>
      </c>
      <c r="O972" s="186">
        <v>29.9</v>
      </c>
      <c r="P972" s="187">
        <v>3.5</v>
      </c>
      <c r="Q972" s="189">
        <v>221</v>
      </c>
      <c r="R972" s="192">
        <v>52.6</v>
      </c>
      <c r="S972" s="186">
        <v>34.200000000000003</v>
      </c>
      <c r="T972" s="187">
        <v>3.05</v>
      </c>
      <c r="U972" s="188">
        <v>9.2200000000000006</v>
      </c>
      <c r="V972" s="186">
        <v>43.8</v>
      </c>
      <c r="W972" s="185" t="s">
        <v>8</v>
      </c>
      <c r="X972" s="185" t="s">
        <v>8</v>
      </c>
      <c r="Y972" s="187">
        <v>5.09</v>
      </c>
      <c r="Z972" s="190">
        <v>0.83199999999999996</v>
      </c>
      <c r="AA972" s="14" t="str">
        <f t="shared" si="50"/>
        <v>WT</v>
      </c>
      <c r="AB972" s="14">
        <v>2.7</v>
      </c>
      <c r="AC972" s="14">
        <v>0.92100000000000004</v>
      </c>
    </row>
    <row r="973" spans="1:29" s="198" customFormat="1" ht="15" x14ac:dyDescent="0.25">
      <c r="A973" s="185" t="s">
        <v>1313</v>
      </c>
      <c r="B973" s="185" t="s">
        <v>1423</v>
      </c>
      <c r="C973" s="185" t="s">
        <v>618</v>
      </c>
      <c r="D973" s="186">
        <v>73</v>
      </c>
      <c r="E973" s="186">
        <v>21.5</v>
      </c>
      <c r="F973" s="186">
        <v>12.4</v>
      </c>
      <c r="G973" s="186">
        <v>12.9</v>
      </c>
      <c r="H973" s="190">
        <v>0.65</v>
      </c>
      <c r="I973" s="187">
        <v>1.0900000000000001</v>
      </c>
      <c r="J973" s="188">
        <v>1.59</v>
      </c>
      <c r="K973" s="188">
        <v>5.92</v>
      </c>
      <c r="L973" s="185" t="s">
        <v>8</v>
      </c>
      <c r="M973" s="189">
        <v>264</v>
      </c>
      <c r="N973" s="192">
        <v>48.2</v>
      </c>
      <c r="O973" s="186">
        <v>27.2</v>
      </c>
      <c r="P973" s="187">
        <v>3.5</v>
      </c>
      <c r="Q973" s="189">
        <v>195</v>
      </c>
      <c r="R973" s="192">
        <v>46.6</v>
      </c>
      <c r="S973" s="186">
        <v>30.3</v>
      </c>
      <c r="T973" s="187">
        <v>3.01</v>
      </c>
      <c r="U973" s="188">
        <v>6.7</v>
      </c>
      <c r="V973" s="186">
        <v>31.9</v>
      </c>
      <c r="W973" s="185" t="s">
        <v>8</v>
      </c>
      <c r="X973" s="185" t="s">
        <v>8</v>
      </c>
      <c r="Y973" s="187">
        <v>5.08</v>
      </c>
      <c r="Z973" s="190">
        <v>0.82699999999999996</v>
      </c>
      <c r="AA973" s="14" t="str">
        <f t="shared" si="50"/>
        <v>WT</v>
      </c>
      <c r="AB973" s="14">
        <v>2.66</v>
      </c>
      <c r="AC973" s="14">
        <v>0.83299999999999996</v>
      </c>
    </row>
    <row r="974" spans="1:29" s="198" customFormat="1" ht="15" x14ac:dyDescent="0.25">
      <c r="A974" s="185" t="s">
        <v>1313</v>
      </c>
      <c r="B974" s="185" t="s">
        <v>1424</v>
      </c>
      <c r="C974" s="185" t="s">
        <v>618</v>
      </c>
      <c r="D974" s="186">
        <v>65.5</v>
      </c>
      <c r="E974" s="186">
        <v>19.3</v>
      </c>
      <c r="F974" s="186">
        <v>12.2</v>
      </c>
      <c r="G974" s="186">
        <v>12.9</v>
      </c>
      <c r="H974" s="190">
        <v>0.60499999999999998</v>
      </c>
      <c r="I974" s="190">
        <v>0.96</v>
      </c>
      <c r="J974" s="188">
        <v>1.46</v>
      </c>
      <c r="K974" s="188">
        <v>6.7</v>
      </c>
      <c r="L974" s="185" t="s">
        <v>8</v>
      </c>
      <c r="M974" s="189">
        <v>238</v>
      </c>
      <c r="N974" s="192">
        <v>43.9</v>
      </c>
      <c r="O974" s="186">
        <v>24.8</v>
      </c>
      <c r="P974" s="187">
        <v>3.52</v>
      </c>
      <c r="Q974" s="189">
        <v>170</v>
      </c>
      <c r="R974" s="192">
        <v>40.700000000000003</v>
      </c>
      <c r="S974" s="186">
        <v>26.5</v>
      </c>
      <c r="T974" s="187">
        <v>2.97</v>
      </c>
      <c r="U974" s="188">
        <v>4.74</v>
      </c>
      <c r="V974" s="186">
        <v>23.1</v>
      </c>
      <c r="W974" s="185" t="s">
        <v>8</v>
      </c>
      <c r="X974" s="185" t="s">
        <v>8</v>
      </c>
      <c r="Y974" s="187">
        <v>5.09</v>
      </c>
      <c r="Z974" s="190">
        <v>0.81799999999999995</v>
      </c>
      <c r="AA974" s="14" t="str">
        <f t="shared" ref="AA974:AA1037" si="51">A974</f>
        <v>WT</v>
      </c>
      <c r="AB974" s="14">
        <v>2.65</v>
      </c>
      <c r="AC974" s="14">
        <v>0.75</v>
      </c>
    </row>
    <row r="975" spans="1:29" s="198" customFormat="1" ht="15" x14ac:dyDescent="0.25">
      <c r="A975" s="185" t="s">
        <v>1313</v>
      </c>
      <c r="B975" s="185" t="s">
        <v>1425</v>
      </c>
      <c r="C975" s="185" t="s">
        <v>618</v>
      </c>
      <c r="D975" s="186">
        <v>58.5</v>
      </c>
      <c r="E975" s="186">
        <v>17.2</v>
      </c>
      <c r="F975" s="186">
        <v>12.1</v>
      </c>
      <c r="G975" s="186">
        <v>12.8</v>
      </c>
      <c r="H975" s="190">
        <v>0.55000000000000004</v>
      </c>
      <c r="I975" s="190">
        <v>0.85</v>
      </c>
      <c r="J975" s="188">
        <v>1.35</v>
      </c>
      <c r="K975" s="188">
        <v>7.53</v>
      </c>
      <c r="L975" s="185" t="s">
        <v>8</v>
      </c>
      <c r="M975" s="189">
        <v>212</v>
      </c>
      <c r="N975" s="192">
        <v>39.200000000000003</v>
      </c>
      <c r="O975" s="186">
        <v>22.3</v>
      </c>
      <c r="P975" s="187">
        <v>3.51</v>
      </c>
      <c r="Q975" s="189">
        <v>149</v>
      </c>
      <c r="R975" s="192">
        <v>35.700000000000003</v>
      </c>
      <c r="S975" s="186">
        <v>23.2</v>
      </c>
      <c r="T975" s="187">
        <v>2.94</v>
      </c>
      <c r="U975" s="188">
        <v>3.35</v>
      </c>
      <c r="V975" s="186">
        <v>16.399999999999999</v>
      </c>
      <c r="W975" s="185" t="s">
        <v>8</v>
      </c>
      <c r="X975" s="185" t="s">
        <v>8</v>
      </c>
      <c r="Y975" s="187">
        <v>5.08</v>
      </c>
      <c r="Z975" s="190">
        <v>0.81399999999999995</v>
      </c>
      <c r="AA975" s="14" t="str">
        <f t="shared" si="51"/>
        <v>WT</v>
      </c>
      <c r="AB975" s="14">
        <v>2.62</v>
      </c>
      <c r="AC975" s="14">
        <v>0.67200000000000004</v>
      </c>
    </row>
    <row r="976" spans="1:29" s="198" customFormat="1" ht="15" x14ac:dyDescent="0.25">
      <c r="A976" s="185" t="s">
        <v>1313</v>
      </c>
      <c r="B976" s="185" t="s">
        <v>1426</v>
      </c>
      <c r="C976" s="185" t="s">
        <v>618</v>
      </c>
      <c r="D976" s="186">
        <v>52</v>
      </c>
      <c r="E976" s="186">
        <v>15.3</v>
      </c>
      <c r="F976" s="186">
        <v>12</v>
      </c>
      <c r="G976" s="186">
        <v>12.8</v>
      </c>
      <c r="H976" s="190">
        <v>0.5</v>
      </c>
      <c r="I976" s="190">
        <v>0.75</v>
      </c>
      <c r="J976" s="188">
        <v>1.25</v>
      </c>
      <c r="K976" s="188">
        <v>8.5</v>
      </c>
      <c r="L976" s="185" t="s">
        <v>8</v>
      </c>
      <c r="M976" s="189">
        <v>189</v>
      </c>
      <c r="N976" s="192">
        <v>35.1</v>
      </c>
      <c r="O976" s="186">
        <v>20</v>
      </c>
      <c r="P976" s="187">
        <v>3.51</v>
      </c>
      <c r="Q976" s="189">
        <v>130</v>
      </c>
      <c r="R976" s="192">
        <v>31.2</v>
      </c>
      <c r="S976" s="186">
        <v>20.3</v>
      </c>
      <c r="T976" s="187">
        <v>2.91</v>
      </c>
      <c r="U976" s="188">
        <v>2.35</v>
      </c>
      <c r="V976" s="186">
        <v>11.6</v>
      </c>
      <c r="W976" s="185" t="s">
        <v>8</v>
      </c>
      <c r="X976" s="185" t="s">
        <v>8</v>
      </c>
      <c r="Y976" s="187">
        <v>5.07</v>
      </c>
      <c r="Z976" s="190">
        <v>0.80900000000000005</v>
      </c>
      <c r="AA976" s="14" t="str">
        <f t="shared" si="51"/>
        <v>WT</v>
      </c>
      <c r="AB976" s="14">
        <v>2.59</v>
      </c>
      <c r="AC976" s="14">
        <v>0.6</v>
      </c>
    </row>
    <row r="977" spans="1:29" s="198" customFormat="1" ht="15" x14ac:dyDescent="0.25">
      <c r="A977" s="185" t="s">
        <v>1313</v>
      </c>
      <c r="B977" s="185" t="s">
        <v>1427</v>
      </c>
      <c r="C977" s="185" t="s">
        <v>618</v>
      </c>
      <c r="D977" s="186">
        <v>51.5</v>
      </c>
      <c r="E977" s="186">
        <v>15.1</v>
      </c>
      <c r="F977" s="186">
        <v>12.3</v>
      </c>
      <c r="G977" s="187">
        <v>9</v>
      </c>
      <c r="H977" s="190">
        <v>0.55000000000000004</v>
      </c>
      <c r="I977" s="190">
        <v>0.98</v>
      </c>
      <c r="J977" s="188">
        <v>1.48</v>
      </c>
      <c r="K977" s="188">
        <v>4.59</v>
      </c>
      <c r="L977" s="185" t="s">
        <v>8</v>
      </c>
      <c r="M977" s="189">
        <v>204</v>
      </c>
      <c r="N977" s="192">
        <v>39.200000000000003</v>
      </c>
      <c r="O977" s="186">
        <v>22</v>
      </c>
      <c r="P977" s="187">
        <v>3.67</v>
      </c>
      <c r="Q977" s="192">
        <v>59.7</v>
      </c>
      <c r="R977" s="192">
        <v>20.7</v>
      </c>
      <c r="S977" s="186">
        <v>13.3</v>
      </c>
      <c r="T977" s="187">
        <v>1.99</v>
      </c>
      <c r="U977" s="188">
        <v>3.53</v>
      </c>
      <c r="V977" s="186">
        <v>12.3</v>
      </c>
      <c r="W977" s="185" t="s">
        <v>8</v>
      </c>
      <c r="X977" s="185" t="s">
        <v>8</v>
      </c>
      <c r="Y977" s="187">
        <v>4.88</v>
      </c>
      <c r="Z977" s="190">
        <v>0.73299999999999998</v>
      </c>
      <c r="AA977" s="14" t="str">
        <f t="shared" si="51"/>
        <v>WT</v>
      </c>
      <c r="AB977" s="14">
        <v>3.01</v>
      </c>
      <c r="AC977" s="14">
        <v>0.84099999999999997</v>
      </c>
    </row>
    <row r="978" spans="1:29" s="198" customFormat="1" ht="15" x14ac:dyDescent="0.25">
      <c r="A978" s="185" t="s">
        <v>1313</v>
      </c>
      <c r="B978" s="185" t="s">
        <v>1428</v>
      </c>
      <c r="C978" s="185" t="s">
        <v>618</v>
      </c>
      <c r="D978" s="186">
        <v>47</v>
      </c>
      <c r="E978" s="186">
        <v>13.8</v>
      </c>
      <c r="F978" s="186">
        <v>12.2</v>
      </c>
      <c r="G978" s="187">
        <v>9.07</v>
      </c>
      <c r="H978" s="190">
        <v>0.51500000000000001</v>
      </c>
      <c r="I978" s="190">
        <v>0.875</v>
      </c>
      <c r="J978" s="188">
        <v>1.38</v>
      </c>
      <c r="K978" s="188">
        <v>5.18</v>
      </c>
      <c r="L978" s="185" t="s">
        <v>8</v>
      </c>
      <c r="M978" s="189">
        <v>186</v>
      </c>
      <c r="N978" s="192">
        <v>36.1</v>
      </c>
      <c r="O978" s="186">
        <v>20.3</v>
      </c>
      <c r="P978" s="187">
        <v>3.67</v>
      </c>
      <c r="Q978" s="192">
        <v>54.5</v>
      </c>
      <c r="R978" s="192">
        <v>18.7</v>
      </c>
      <c r="S978" s="186">
        <v>12</v>
      </c>
      <c r="T978" s="187">
        <v>1.98</v>
      </c>
      <c r="U978" s="188">
        <v>2.62</v>
      </c>
      <c r="V978" s="187">
        <v>9.57</v>
      </c>
      <c r="W978" s="185" t="s">
        <v>8</v>
      </c>
      <c r="X978" s="185" t="s">
        <v>8</v>
      </c>
      <c r="Y978" s="187">
        <v>4.8899999999999997</v>
      </c>
      <c r="Z978" s="190">
        <v>0.72699999999999998</v>
      </c>
      <c r="AA978" s="14" t="str">
        <f t="shared" si="51"/>
        <v>WT</v>
      </c>
      <c r="AB978" s="14">
        <v>2.99</v>
      </c>
      <c r="AC978" s="14">
        <v>0.76400000000000001</v>
      </c>
    </row>
    <row r="979" spans="1:29" s="198" customFormat="1" ht="15" x14ac:dyDescent="0.25">
      <c r="A979" s="185" t="s">
        <v>1313</v>
      </c>
      <c r="B979" s="185" t="s">
        <v>1429</v>
      </c>
      <c r="C979" s="185" t="s">
        <v>618</v>
      </c>
      <c r="D979" s="186">
        <v>42</v>
      </c>
      <c r="E979" s="186">
        <v>12.4</v>
      </c>
      <c r="F979" s="186">
        <v>12.1</v>
      </c>
      <c r="G979" s="187">
        <v>9.02</v>
      </c>
      <c r="H979" s="190">
        <v>0.47</v>
      </c>
      <c r="I979" s="190">
        <v>0.77</v>
      </c>
      <c r="J979" s="188">
        <v>1.27</v>
      </c>
      <c r="K979" s="188">
        <v>5.86</v>
      </c>
      <c r="L979" s="185" t="s">
        <v>8</v>
      </c>
      <c r="M979" s="189">
        <v>166</v>
      </c>
      <c r="N979" s="192">
        <v>32.5</v>
      </c>
      <c r="O979" s="186">
        <v>18.3</v>
      </c>
      <c r="P979" s="187">
        <v>3.67</v>
      </c>
      <c r="Q979" s="192">
        <v>47.2</v>
      </c>
      <c r="R979" s="192">
        <v>16.3</v>
      </c>
      <c r="S979" s="186">
        <v>10.5</v>
      </c>
      <c r="T979" s="187">
        <v>1.95</v>
      </c>
      <c r="U979" s="188">
        <v>1.84</v>
      </c>
      <c r="V979" s="187">
        <v>6.9</v>
      </c>
      <c r="W979" s="185" t="s">
        <v>8</v>
      </c>
      <c r="X979" s="185" t="s">
        <v>8</v>
      </c>
      <c r="Y979" s="187">
        <v>4.9000000000000004</v>
      </c>
      <c r="Z979" s="190">
        <v>0.72</v>
      </c>
      <c r="AA979" s="14" t="str">
        <f t="shared" si="51"/>
        <v>WT</v>
      </c>
      <c r="AB979" s="14">
        <v>2.97</v>
      </c>
      <c r="AC979" s="14">
        <v>0.68500000000000005</v>
      </c>
    </row>
    <row r="980" spans="1:29" s="198" customFormat="1" ht="15" x14ac:dyDescent="0.25">
      <c r="A980" s="185" t="s">
        <v>1313</v>
      </c>
      <c r="B980" s="185" t="s">
        <v>1430</v>
      </c>
      <c r="C980" s="185" t="s">
        <v>618</v>
      </c>
      <c r="D980" s="186">
        <v>38</v>
      </c>
      <c r="E980" s="186">
        <v>11.2</v>
      </c>
      <c r="F980" s="186">
        <v>12</v>
      </c>
      <c r="G980" s="187">
        <v>8.99</v>
      </c>
      <c r="H980" s="190">
        <v>0.44</v>
      </c>
      <c r="I980" s="190">
        <v>0.68</v>
      </c>
      <c r="J980" s="188">
        <v>1.18</v>
      </c>
      <c r="K980" s="188">
        <v>6.61</v>
      </c>
      <c r="L980" s="185" t="s">
        <v>8</v>
      </c>
      <c r="M980" s="189">
        <v>151</v>
      </c>
      <c r="N980" s="192">
        <v>30.1</v>
      </c>
      <c r="O980" s="186">
        <v>16.899999999999999</v>
      </c>
      <c r="P980" s="187">
        <v>3.68</v>
      </c>
      <c r="Q980" s="192">
        <v>41.3</v>
      </c>
      <c r="R980" s="192">
        <v>14.3</v>
      </c>
      <c r="S980" s="187">
        <v>9.18</v>
      </c>
      <c r="T980" s="187">
        <v>1.92</v>
      </c>
      <c r="U980" s="188">
        <v>1.34</v>
      </c>
      <c r="V980" s="187">
        <v>5.3</v>
      </c>
      <c r="W980" s="185" t="s">
        <v>8</v>
      </c>
      <c r="X980" s="185" t="s">
        <v>8</v>
      </c>
      <c r="Y980" s="187">
        <v>4.93</v>
      </c>
      <c r="Z980" s="190">
        <v>0.70899999999999996</v>
      </c>
      <c r="AA980" s="14" t="str">
        <f t="shared" si="51"/>
        <v>WT</v>
      </c>
      <c r="AB980" s="14">
        <v>3</v>
      </c>
      <c r="AC980" s="14">
        <v>0.622</v>
      </c>
    </row>
    <row r="981" spans="1:29" s="198" customFormat="1" ht="15" x14ac:dyDescent="0.25">
      <c r="A981" s="185" t="s">
        <v>1313</v>
      </c>
      <c r="B981" s="185" t="s">
        <v>1431</v>
      </c>
      <c r="C981" s="185" t="s">
        <v>618</v>
      </c>
      <c r="D981" s="186">
        <v>34</v>
      </c>
      <c r="E981" s="186">
        <v>10</v>
      </c>
      <c r="F981" s="186">
        <v>11.9</v>
      </c>
      <c r="G981" s="187">
        <v>8.9700000000000006</v>
      </c>
      <c r="H981" s="190">
        <v>0.41499999999999998</v>
      </c>
      <c r="I981" s="190">
        <v>0.58499999999999996</v>
      </c>
      <c r="J981" s="188">
        <v>1.0900000000000001</v>
      </c>
      <c r="K981" s="188">
        <v>7.66</v>
      </c>
      <c r="L981" s="185" t="s">
        <v>8</v>
      </c>
      <c r="M981" s="189">
        <v>137</v>
      </c>
      <c r="N981" s="192">
        <v>27.9</v>
      </c>
      <c r="O981" s="186">
        <v>15.6</v>
      </c>
      <c r="P981" s="187">
        <v>3.7</v>
      </c>
      <c r="Q981" s="192">
        <v>35.200000000000003</v>
      </c>
      <c r="R981" s="192">
        <v>12.3</v>
      </c>
      <c r="S981" s="187">
        <v>7.85</v>
      </c>
      <c r="T981" s="187">
        <v>1.87</v>
      </c>
      <c r="U981" s="199">
        <v>0.93200000000000005</v>
      </c>
      <c r="V981" s="187">
        <v>4.08</v>
      </c>
      <c r="W981" s="185" t="s">
        <v>8</v>
      </c>
      <c r="X981" s="185" t="s">
        <v>8</v>
      </c>
      <c r="Y981" s="187">
        <v>4.99</v>
      </c>
      <c r="Z981" s="190">
        <v>0.69099999999999995</v>
      </c>
      <c r="AA981" s="14" t="str">
        <f t="shared" si="51"/>
        <v>WT</v>
      </c>
      <c r="AB981" s="14">
        <v>3.06</v>
      </c>
      <c r="AC981" s="14">
        <v>0.56000000000000005</v>
      </c>
    </row>
    <row r="982" spans="1:29" s="198" customFormat="1" ht="15" x14ac:dyDescent="0.25">
      <c r="A982" s="185" t="s">
        <v>1313</v>
      </c>
      <c r="B982" s="185" t="s">
        <v>1432</v>
      </c>
      <c r="C982" s="185" t="s">
        <v>618</v>
      </c>
      <c r="D982" s="186">
        <v>31</v>
      </c>
      <c r="E982" s="187">
        <v>9.11</v>
      </c>
      <c r="F982" s="186">
        <v>11.9</v>
      </c>
      <c r="G982" s="187">
        <v>7.04</v>
      </c>
      <c r="H982" s="190">
        <v>0.43</v>
      </c>
      <c r="I982" s="190">
        <v>0.59</v>
      </c>
      <c r="J982" s="187">
        <v>1.0900000000000001</v>
      </c>
      <c r="K982" s="187">
        <v>5.97</v>
      </c>
      <c r="L982" s="185" t="s">
        <v>8</v>
      </c>
      <c r="M982" s="185">
        <v>131</v>
      </c>
      <c r="N982" s="186">
        <v>28.4</v>
      </c>
      <c r="O982" s="186">
        <v>15.6</v>
      </c>
      <c r="P982" s="187">
        <v>3.79</v>
      </c>
      <c r="Q982" s="186">
        <v>17.2</v>
      </c>
      <c r="R982" s="187">
        <v>7.85</v>
      </c>
      <c r="S982" s="187">
        <v>4.9000000000000004</v>
      </c>
      <c r="T982" s="187">
        <v>1.38</v>
      </c>
      <c r="U982" s="190">
        <v>0.85</v>
      </c>
      <c r="V982" s="187">
        <v>3.92</v>
      </c>
      <c r="W982" s="185" t="s">
        <v>8</v>
      </c>
      <c r="X982" s="185" t="s">
        <v>8</v>
      </c>
      <c r="Y982" s="187">
        <v>5.13</v>
      </c>
      <c r="Z982" s="190">
        <v>0.61899999999999999</v>
      </c>
      <c r="AA982" s="14" t="str">
        <f t="shared" si="51"/>
        <v>WT</v>
      </c>
      <c r="AB982" s="14">
        <v>3.46</v>
      </c>
      <c r="AC982" s="14">
        <v>1.28</v>
      </c>
    </row>
    <row r="983" spans="1:29" s="198" customFormat="1" ht="15" x14ac:dyDescent="0.25">
      <c r="A983" s="185" t="s">
        <v>1313</v>
      </c>
      <c r="B983" s="185" t="s">
        <v>1433</v>
      </c>
      <c r="C983" s="185" t="s">
        <v>618</v>
      </c>
      <c r="D983" s="186">
        <v>27.5</v>
      </c>
      <c r="E983" s="187">
        <v>8.1</v>
      </c>
      <c r="F983" s="186">
        <v>11.8</v>
      </c>
      <c r="G983" s="187">
        <v>7.01</v>
      </c>
      <c r="H983" s="190">
        <v>0.39500000000000002</v>
      </c>
      <c r="I983" s="190">
        <v>0.505</v>
      </c>
      <c r="J983" s="187">
        <v>1.01</v>
      </c>
      <c r="K983" s="187">
        <v>6.94</v>
      </c>
      <c r="L983" s="185" t="s">
        <v>8</v>
      </c>
      <c r="M983" s="185">
        <v>117</v>
      </c>
      <c r="N983" s="186">
        <v>25.6</v>
      </c>
      <c r="O983" s="186">
        <v>14.1</v>
      </c>
      <c r="P983" s="187">
        <v>3.8</v>
      </c>
      <c r="Q983" s="186">
        <v>14.5</v>
      </c>
      <c r="R983" s="187">
        <v>6.65</v>
      </c>
      <c r="S983" s="187">
        <v>4.1500000000000004</v>
      </c>
      <c r="T983" s="187">
        <v>1.34</v>
      </c>
      <c r="U983" s="190">
        <v>0.58799999999999997</v>
      </c>
      <c r="V983" s="187">
        <v>2.93</v>
      </c>
      <c r="W983" s="185" t="s">
        <v>8</v>
      </c>
      <c r="X983" s="185" t="s">
        <v>8</v>
      </c>
      <c r="Y983" s="187">
        <v>5.17</v>
      </c>
      <c r="Z983" s="190">
        <v>0.60599999999999998</v>
      </c>
      <c r="AA983" s="14" t="str">
        <f t="shared" si="51"/>
        <v>WT</v>
      </c>
      <c r="AB983" s="14">
        <v>3.5</v>
      </c>
      <c r="AC983" s="14">
        <v>1.53</v>
      </c>
    </row>
    <row r="984" spans="1:29" s="198" customFormat="1" ht="15" x14ac:dyDescent="0.25">
      <c r="A984" s="185" t="s">
        <v>1313</v>
      </c>
      <c r="B984" s="185" t="s">
        <v>1434</v>
      </c>
      <c r="C984" s="185" t="s">
        <v>618</v>
      </c>
      <c r="D984" s="186">
        <v>137.5</v>
      </c>
      <c r="E984" s="21">
        <v>40.9</v>
      </c>
      <c r="F984" s="186">
        <v>12.1</v>
      </c>
      <c r="G984" s="186">
        <v>12.9</v>
      </c>
      <c r="H984" s="187">
        <v>1.22</v>
      </c>
      <c r="I984" s="187">
        <v>2.19</v>
      </c>
      <c r="J984" s="187">
        <v>3.37</v>
      </c>
      <c r="K984" s="211">
        <v>2.95</v>
      </c>
      <c r="L984" s="185" t="s">
        <v>8</v>
      </c>
      <c r="M984" s="212">
        <v>420</v>
      </c>
      <c r="N984" s="212">
        <v>86.3</v>
      </c>
      <c r="O984" s="21">
        <v>45.7</v>
      </c>
      <c r="P984" s="20">
        <v>3.2</v>
      </c>
      <c r="Q984" s="212">
        <v>394</v>
      </c>
      <c r="R984" s="213">
        <v>95.1</v>
      </c>
      <c r="S984" s="213">
        <v>61.1</v>
      </c>
      <c r="T984" s="20">
        <v>3.1</v>
      </c>
      <c r="U984" s="213">
        <v>53.5</v>
      </c>
      <c r="V984" s="210">
        <v>224</v>
      </c>
      <c r="W984" s="185" t="s">
        <v>8</v>
      </c>
      <c r="X984" s="185" t="s">
        <v>8</v>
      </c>
      <c r="Y984" s="20">
        <v>4.8099999999999996</v>
      </c>
      <c r="Z984" s="209">
        <v>0.85899999999999999</v>
      </c>
      <c r="AA984" s="14" t="str">
        <f t="shared" si="51"/>
        <v>WT</v>
      </c>
      <c r="AB984" s="14">
        <v>2.9</v>
      </c>
      <c r="AC984" s="14">
        <v>1.59</v>
      </c>
    </row>
    <row r="985" spans="1:29" s="198" customFormat="1" ht="15" x14ac:dyDescent="0.25">
      <c r="A985" s="185" t="s">
        <v>1313</v>
      </c>
      <c r="B985" s="185" t="s">
        <v>1435</v>
      </c>
      <c r="C985" s="185" t="s">
        <v>618</v>
      </c>
      <c r="D985" s="191">
        <v>124</v>
      </c>
      <c r="E985" s="21">
        <v>37</v>
      </c>
      <c r="F985" s="186">
        <v>11.9</v>
      </c>
      <c r="G985" s="186">
        <v>12.8</v>
      </c>
      <c r="H985" s="187">
        <v>1.1000000000000001</v>
      </c>
      <c r="I985" s="187">
        <v>1.99</v>
      </c>
      <c r="J985" s="187">
        <v>3.17</v>
      </c>
      <c r="K985" s="211">
        <v>3.22</v>
      </c>
      <c r="L985" s="185" t="s">
        <v>8</v>
      </c>
      <c r="M985" s="212">
        <v>368</v>
      </c>
      <c r="N985" s="212">
        <v>75.7</v>
      </c>
      <c r="O985" s="21">
        <v>40.299999999999997</v>
      </c>
      <c r="P985" s="20">
        <v>3.15</v>
      </c>
      <c r="Q985" s="212">
        <v>349</v>
      </c>
      <c r="R985" s="213">
        <v>84.8</v>
      </c>
      <c r="S985" s="213">
        <v>54.5</v>
      </c>
      <c r="T985" s="20">
        <v>3.07</v>
      </c>
      <c r="U985" s="213">
        <v>40.200000000000003</v>
      </c>
      <c r="V985" s="210">
        <v>163</v>
      </c>
      <c r="W985" s="185" t="s">
        <v>8</v>
      </c>
      <c r="X985" s="185" t="s">
        <v>8</v>
      </c>
      <c r="Y985" s="20">
        <v>4.75</v>
      </c>
      <c r="Z985" s="209">
        <v>0.86</v>
      </c>
      <c r="AA985" s="14" t="str">
        <f t="shared" si="51"/>
        <v>WT</v>
      </c>
      <c r="AB985" s="14">
        <v>2.77</v>
      </c>
      <c r="AC985" s="14">
        <v>1.45</v>
      </c>
    </row>
    <row r="986" spans="1:29" s="198" customFormat="1" ht="15" x14ac:dyDescent="0.25">
      <c r="A986" s="185" t="s">
        <v>1313</v>
      </c>
      <c r="B986" s="185" t="s">
        <v>1436</v>
      </c>
      <c r="C986" s="185" t="s">
        <v>618</v>
      </c>
      <c r="D986" s="186">
        <v>111.5</v>
      </c>
      <c r="E986" s="21">
        <v>33.200000000000003</v>
      </c>
      <c r="F986" s="186">
        <v>11.7</v>
      </c>
      <c r="G986" s="186">
        <v>12.7</v>
      </c>
      <c r="H986" s="187">
        <v>1</v>
      </c>
      <c r="I986" s="187">
        <v>1.79</v>
      </c>
      <c r="J986" s="187">
        <v>2.9699999999999998</v>
      </c>
      <c r="K986" s="211">
        <v>3.55</v>
      </c>
      <c r="L986" s="185" t="s">
        <v>8</v>
      </c>
      <c r="M986" s="212">
        <v>324</v>
      </c>
      <c r="N986" s="212">
        <v>66.7</v>
      </c>
      <c r="O986" s="21">
        <v>35.9</v>
      </c>
      <c r="P986" s="20">
        <v>3.12</v>
      </c>
      <c r="Q986" s="212">
        <v>307</v>
      </c>
      <c r="R986" s="213">
        <v>74.900000000000006</v>
      </c>
      <c r="S986" s="213">
        <v>48.3</v>
      </c>
      <c r="T986" s="20">
        <v>3.04</v>
      </c>
      <c r="U986" s="213">
        <v>29.6</v>
      </c>
      <c r="V986" s="210">
        <v>117</v>
      </c>
      <c r="W986" s="185" t="s">
        <v>8</v>
      </c>
      <c r="X986" s="185" t="s">
        <v>8</v>
      </c>
      <c r="Y986" s="20">
        <v>4.7</v>
      </c>
      <c r="Z986" s="209">
        <v>0.85899999999999999</v>
      </c>
      <c r="AA986" s="14" t="str">
        <f t="shared" si="51"/>
        <v>WT</v>
      </c>
      <c r="AB986" s="14">
        <v>2.66</v>
      </c>
      <c r="AC986" s="14">
        <v>1.31</v>
      </c>
    </row>
    <row r="987" spans="1:29" s="198" customFormat="1" ht="15" x14ac:dyDescent="0.25">
      <c r="A987" s="185" t="s">
        <v>1313</v>
      </c>
      <c r="B987" s="185" t="s">
        <v>1437</v>
      </c>
      <c r="C987" s="185" t="s">
        <v>618</v>
      </c>
      <c r="D987" s="185">
        <v>100.5</v>
      </c>
      <c r="E987" s="186">
        <v>29.6</v>
      </c>
      <c r="F987" s="186">
        <v>11.5</v>
      </c>
      <c r="G987" s="186">
        <v>12.6</v>
      </c>
      <c r="H987" s="190">
        <v>0.91</v>
      </c>
      <c r="I987" s="187">
        <v>1.63</v>
      </c>
      <c r="J987" s="188">
        <v>2.13</v>
      </c>
      <c r="K987" s="188">
        <v>3.86</v>
      </c>
      <c r="L987" s="185" t="s">
        <v>8</v>
      </c>
      <c r="M987" s="189">
        <v>285</v>
      </c>
      <c r="N987" s="192">
        <v>58.6</v>
      </c>
      <c r="O987" s="186">
        <v>31.9</v>
      </c>
      <c r="P987" s="187">
        <v>3.1</v>
      </c>
      <c r="Q987" s="189">
        <v>271</v>
      </c>
      <c r="R987" s="192">
        <v>66.5</v>
      </c>
      <c r="S987" s="186">
        <v>43.1</v>
      </c>
      <c r="T987" s="187">
        <v>3.02</v>
      </c>
      <c r="U987" s="192">
        <v>20.399999999999999</v>
      </c>
      <c r="V987" s="186">
        <v>85.4</v>
      </c>
      <c r="W987" s="185" t="s">
        <v>8</v>
      </c>
      <c r="X987" s="185" t="s">
        <v>8</v>
      </c>
      <c r="Y987" s="187">
        <v>4.67</v>
      </c>
      <c r="Z987" s="190">
        <v>0.85899999999999999</v>
      </c>
      <c r="AA987" s="14" t="str">
        <f t="shared" si="51"/>
        <v>WT</v>
      </c>
      <c r="AB987" s="14">
        <v>2.57</v>
      </c>
      <c r="AC987" s="14">
        <v>1.18</v>
      </c>
    </row>
    <row r="988" spans="1:29" s="198" customFormat="1" ht="15" x14ac:dyDescent="0.25">
      <c r="A988" s="185" t="s">
        <v>1313</v>
      </c>
      <c r="B988" s="185" t="s">
        <v>1438</v>
      </c>
      <c r="C988" s="185" t="s">
        <v>618</v>
      </c>
      <c r="D988" s="186">
        <v>91</v>
      </c>
      <c r="E988" s="186">
        <v>26.8</v>
      </c>
      <c r="F988" s="186">
        <v>11.4</v>
      </c>
      <c r="G988" s="186">
        <v>12.5</v>
      </c>
      <c r="H988" s="190">
        <v>0.83</v>
      </c>
      <c r="I988" s="187">
        <v>1.48</v>
      </c>
      <c r="J988" s="188">
        <v>1.98</v>
      </c>
      <c r="K988" s="188">
        <v>4.22</v>
      </c>
      <c r="L988" s="185" t="s">
        <v>8</v>
      </c>
      <c r="M988" s="189">
        <v>253</v>
      </c>
      <c r="N988" s="192">
        <v>52.1</v>
      </c>
      <c r="O988" s="186">
        <v>28.5</v>
      </c>
      <c r="P988" s="187">
        <v>3.07</v>
      </c>
      <c r="Q988" s="189">
        <v>241</v>
      </c>
      <c r="R988" s="192">
        <v>59.5</v>
      </c>
      <c r="S988" s="186">
        <v>38.6</v>
      </c>
      <c r="T988" s="187">
        <v>3</v>
      </c>
      <c r="U988" s="192">
        <v>15.3</v>
      </c>
      <c r="V988" s="186">
        <v>63</v>
      </c>
      <c r="W988" s="185" t="s">
        <v>8</v>
      </c>
      <c r="X988" s="185" t="s">
        <v>8</v>
      </c>
      <c r="Y988" s="187">
        <v>4.6399999999999997</v>
      </c>
      <c r="Z988" s="190">
        <v>0.85899999999999999</v>
      </c>
      <c r="AA988" s="14" t="str">
        <f t="shared" si="51"/>
        <v>WT</v>
      </c>
      <c r="AB988" s="14">
        <v>2.48</v>
      </c>
      <c r="AC988" s="14">
        <v>1.07</v>
      </c>
    </row>
    <row r="989" spans="1:29" s="198" customFormat="1" ht="15" x14ac:dyDescent="0.25">
      <c r="A989" s="185" t="s">
        <v>1313</v>
      </c>
      <c r="B989" s="185" t="s">
        <v>1439</v>
      </c>
      <c r="C989" s="185" t="s">
        <v>618</v>
      </c>
      <c r="D989" s="186">
        <v>83</v>
      </c>
      <c r="E989" s="186">
        <v>24.4</v>
      </c>
      <c r="F989" s="186">
        <v>11.2</v>
      </c>
      <c r="G989" s="186">
        <v>12.4</v>
      </c>
      <c r="H989" s="190">
        <v>0.75</v>
      </c>
      <c r="I989" s="187">
        <v>1.36</v>
      </c>
      <c r="J989" s="188">
        <v>1.86</v>
      </c>
      <c r="K989" s="188">
        <v>4.57</v>
      </c>
      <c r="L989" s="185" t="s">
        <v>8</v>
      </c>
      <c r="M989" s="189">
        <v>226</v>
      </c>
      <c r="N989" s="192">
        <v>46.3</v>
      </c>
      <c r="O989" s="186">
        <v>25.5</v>
      </c>
      <c r="P989" s="187">
        <v>3.04</v>
      </c>
      <c r="Q989" s="189">
        <v>217</v>
      </c>
      <c r="R989" s="192">
        <v>53.9</v>
      </c>
      <c r="S989" s="186">
        <v>35</v>
      </c>
      <c r="T989" s="187">
        <v>2.99</v>
      </c>
      <c r="U989" s="192">
        <v>11.8</v>
      </c>
      <c r="V989" s="186">
        <v>47.3</v>
      </c>
      <c r="W989" s="185" t="s">
        <v>8</v>
      </c>
      <c r="X989" s="185" t="s">
        <v>8</v>
      </c>
      <c r="Y989" s="187">
        <v>4.59</v>
      </c>
      <c r="Z989" s="190">
        <v>0.86099999999999999</v>
      </c>
      <c r="AA989" s="14" t="str">
        <f t="shared" si="51"/>
        <v>WT</v>
      </c>
      <c r="AB989" s="14">
        <v>2.39</v>
      </c>
      <c r="AC989" s="14">
        <v>0.98299999999999998</v>
      </c>
    </row>
    <row r="990" spans="1:29" s="198" customFormat="1" ht="15" x14ac:dyDescent="0.25">
      <c r="A990" s="185" t="s">
        <v>1313</v>
      </c>
      <c r="B990" s="185" t="s">
        <v>1440</v>
      </c>
      <c r="C990" s="185" t="s">
        <v>618</v>
      </c>
      <c r="D990" s="186">
        <v>73.5</v>
      </c>
      <c r="E990" s="186">
        <v>21.6</v>
      </c>
      <c r="F990" s="186">
        <v>11</v>
      </c>
      <c r="G990" s="186">
        <v>12.5</v>
      </c>
      <c r="H990" s="190">
        <v>0.72</v>
      </c>
      <c r="I990" s="187">
        <v>1.1499999999999999</v>
      </c>
      <c r="J990" s="188">
        <v>1.65</v>
      </c>
      <c r="K990" s="188">
        <v>5.44</v>
      </c>
      <c r="L990" s="185" t="s">
        <v>8</v>
      </c>
      <c r="M990" s="189">
        <v>204</v>
      </c>
      <c r="N990" s="192">
        <v>42.4</v>
      </c>
      <c r="O990" s="186">
        <v>23.7</v>
      </c>
      <c r="P990" s="187">
        <v>3.08</v>
      </c>
      <c r="Q990" s="189">
        <v>188</v>
      </c>
      <c r="R990" s="192">
        <v>46.3</v>
      </c>
      <c r="S990" s="186">
        <v>30</v>
      </c>
      <c r="T990" s="187">
        <v>2.95</v>
      </c>
      <c r="U990" s="188">
        <v>7.69</v>
      </c>
      <c r="V990" s="186">
        <v>32.5</v>
      </c>
      <c r="W990" s="185" t="s">
        <v>8</v>
      </c>
      <c r="X990" s="185" t="s">
        <v>8</v>
      </c>
      <c r="Y990" s="187">
        <v>4.63</v>
      </c>
      <c r="Z990" s="190">
        <v>0.84599999999999997</v>
      </c>
      <c r="AA990" s="14" t="str">
        <f t="shared" si="51"/>
        <v>WT</v>
      </c>
      <c r="AB990" s="14">
        <v>2.39</v>
      </c>
      <c r="AC990" s="14">
        <v>0.86399999999999999</v>
      </c>
    </row>
    <row r="991" spans="1:29" s="198" customFormat="1" ht="15" x14ac:dyDescent="0.25">
      <c r="A991" s="185" t="s">
        <v>1313</v>
      </c>
      <c r="B991" s="185" t="s">
        <v>1441</v>
      </c>
      <c r="C991" s="185" t="s">
        <v>618</v>
      </c>
      <c r="D991" s="186">
        <v>66</v>
      </c>
      <c r="E991" s="186">
        <v>19.399999999999999</v>
      </c>
      <c r="F991" s="186">
        <v>10.9</v>
      </c>
      <c r="G991" s="186">
        <v>12.4</v>
      </c>
      <c r="H991" s="190">
        <v>0.65</v>
      </c>
      <c r="I991" s="187">
        <v>1.04</v>
      </c>
      <c r="J991" s="188">
        <v>1.54</v>
      </c>
      <c r="K991" s="188">
        <v>6.01</v>
      </c>
      <c r="L991" s="185" t="s">
        <v>8</v>
      </c>
      <c r="M991" s="189">
        <v>181</v>
      </c>
      <c r="N991" s="192">
        <v>37.6</v>
      </c>
      <c r="O991" s="186">
        <v>21.1</v>
      </c>
      <c r="P991" s="187">
        <v>3.06</v>
      </c>
      <c r="Q991" s="189">
        <v>166</v>
      </c>
      <c r="R991" s="192">
        <v>41.1</v>
      </c>
      <c r="S991" s="186">
        <v>26.7</v>
      </c>
      <c r="T991" s="187">
        <v>2.93</v>
      </c>
      <c r="U991" s="188">
        <v>5.62</v>
      </c>
      <c r="V991" s="186">
        <v>23.4</v>
      </c>
      <c r="W991" s="185" t="s">
        <v>8</v>
      </c>
      <c r="X991" s="185" t="s">
        <v>8</v>
      </c>
      <c r="Y991" s="187">
        <v>4.5999999999999996</v>
      </c>
      <c r="Z991" s="190">
        <v>0.84499999999999997</v>
      </c>
      <c r="AA991" s="14" t="str">
        <f t="shared" si="51"/>
        <v>WT</v>
      </c>
      <c r="AB991" s="14">
        <v>2.33</v>
      </c>
      <c r="AC991" s="14">
        <v>0.78</v>
      </c>
    </row>
    <row r="992" spans="1:29" s="198" customFormat="1" ht="15" x14ac:dyDescent="0.25">
      <c r="A992" s="185" t="s">
        <v>1313</v>
      </c>
      <c r="B992" s="185" t="s">
        <v>1442</v>
      </c>
      <c r="C992" s="185" t="s">
        <v>618</v>
      </c>
      <c r="D992" s="186">
        <v>61</v>
      </c>
      <c r="E992" s="186">
        <v>17.899999999999999</v>
      </c>
      <c r="F992" s="186">
        <v>10.8</v>
      </c>
      <c r="G992" s="186">
        <v>12.4</v>
      </c>
      <c r="H992" s="190">
        <v>0.6</v>
      </c>
      <c r="I992" s="190">
        <v>0.96</v>
      </c>
      <c r="J992" s="188">
        <v>1.46</v>
      </c>
      <c r="K992" s="188">
        <v>6.45</v>
      </c>
      <c r="L992" s="185" t="s">
        <v>8</v>
      </c>
      <c r="M992" s="189">
        <v>166</v>
      </c>
      <c r="N992" s="192">
        <v>34.299999999999997</v>
      </c>
      <c r="O992" s="186">
        <v>19.3</v>
      </c>
      <c r="P992" s="187">
        <v>3.04</v>
      </c>
      <c r="Q992" s="189">
        <v>152</v>
      </c>
      <c r="R992" s="192">
        <v>37.799999999999997</v>
      </c>
      <c r="S992" s="186">
        <v>24.6</v>
      </c>
      <c r="T992" s="187">
        <v>2.91</v>
      </c>
      <c r="U992" s="188">
        <v>4.47</v>
      </c>
      <c r="V992" s="186">
        <v>18.399999999999999</v>
      </c>
      <c r="W992" s="185" t="s">
        <v>8</v>
      </c>
      <c r="X992" s="185" t="s">
        <v>8</v>
      </c>
      <c r="Y992" s="187">
        <v>4.58</v>
      </c>
      <c r="Z992" s="190">
        <v>0.84599999999999997</v>
      </c>
      <c r="AA992" s="14" t="str">
        <f t="shared" si="51"/>
        <v>WT</v>
      </c>
      <c r="AB992" s="14">
        <v>2.2799999999999998</v>
      </c>
      <c r="AC992" s="14">
        <v>0.72399999999999998</v>
      </c>
    </row>
    <row r="993" spans="1:29" s="198" customFormat="1" ht="15" x14ac:dyDescent="0.25">
      <c r="A993" s="185" t="s">
        <v>1313</v>
      </c>
      <c r="B993" s="185" t="s">
        <v>1443</v>
      </c>
      <c r="C993" s="185" t="s">
        <v>618</v>
      </c>
      <c r="D993" s="186">
        <v>55.5</v>
      </c>
      <c r="E993" s="186">
        <v>16.3</v>
      </c>
      <c r="F993" s="186">
        <v>10.8</v>
      </c>
      <c r="G993" s="186">
        <v>12.3</v>
      </c>
      <c r="H993" s="190">
        <v>0.55000000000000004</v>
      </c>
      <c r="I993" s="190">
        <v>0.875</v>
      </c>
      <c r="J993" s="188">
        <v>1.38</v>
      </c>
      <c r="K993" s="188">
        <v>7.05</v>
      </c>
      <c r="L993" s="185" t="s">
        <v>8</v>
      </c>
      <c r="M993" s="189">
        <v>150</v>
      </c>
      <c r="N993" s="192">
        <v>31</v>
      </c>
      <c r="O993" s="186">
        <v>17.5</v>
      </c>
      <c r="P993" s="187">
        <v>3.03</v>
      </c>
      <c r="Q993" s="189">
        <v>137</v>
      </c>
      <c r="R993" s="192">
        <v>34.1</v>
      </c>
      <c r="S993" s="186">
        <v>22.2</v>
      </c>
      <c r="T993" s="187">
        <v>2.9</v>
      </c>
      <c r="U993" s="188">
        <v>3.4</v>
      </c>
      <c r="V993" s="186">
        <v>13.8</v>
      </c>
      <c r="W993" s="185" t="s">
        <v>8</v>
      </c>
      <c r="X993" s="185" t="s">
        <v>8</v>
      </c>
      <c r="Y993" s="187">
        <v>4.5599999999999996</v>
      </c>
      <c r="Z993" s="190">
        <v>0.84499999999999997</v>
      </c>
      <c r="AA993" s="14" t="str">
        <f t="shared" si="51"/>
        <v>WT</v>
      </c>
      <c r="AB993" s="14">
        <v>2.23</v>
      </c>
      <c r="AC993" s="14">
        <v>0.66200000000000003</v>
      </c>
    </row>
    <row r="994" spans="1:29" s="198" customFormat="1" ht="15" x14ac:dyDescent="0.25">
      <c r="A994" s="185" t="s">
        <v>1313</v>
      </c>
      <c r="B994" s="185" t="s">
        <v>1444</v>
      </c>
      <c r="C994" s="185" t="s">
        <v>618</v>
      </c>
      <c r="D994" s="186">
        <v>50.5</v>
      </c>
      <c r="E994" s="186">
        <v>14.9</v>
      </c>
      <c r="F994" s="186">
        <v>10.7</v>
      </c>
      <c r="G994" s="186">
        <v>12.3</v>
      </c>
      <c r="H994" s="190">
        <v>0.5</v>
      </c>
      <c r="I994" s="190">
        <v>0.8</v>
      </c>
      <c r="J994" s="188">
        <v>1.3</v>
      </c>
      <c r="K994" s="188">
        <v>7.68</v>
      </c>
      <c r="L994" s="185" t="s">
        <v>8</v>
      </c>
      <c r="M994" s="189">
        <v>135</v>
      </c>
      <c r="N994" s="192">
        <v>27.9</v>
      </c>
      <c r="O994" s="186">
        <v>15.8</v>
      </c>
      <c r="P994" s="187">
        <v>3.01</v>
      </c>
      <c r="Q994" s="189">
        <v>124</v>
      </c>
      <c r="R994" s="192">
        <v>30.8</v>
      </c>
      <c r="S994" s="186">
        <v>20.2</v>
      </c>
      <c r="T994" s="187">
        <v>2.89</v>
      </c>
      <c r="U994" s="188">
        <v>2.6</v>
      </c>
      <c r="V994" s="186">
        <v>10.4</v>
      </c>
      <c r="W994" s="185" t="s">
        <v>8</v>
      </c>
      <c r="X994" s="185" t="s">
        <v>8</v>
      </c>
      <c r="Y994" s="187">
        <v>4.53</v>
      </c>
      <c r="Z994" s="190">
        <v>0.84599999999999997</v>
      </c>
      <c r="AA994" s="14" t="str">
        <f t="shared" si="51"/>
        <v>WT</v>
      </c>
      <c r="AB994" s="14">
        <v>2.1800000000000002</v>
      </c>
      <c r="AC994" s="14">
        <v>0.60499999999999998</v>
      </c>
    </row>
    <row r="995" spans="1:29" s="198" customFormat="1" ht="15" x14ac:dyDescent="0.25">
      <c r="A995" s="185" t="s">
        <v>1313</v>
      </c>
      <c r="B995" s="185" t="s">
        <v>1445</v>
      </c>
      <c r="C995" s="185" t="s">
        <v>618</v>
      </c>
      <c r="D995" s="186">
        <v>46.5</v>
      </c>
      <c r="E995" s="186">
        <v>13.7</v>
      </c>
      <c r="F995" s="186">
        <v>10.8</v>
      </c>
      <c r="G995" s="187">
        <v>8.42</v>
      </c>
      <c r="H995" s="190">
        <v>0.57999999999999996</v>
      </c>
      <c r="I995" s="190">
        <v>0.93</v>
      </c>
      <c r="J995" s="187">
        <v>1.43</v>
      </c>
      <c r="K995" s="187">
        <v>4.53</v>
      </c>
      <c r="L995" s="185" t="s">
        <v>8</v>
      </c>
      <c r="M995" s="185">
        <v>144</v>
      </c>
      <c r="N995" s="186">
        <v>31.8</v>
      </c>
      <c r="O995" s="186">
        <v>17.899999999999999</v>
      </c>
      <c r="P995" s="187">
        <v>3.25</v>
      </c>
      <c r="Q995" s="186">
        <v>46.4</v>
      </c>
      <c r="R995" s="186">
        <v>17.3</v>
      </c>
      <c r="S995" s="186">
        <v>11</v>
      </c>
      <c r="T995" s="187">
        <v>1.84</v>
      </c>
      <c r="U995" s="187">
        <v>3.01</v>
      </c>
      <c r="V995" s="187">
        <v>9.33</v>
      </c>
      <c r="W995" s="185" t="s">
        <v>8</v>
      </c>
      <c r="X995" s="185" t="s">
        <v>8</v>
      </c>
      <c r="Y995" s="187">
        <v>4.37</v>
      </c>
      <c r="Z995" s="190">
        <v>0.73</v>
      </c>
      <c r="AA995" s="14" t="str">
        <f t="shared" si="51"/>
        <v>WT</v>
      </c>
      <c r="AB995" s="14">
        <v>2.74</v>
      </c>
      <c r="AC995" s="14">
        <v>0.81200000000000006</v>
      </c>
    </row>
    <row r="996" spans="1:29" s="198" customFormat="1" ht="15" x14ac:dyDescent="0.25">
      <c r="A996" s="185" t="s">
        <v>1313</v>
      </c>
      <c r="B996" s="185" t="s">
        <v>1446</v>
      </c>
      <c r="C996" s="185" t="s">
        <v>618</v>
      </c>
      <c r="D996" s="186">
        <v>41.5</v>
      </c>
      <c r="E996" s="186">
        <v>12.2</v>
      </c>
      <c r="F996" s="186">
        <v>10.7</v>
      </c>
      <c r="G996" s="187">
        <v>8.36</v>
      </c>
      <c r="H996" s="190">
        <v>0.51500000000000001</v>
      </c>
      <c r="I996" s="190">
        <v>0.83499999999999996</v>
      </c>
      <c r="J996" s="187">
        <v>1.34</v>
      </c>
      <c r="K996" s="187">
        <v>5</v>
      </c>
      <c r="L996" s="185" t="s">
        <v>8</v>
      </c>
      <c r="M996" s="185">
        <v>127</v>
      </c>
      <c r="N996" s="186">
        <v>28</v>
      </c>
      <c r="O996" s="186">
        <v>15.7</v>
      </c>
      <c r="P996" s="187">
        <v>3.22</v>
      </c>
      <c r="Q996" s="186">
        <v>40.700000000000003</v>
      </c>
      <c r="R996" s="186">
        <v>15.2</v>
      </c>
      <c r="S996" s="187">
        <v>9.74</v>
      </c>
      <c r="T996" s="187">
        <v>1.83</v>
      </c>
      <c r="U996" s="187">
        <v>2.16</v>
      </c>
      <c r="V996" s="187">
        <v>6.5</v>
      </c>
      <c r="W996" s="185" t="s">
        <v>8</v>
      </c>
      <c r="X996" s="185" t="s">
        <v>8</v>
      </c>
      <c r="Y996" s="187">
        <v>4.33</v>
      </c>
      <c r="Z996" s="190">
        <v>0.73199999999999998</v>
      </c>
      <c r="AA996" s="14" t="str">
        <f t="shared" si="51"/>
        <v>WT</v>
      </c>
      <c r="AB996" s="14">
        <v>2.66</v>
      </c>
      <c r="AC996" s="14">
        <v>0.72799999999999998</v>
      </c>
    </row>
    <row r="997" spans="1:29" s="198" customFormat="1" ht="15" x14ac:dyDescent="0.25">
      <c r="A997" s="185" t="s">
        <v>1313</v>
      </c>
      <c r="B997" s="185" t="s">
        <v>1447</v>
      </c>
      <c r="C997" s="185" t="s">
        <v>618</v>
      </c>
      <c r="D997" s="186">
        <v>36.5</v>
      </c>
      <c r="E997" s="186">
        <v>10.7</v>
      </c>
      <c r="F997" s="186">
        <v>10.6</v>
      </c>
      <c r="G997" s="187">
        <v>8.3000000000000007</v>
      </c>
      <c r="H997" s="190">
        <v>0.45500000000000002</v>
      </c>
      <c r="I997" s="190">
        <v>0.74</v>
      </c>
      <c r="J997" s="187">
        <v>1.24</v>
      </c>
      <c r="K997" s="187">
        <v>5.6</v>
      </c>
      <c r="L997" s="185" t="s">
        <v>8</v>
      </c>
      <c r="M997" s="185">
        <v>110</v>
      </c>
      <c r="N997" s="186">
        <v>24.4</v>
      </c>
      <c r="O997" s="186">
        <v>13.8</v>
      </c>
      <c r="P997" s="187">
        <v>3.21</v>
      </c>
      <c r="Q997" s="186">
        <v>35.299999999999997</v>
      </c>
      <c r="R997" s="186">
        <v>13.3</v>
      </c>
      <c r="S997" s="187">
        <v>8.51</v>
      </c>
      <c r="T997" s="187">
        <v>1.81</v>
      </c>
      <c r="U997" s="187">
        <v>1.51</v>
      </c>
      <c r="V997" s="187">
        <v>4.42</v>
      </c>
      <c r="W997" s="185" t="s">
        <v>8</v>
      </c>
      <c r="X997" s="185" t="s">
        <v>8</v>
      </c>
      <c r="Y997" s="187">
        <v>4.3</v>
      </c>
      <c r="Z997" s="190">
        <v>0.73199999999999998</v>
      </c>
      <c r="AA997" s="14" t="str">
        <f t="shared" si="51"/>
        <v>WT</v>
      </c>
      <c r="AB997" s="14">
        <v>2.6</v>
      </c>
      <c r="AC997" s="14">
        <v>0.64700000000000002</v>
      </c>
    </row>
    <row r="998" spans="1:29" s="198" customFormat="1" ht="15" x14ac:dyDescent="0.25">
      <c r="A998" s="185" t="s">
        <v>1313</v>
      </c>
      <c r="B998" s="185" t="s">
        <v>1448</v>
      </c>
      <c r="C998" s="185" t="s">
        <v>618</v>
      </c>
      <c r="D998" s="186">
        <v>34</v>
      </c>
      <c r="E998" s="186">
        <v>10</v>
      </c>
      <c r="F998" s="186">
        <v>10.6</v>
      </c>
      <c r="G998" s="187">
        <v>8.27</v>
      </c>
      <c r="H998" s="190">
        <v>0.43</v>
      </c>
      <c r="I998" s="190">
        <v>0.68500000000000005</v>
      </c>
      <c r="J998" s="187">
        <v>1.19</v>
      </c>
      <c r="K998" s="187">
        <v>6.04</v>
      </c>
      <c r="L998" s="185" t="s">
        <v>8</v>
      </c>
      <c r="M998" s="185">
        <v>103</v>
      </c>
      <c r="N998" s="186">
        <v>22.9</v>
      </c>
      <c r="O998" s="186">
        <v>12.9</v>
      </c>
      <c r="P998" s="187">
        <v>3.2</v>
      </c>
      <c r="Q998" s="186">
        <v>32.4</v>
      </c>
      <c r="R998" s="186">
        <v>12.2</v>
      </c>
      <c r="S998" s="187">
        <v>7.83</v>
      </c>
      <c r="T998" s="187">
        <v>1.8</v>
      </c>
      <c r="U998" s="187">
        <v>1.22</v>
      </c>
      <c r="V998" s="187">
        <v>3.62</v>
      </c>
      <c r="W998" s="185" t="s">
        <v>8</v>
      </c>
      <c r="X998" s="185" t="s">
        <v>8</v>
      </c>
      <c r="Y998" s="187">
        <v>4.3</v>
      </c>
      <c r="Z998" s="190">
        <v>0.72799999999999998</v>
      </c>
      <c r="AA998" s="14" t="str">
        <f t="shared" si="51"/>
        <v>WT</v>
      </c>
      <c r="AB998" s="14">
        <v>2.59</v>
      </c>
      <c r="AC998" s="14">
        <v>0.60599999999999998</v>
      </c>
    </row>
    <row r="999" spans="1:29" s="198" customFormat="1" ht="15" x14ac:dyDescent="0.25">
      <c r="A999" s="185" t="s">
        <v>1313</v>
      </c>
      <c r="B999" s="185" t="s">
        <v>1449</v>
      </c>
      <c r="C999" s="185" t="s">
        <v>618</v>
      </c>
      <c r="D999" s="186">
        <v>31</v>
      </c>
      <c r="E999" s="187">
        <v>9.1300000000000008</v>
      </c>
      <c r="F999" s="186">
        <v>10.5</v>
      </c>
      <c r="G999" s="187">
        <v>8.24</v>
      </c>
      <c r="H999" s="190">
        <v>0.4</v>
      </c>
      <c r="I999" s="190">
        <v>0.61499999999999999</v>
      </c>
      <c r="J999" s="187">
        <v>1.1200000000000001</v>
      </c>
      <c r="K999" s="187">
        <v>6.7</v>
      </c>
      <c r="L999" s="185" t="s">
        <v>8</v>
      </c>
      <c r="M999" s="186">
        <v>93.8</v>
      </c>
      <c r="N999" s="186">
        <v>21.1</v>
      </c>
      <c r="O999" s="186">
        <v>11.9</v>
      </c>
      <c r="P999" s="187">
        <v>3.21</v>
      </c>
      <c r="Q999" s="186">
        <v>28.7</v>
      </c>
      <c r="R999" s="186">
        <v>10.9</v>
      </c>
      <c r="S999" s="187">
        <v>6.97</v>
      </c>
      <c r="T999" s="187">
        <v>1.77</v>
      </c>
      <c r="U999" s="190">
        <v>0.91300000000000003</v>
      </c>
      <c r="V999" s="187">
        <v>2.78</v>
      </c>
      <c r="W999" s="185" t="s">
        <v>8</v>
      </c>
      <c r="X999" s="185" t="s">
        <v>8</v>
      </c>
      <c r="Y999" s="187">
        <v>4.3099999999999996</v>
      </c>
      <c r="Z999" s="190">
        <v>0.72099999999999997</v>
      </c>
      <c r="AA999" s="14" t="str">
        <f t="shared" si="51"/>
        <v>WT</v>
      </c>
      <c r="AB999" s="14">
        <v>2.58</v>
      </c>
      <c r="AC999" s="14">
        <v>0.55400000000000005</v>
      </c>
    </row>
    <row r="1000" spans="1:29" s="198" customFormat="1" ht="15" x14ac:dyDescent="0.25">
      <c r="A1000" s="185" t="s">
        <v>1313</v>
      </c>
      <c r="B1000" s="185" t="s">
        <v>1450</v>
      </c>
      <c r="C1000" s="185" t="s">
        <v>618</v>
      </c>
      <c r="D1000" s="186">
        <v>27.5</v>
      </c>
      <c r="E1000" s="187">
        <v>8.1</v>
      </c>
      <c r="F1000" s="186">
        <v>10.4</v>
      </c>
      <c r="G1000" s="187">
        <v>8.2200000000000006</v>
      </c>
      <c r="H1000" s="190">
        <v>0.375</v>
      </c>
      <c r="I1000" s="190">
        <v>0.52200000000000002</v>
      </c>
      <c r="J1000" s="187">
        <v>1.02</v>
      </c>
      <c r="K1000" s="187">
        <v>7.87</v>
      </c>
      <c r="L1000" s="185" t="s">
        <v>8</v>
      </c>
      <c r="M1000" s="186">
        <v>84.4</v>
      </c>
      <c r="N1000" s="186">
        <v>19.399999999999999</v>
      </c>
      <c r="O1000" s="186">
        <v>10.9</v>
      </c>
      <c r="P1000" s="187">
        <v>3.23</v>
      </c>
      <c r="Q1000" s="186">
        <v>24.2</v>
      </c>
      <c r="R1000" s="187">
        <v>9.18</v>
      </c>
      <c r="S1000" s="187">
        <v>5.89</v>
      </c>
      <c r="T1000" s="187">
        <v>1.73</v>
      </c>
      <c r="U1000" s="190">
        <v>0.61699999999999999</v>
      </c>
      <c r="V1000" s="187">
        <v>2.08</v>
      </c>
      <c r="W1000" s="185" t="s">
        <v>8</v>
      </c>
      <c r="X1000" s="185" t="s">
        <v>8</v>
      </c>
      <c r="Y1000" s="187">
        <v>4.37</v>
      </c>
      <c r="Z1000" s="190">
        <v>0.70299999999999996</v>
      </c>
      <c r="AA1000" s="14" t="str">
        <f t="shared" si="51"/>
        <v>WT</v>
      </c>
      <c r="AB1000" s="14">
        <v>2.64</v>
      </c>
      <c r="AC1000" s="14">
        <v>0.49299999999999999</v>
      </c>
    </row>
    <row r="1001" spans="1:29" s="198" customFormat="1" ht="15" x14ac:dyDescent="0.25">
      <c r="A1001" s="185" t="s">
        <v>1313</v>
      </c>
      <c r="B1001" s="185" t="s">
        <v>1451</v>
      </c>
      <c r="C1001" s="185" t="s">
        <v>618</v>
      </c>
      <c r="D1001" s="186">
        <v>24</v>
      </c>
      <c r="E1001" s="187">
        <v>7.07</v>
      </c>
      <c r="F1001" s="186">
        <v>10.3</v>
      </c>
      <c r="G1001" s="187">
        <v>8.14</v>
      </c>
      <c r="H1001" s="190">
        <v>0.35</v>
      </c>
      <c r="I1001" s="190">
        <v>0.43</v>
      </c>
      <c r="J1001" s="190">
        <v>0.93</v>
      </c>
      <c r="K1001" s="187">
        <v>9.4700000000000006</v>
      </c>
      <c r="L1001" s="185" t="s">
        <v>8</v>
      </c>
      <c r="M1001" s="186">
        <v>74.900000000000006</v>
      </c>
      <c r="N1001" s="186">
        <v>17.8</v>
      </c>
      <c r="O1001" s="187">
        <v>9.9</v>
      </c>
      <c r="P1001" s="187">
        <v>3.26</v>
      </c>
      <c r="Q1001" s="186">
        <v>19.399999999999999</v>
      </c>
      <c r="R1001" s="187">
        <v>7.44</v>
      </c>
      <c r="S1001" s="187">
        <v>4.76</v>
      </c>
      <c r="T1001" s="187">
        <v>1.66</v>
      </c>
      <c r="U1001" s="190">
        <v>0.4</v>
      </c>
      <c r="V1001" s="187">
        <v>1.52</v>
      </c>
      <c r="W1001" s="185" t="s">
        <v>8</v>
      </c>
      <c r="X1001" s="185" t="s">
        <v>8</v>
      </c>
      <c r="Y1001" s="187">
        <v>4.4400000000000004</v>
      </c>
      <c r="Z1001" s="190">
        <v>0.67600000000000005</v>
      </c>
      <c r="AA1001" s="14" t="str">
        <f t="shared" si="51"/>
        <v>WT</v>
      </c>
      <c r="AB1001" s="14">
        <v>2.74</v>
      </c>
      <c r="AC1001" s="14">
        <v>0.45900000000000002</v>
      </c>
    </row>
    <row r="1002" spans="1:29" s="198" customFormat="1" ht="15" x14ac:dyDescent="0.25">
      <c r="A1002" s="185" t="s">
        <v>1313</v>
      </c>
      <c r="B1002" s="185" t="s">
        <v>1452</v>
      </c>
      <c r="C1002" s="185" t="s">
        <v>618</v>
      </c>
      <c r="D1002" s="186">
        <v>28.5</v>
      </c>
      <c r="E1002" s="187">
        <v>8.3699999999999992</v>
      </c>
      <c r="F1002" s="186">
        <v>10.5</v>
      </c>
      <c r="G1002" s="187">
        <v>6.56</v>
      </c>
      <c r="H1002" s="190">
        <v>0.40500000000000003</v>
      </c>
      <c r="I1002" s="190">
        <v>0.65</v>
      </c>
      <c r="J1002" s="187">
        <v>1.1499999999999999</v>
      </c>
      <c r="K1002" s="187">
        <v>5.04</v>
      </c>
      <c r="L1002" s="185" t="s">
        <v>8</v>
      </c>
      <c r="M1002" s="186">
        <v>90.4</v>
      </c>
      <c r="N1002" s="186">
        <v>21.2</v>
      </c>
      <c r="O1002" s="186">
        <v>11.8</v>
      </c>
      <c r="P1002" s="187">
        <v>3.29</v>
      </c>
      <c r="Q1002" s="186">
        <v>15.3</v>
      </c>
      <c r="R1002" s="187">
        <v>7.4</v>
      </c>
      <c r="S1002" s="187">
        <v>4.67</v>
      </c>
      <c r="T1002" s="187">
        <v>1.35</v>
      </c>
      <c r="U1002" s="190">
        <v>0.88400000000000001</v>
      </c>
      <c r="V1002" s="187">
        <v>2.5</v>
      </c>
      <c r="W1002" s="185" t="s">
        <v>8</v>
      </c>
      <c r="X1002" s="185" t="s">
        <v>8</v>
      </c>
      <c r="Y1002" s="187">
        <v>4.3600000000000003</v>
      </c>
      <c r="Z1002" s="190">
        <v>0.66500000000000004</v>
      </c>
      <c r="AA1002" s="14" t="str">
        <f t="shared" si="51"/>
        <v>WT</v>
      </c>
      <c r="AB1002" s="14">
        <v>2.85</v>
      </c>
      <c r="AC1002" s="14">
        <v>0.63800000000000001</v>
      </c>
    </row>
    <row r="1003" spans="1:29" s="198" customFormat="1" ht="15" x14ac:dyDescent="0.25">
      <c r="A1003" s="185" t="s">
        <v>1313</v>
      </c>
      <c r="B1003" s="185" t="s">
        <v>1453</v>
      </c>
      <c r="C1003" s="185" t="s">
        <v>618</v>
      </c>
      <c r="D1003" s="186">
        <v>25</v>
      </c>
      <c r="E1003" s="187">
        <v>7.36</v>
      </c>
      <c r="F1003" s="186">
        <v>10.4</v>
      </c>
      <c r="G1003" s="187">
        <v>6.53</v>
      </c>
      <c r="H1003" s="190">
        <v>0.38</v>
      </c>
      <c r="I1003" s="190">
        <v>0.53500000000000003</v>
      </c>
      <c r="J1003" s="187">
        <v>1.04</v>
      </c>
      <c r="K1003" s="187">
        <v>6.1</v>
      </c>
      <c r="L1003" s="185" t="s">
        <v>8</v>
      </c>
      <c r="M1003" s="186">
        <v>80.3</v>
      </c>
      <c r="N1003" s="186">
        <v>19.399999999999999</v>
      </c>
      <c r="O1003" s="186">
        <v>10.7</v>
      </c>
      <c r="P1003" s="187">
        <v>3.3</v>
      </c>
      <c r="Q1003" s="186">
        <v>12.5</v>
      </c>
      <c r="R1003" s="187">
        <v>6.08</v>
      </c>
      <c r="S1003" s="187">
        <v>3.82</v>
      </c>
      <c r="T1003" s="187">
        <v>1.3</v>
      </c>
      <c r="U1003" s="190">
        <v>0.56999999999999995</v>
      </c>
      <c r="V1003" s="187">
        <v>1.89</v>
      </c>
      <c r="W1003" s="185" t="s">
        <v>8</v>
      </c>
      <c r="X1003" s="185" t="s">
        <v>8</v>
      </c>
      <c r="Y1003" s="187">
        <v>4.4400000000000004</v>
      </c>
      <c r="Z1003" s="190">
        <v>0.64</v>
      </c>
      <c r="AA1003" s="14" t="str">
        <f t="shared" si="51"/>
        <v>WT</v>
      </c>
      <c r="AB1003" s="14">
        <v>2.93</v>
      </c>
      <c r="AC1003" s="14">
        <v>0.77100000000000002</v>
      </c>
    </row>
    <row r="1004" spans="1:29" s="198" customFormat="1" ht="15" x14ac:dyDescent="0.25">
      <c r="A1004" s="185" t="s">
        <v>1313</v>
      </c>
      <c r="B1004" s="185" t="s">
        <v>1454</v>
      </c>
      <c r="C1004" s="185" t="s">
        <v>618</v>
      </c>
      <c r="D1004" s="186">
        <v>22</v>
      </c>
      <c r="E1004" s="187">
        <v>6.49</v>
      </c>
      <c r="F1004" s="186">
        <v>10.3</v>
      </c>
      <c r="G1004" s="187">
        <v>6.5</v>
      </c>
      <c r="H1004" s="190">
        <v>0.35</v>
      </c>
      <c r="I1004" s="190">
        <v>0.45</v>
      </c>
      <c r="J1004" s="190">
        <v>0.95</v>
      </c>
      <c r="K1004" s="187">
        <v>7.22</v>
      </c>
      <c r="L1004" s="185" t="s">
        <v>8</v>
      </c>
      <c r="M1004" s="186">
        <v>71.099999999999994</v>
      </c>
      <c r="N1004" s="186">
        <v>17.600000000000001</v>
      </c>
      <c r="O1004" s="187">
        <v>9.68</v>
      </c>
      <c r="P1004" s="187">
        <v>3.31</v>
      </c>
      <c r="Q1004" s="186">
        <v>10.3</v>
      </c>
      <c r="R1004" s="187">
        <v>5.07</v>
      </c>
      <c r="S1004" s="187">
        <v>3.18</v>
      </c>
      <c r="T1004" s="187">
        <v>1.26</v>
      </c>
      <c r="U1004" s="190">
        <v>0.38300000000000001</v>
      </c>
      <c r="V1004" s="187">
        <v>1.4</v>
      </c>
      <c r="W1004" s="185" t="s">
        <v>8</v>
      </c>
      <c r="X1004" s="185" t="s">
        <v>8</v>
      </c>
      <c r="Y1004" s="187">
        <v>4.49</v>
      </c>
      <c r="Z1004" s="190">
        <v>0.623</v>
      </c>
      <c r="AA1004" s="14" t="str">
        <f t="shared" si="51"/>
        <v>WT</v>
      </c>
      <c r="AB1004" s="14">
        <v>2.98</v>
      </c>
      <c r="AC1004" s="14">
        <v>1.06</v>
      </c>
    </row>
    <row r="1005" spans="1:29" s="198" customFormat="1" ht="15" x14ac:dyDescent="0.25">
      <c r="A1005" s="185" t="s">
        <v>1313</v>
      </c>
      <c r="B1005" s="185" t="s">
        <v>1455</v>
      </c>
      <c r="C1005" s="185" t="s">
        <v>618</v>
      </c>
      <c r="D1005" s="185">
        <v>155.5</v>
      </c>
      <c r="E1005" s="186">
        <v>45.8</v>
      </c>
      <c r="F1005" s="186">
        <v>11.2</v>
      </c>
      <c r="G1005" s="186">
        <v>12</v>
      </c>
      <c r="H1005" s="187">
        <v>1.52</v>
      </c>
      <c r="I1005" s="187">
        <v>2.74</v>
      </c>
      <c r="J1005" s="188">
        <v>3.24</v>
      </c>
      <c r="K1005" s="188">
        <v>2.19</v>
      </c>
      <c r="L1005" s="185" t="s">
        <v>8</v>
      </c>
      <c r="M1005" s="189">
        <v>383</v>
      </c>
      <c r="N1005" s="192">
        <v>90.6</v>
      </c>
      <c r="O1005" s="186">
        <v>46.6</v>
      </c>
      <c r="P1005" s="187">
        <v>2.89</v>
      </c>
      <c r="Q1005" s="189">
        <v>398</v>
      </c>
      <c r="R1005" s="189">
        <v>104</v>
      </c>
      <c r="S1005" s="186">
        <v>66.2</v>
      </c>
      <c r="T1005" s="187">
        <v>2.95</v>
      </c>
      <c r="U1005" s="192">
        <v>87.2</v>
      </c>
      <c r="V1005" s="185">
        <v>339</v>
      </c>
      <c r="W1005" s="185" t="s">
        <v>8</v>
      </c>
      <c r="X1005" s="185" t="s">
        <v>8</v>
      </c>
      <c r="Y1005" s="187">
        <v>4.41</v>
      </c>
      <c r="Z1005" s="190">
        <v>0.875</v>
      </c>
      <c r="AA1005" s="14" t="str">
        <f t="shared" si="51"/>
        <v>WT</v>
      </c>
      <c r="AB1005" s="14">
        <v>2.93</v>
      </c>
      <c r="AC1005" s="14">
        <v>1.91</v>
      </c>
    </row>
    <row r="1006" spans="1:29" s="198" customFormat="1" ht="15" x14ac:dyDescent="0.25">
      <c r="A1006" s="185" t="s">
        <v>1313</v>
      </c>
      <c r="B1006" s="185" t="s">
        <v>1456</v>
      </c>
      <c r="C1006" s="185" t="s">
        <v>618</v>
      </c>
      <c r="D1006" s="185">
        <v>141.5</v>
      </c>
      <c r="E1006" s="186">
        <v>41.7</v>
      </c>
      <c r="F1006" s="186">
        <v>10.9</v>
      </c>
      <c r="G1006" s="186">
        <v>11.9</v>
      </c>
      <c r="H1006" s="187">
        <v>1.4</v>
      </c>
      <c r="I1006" s="187">
        <v>2.5</v>
      </c>
      <c r="J1006" s="188">
        <v>3</v>
      </c>
      <c r="K1006" s="188">
        <v>2.38</v>
      </c>
      <c r="L1006" s="185" t="s">
        <v>8</v>
      </c>
      <c r="M1006" s="189">
        <v>337</v>
      </c>
      <c r="N1006" s="192">
        <v>80.2</v>
      </c>
      <c r="O1006" s="186">
        <v>41.5</v>
      </c>
      <c r="P1006" s="187">
        <v>2.85</v>
      </c>
      <c r="Q1006" s="189">
        <v>352</v>
      </c>
      <c r="R1006" s="192">
        <v>92.5</v>
      </c>
      <c r="S1006" s="186">
        <v>59.2</v>
      </c>
      <c r="T1006" s="187">
        <v>2.91</v>
      </c>
      <c r="U1006" s="192">
        <v>66.5</v>
      </c>
      <c r="V1006" s="185">
        <v>251</v>
      </c>
      <c r="W1006" s="185" t="s">
        <v>8</v>
      </c>
      <c r="X1006" s="185" t="s">
        <v>8</v>
      </c>
      <c r="Y1006" s="187">
        <v>4.3600000000000003</v>
      </c>
      <c r="Z1006" s="190">
        <v>0.873</v>
      </c>
      <c r="AA1006" s="14" t="str">
        <f t="shared" si="51"/>
        <v>WT</v>
      </c>
      <c r="AB1006" s="14">
        <v>2.8</v>
      </c>
      <c r="AC1006" s="14">
        <v>1.75</v>
      </c>
    </row>
    <row r="1007" spans="1:29" s="198" customFormat="1" ht="15" x14ac:dyDescent="0.25">
      <c r="A1007" s="185" t="s">
        <v>1313</v>
      </c>
      <c r="B1007" s="185" t="s">
        <v>1457</v>
      </c>
      <c r="C1007" s="185" t="s">
        <v>618</v>
      </c>
      <c r="D1007" s="185">
        <v>129</v>
      </c>
      <c r="E1007" s="186">
        <v>38</v>
      </c>
      <c r="F1007" s="186">
        <v>10.7</v>
      </c>
      <c r="G1007" s="186">
        <v>11.8</v>
      </c>
      <c r="H1007" s="187">
        <v>1.28</v>
      </c>
      <c r="I1007" s="187">
        <v>2.2999999999999998</v>
      </c>
      <c r="J1007" s="188">
        <v>2.7</v>
      </c>
      <c r="K1007" s="188">
        <v>2.56</v>
      </c>
      <c r="L1007" s="185" t="s">
        <v>8</v>
      </c>
      <c r="M1007" s="189">
        <v>298</v>
      </c>
      <c r="N1007" s="192">
        <v>71</v>
      </c>
      <c r="O1007" s="186">
        <v>37</v>
      </c>
      <c r="P1007" s="187">
        <v>2.8</v>
      </c>
      <c r="Q1007" s="189">
        <v>314</v>
      </c>
      <c r="R1007" s="192">
        <v>83.1</v>
      </c>
      <c r="S1007" s="186">
        <v>53.4</v>
      </c>
      <c r="T1007" s="187">
        <v>2.88</v>
      </c>
      <c r="U1007" s="192">
        <v>51.1</v>
      </c>
      <c r="V1007" s="185">
        <v>189</v>
      </c>
      <c r="W1007" s="185" t="s">
        <v>8</v>
      </c>
      <c r="X1007" s="185" t="s">
        <v>8</v>
      </c>
      <c r="Y1007" s="187">
        <v>4.3</v>
      </c>
      <c r="Z1007" s="190">
        <v>0.874</v>
      </c>
      <c r="AA1007" s="14" t="str">
        <f t="shared" si="51"/>
        <v>WT</v>
      </c>
      <c r="AB1007" s="14">
        <v>2.68</v>
      </c>
      <c r="AC1007" s="14">
        <v>1.61</v>
      </c>
    </row>
    <row r="1008" spans="1:29" s="198" customFormat="1" ht="15" x14ac:dyDescent="0.25">
      <c r="A1008" s="185" t="s">
        <v>1313</v>
      </c>
      <c r="B1008" s="185" t="s">
        <v>1458</v>
      </c>
      <c r="C1008" s="185" t="s">
        <v>618</v>
      </c>
      <c r="D1008" s="185">
        <v>117</v>
      </c>
      <c r="E1008" s="186">
        <v>34.299999999999997</v>
      </c>
      <c r="F1008" s="186">
        <v>10.5</v>
      </c>
      <c r="G1008" s="186">
        <v>11.7</v>
      </c>
      <c r="H1008" s="187">
        <v>1.1599999999999999</v>
      </c>
      <c r="I1008" s="187">
        <v>2.11</v>
      </c>
      <c r="J1008" s="188">
        <v>2.5099999999999998</v>
      </c>
      <c r="K1008" s="188">
        <v>2.76</v>
      </c>
      <c r="L1008" s="185" t="s">
        <v>8</v>
      </c>
      <c r="M1008" s="189">
        <v>261</v>
      </c>
      <c r="N1008" s="192">
        <v>62.4</v>
      </c>
      <c r="O1008" s="186">
        <v>32.700000000000003</v>
      </c>
      <c r="P1008" s="187">
        <v>2.75</v>
      </c>
      <c r="Q1008" s="189">
        <v>279</v>
      </c>
      <c r="R1008" s="192">
        <v>74.400000000000006</v>
      </c>
      <c r="S1008" s="186">
        <v>47.9</v>
      </c>
      <c r="T1008" s="187">
        <v>2.85</v>
      </c>
      <c r="U1008" s="192">
        <v>39.1</v>
      </c>
      <c r="V1008" s="185">
        <v>140</v>
      </c>
      <c r="W1008" s="185" t="s">
        <v>8</v>
      </c>
      <c r="X1008" s="185" t="s">
        <v>8</v>
      </c>
      <c r="Y1008" s="187">
        <v>4.2300000000000004</v>
      </c>
      <c r="Z1008" s="190">
        <v>0.875</v>
      </c>
      <c r="AA1008" s="14" t="str">
        <f t="shared" si="51"/>
        <v>WT</v>
      </c>
      <c r="AB1008" s="14">
        <v>2.5499999999999998</v>
      </c>
      <c r="AC1008" s="14">
        <v>1.48</v>
      </c>
    </row>
    <row r="1009" spans="1:29" s="198" customFormat="1" ht="15" x14ac:dyDescent="0.25">
      <c r="A1009" s="185" t="s">
        <v>1313</v>
      </c>
      <c r="B1009" s="185" t="s">
        <v>1459</v>
      </c>
      <c r="C1009" s="185" t="s">
        <v>618</v>
      </c>
      <c r="D1009" s="185">
        <v>105.5</v>
      </c>
      <c r="E1009" s="186">
        <v>31.2</v>
      </c>
      <c r="F1009" s="186">
        <v>10.3</v>
      </c>
      <c r="G1009" s="186">
        <v>11.6</v>
      </c>
      <c r="H1009" s="187">
        <v>1.06</v>
      </c>
      <c r="I1009" s="187">
        <v>1.91</v>
      </c>
      <c r="J1009" s="188">
        <v>2.31</v>
      </c>
      <c r="K1009" s="188">
        <v>3.02</v>
      </c>
      <c r="L1009" s="185" t="s">
        <v>8</v>
      </c>
      <c r="M1009" s="189">
        <v>229</v>
      </c>
      <c r="N1009" s="192">
        <v>55</v>
      </c>
      <c r="O1009" s="186">
        <v>29.1</v>
      </c>
      <c r="P1009" s="187">
        <v>2.72</v>
      </c>
      <c r="Q1009" s="189">
        <v>246</v>
      </c>
      <c r="R1009" s="192">
        <v>66.099999999999994</v>
      </c>
      <c r="S1009" s="186">
        <v>42.7</v>
      </c>
      <c r="T1009" s="187">
        <v>2.82</v>
      </c>
      <c r="U1009" s="192">
        <v>29.1</v>
      </c>
      <c r="V1009" s="185">
        <v>102</v>
      </c>
      <c r="W1009" s="185" t="s">
        <v>8</v>
      </c>
      <c r="X1009" s="185" t="s">
        <v>8</v>
      </c>
      <c r="Y1009" s="187">
        <v>4.1900000000000004</v>
      </c>
      <c r="Z1009" s="190">
        <v>0.874</v>
      </c>
      <c r="AA1009" s="14" t="str">
        <f t="shared" si="51"/>
        <v>WT</v>
      </c>
      <c r="AB1009" s="14">
        <v>2.44</v>
      </c>
      <c r="AC1009" s="14">
        <v>1.34</v>
      </c>
    </row>
    <row r="1010" spans="1:29" s="198" customFormat="1" ht="15" x14ac:dyDescent="0.25">
      <c r="A1010" s="185" t="s">
        <v>1313</v>
      </c>
      <c r="B1010" s="185" t="s">
        <v>1460</v>
      </c>
      <c r="C1010" s="185" t="s">
        <v>618</v>
      </c>
      <c r="D1010" s="186">
        <v>96</v>
      </c>
      <c r="E1010" s="186">
        <v>28.1</v>
      </c>
      <c r="F1010" s="186">
        <v>10.199999999999999</v>
      </c>
      <c r="G1010" s="186">
        <v>11.5</v>
      </c>
      <c r="H1010" s="190">
        <v>0.96</v>
      </c>
      <c r="I1010" s="187">
        <v>1.75</v>
      </c>
      <c r="J1010" s="188">
        <v>2.15</v>
      </c>
      <c r="K1010" s="188">
        <v>3.27</v>
      </c>
      <c r="L1010" s="185" t="s">
        <v>8</v>
      </c>
      <c r="M1010" s="189">
        <v>202</v>
      </c>
      <c r="N1010" s="192">
        <v>48.5</v>
      </c>
      <c r="O1010" s="186">
        <v>25.8</v>
      </c>
      <c r="P1010" s="187">
        <v>2.68</v>
      </c>
      <c r="Q1010" s="189">
        <v>220</v>
      </c>
      <c r="R1010" s="192">
        <v>59.4</v>
      </c>
      <c r="S1010" s="186">
        <v>38.4</v>
      </c>
      <c r="T1010" s="187">
        <v>2.79</v>
      </c>
      <c r="U1010" s="192">
        <v>22.3</v>
      </c>
      <c r="V1010" s="186">
        <v>75.7</v>
      </c>
      <c r="W1010" s="185" t="s">
        <v>8</v>
      </c>
      <c r="X1010" s="185" t="s">
        <v>8</v>
      </c>
      <c r="Y1010" s="187">
        <v>4.13</v>
      </c>
      <c r="Z1010" s="190">
        <v>0.875</v>
      </c>
      <c r="AA1010" s="14" t="str">
        <f t="shared" si="51"/>
        <v>WT</v>
      </c>
      <c r="AB1010" s="14">
        <v>2.34</v>
      </c>
      <c r="AC1010" s="14">
        <v>1.23</v>
      </c>
    </row>
    <row r="1011" spans="1:29" s="198" customFormat="1" ht="15" x14ac:dyDescent="0.25">
      <c r="A1011" s="185" t="s">
        <v>1313</v>
      </c>
      <c r="B1011" s="185" t="s">
        <v>1461</v>
      </c>
      <c r="C1011" s="185" t="s">
        <v>618</v>
      </c>
      <c r="D1011" s="186">
        <v>87.5</v>
      </c>
      <c r="E1011" s="186">
        <v>25.7</v>
      </c>
      <c r="F1011" s="186">
        <v>10</v>
      </c>
      <c r="G1011" s="186">
        <v>11.4</v>
      </c>
      <c r="H1011" s="190">
        <v>0.89</v>
      </c>
      <c r="I1011" s="187">
        <v>1.59</v>
      </c>
      <c r="J1011" s="187">
        <v>1.99</v>
      </c>
      <c r="K1011" s="187">
        <v>3.58</v>
      </c>
      <c r="L1011" s="185" t="s">
        <v>8</v>
      </c>
      <c r="M1011" s="185">
        <v>181</v>
      </c>
      <c r="N1011" s="186">
        <v>43.6</v>
      </c>
      <c r="O1011" s="186">
        <v>23.4</v>
      </c>
      <c r="P1011" s="187">
        <v>2.66</v>
      </c>
      <c r="Q1011" s="185">
        <v>196</v>
      </c>
      <c r="R1011" s="186">
        <v>53.1</v>
      </c>
      <c r="S1011" s="186">
        <v>34.4</v>
      </c>
      <c r="T1011" s="187">
        <v>2.76</v>
      </c>
      <c r="U1011" s="186">
        <v>16.8</v>
      </c>
      <c r="V1011" s="186">
        <v>56.5</v>
      </c>
      <c r="W1011" s="185" t="s">
        <v>8</v>
      </c>
      <c r="X1011" s="185" t="s">
        <v>8</v>
      </c>
      <c r="Y1011" s="187">
        <v>4.0999999999999996</v>
      </c>
      <c r="Z1011" s="190">
        <v>0.872</v>
      </c>
      <c r="AA1011" s="14" t="str">
        <f t="shared" si="51"/>
        <v>WT</v>
      </c>
      <c r="AB1011" s="14">
        <v>2.2599999999999998</v>
      </c>
      <c r="AC1011" s="14">
        <v>1.1299999999999999</v>
      </c>
    </row>
    <row r="1012" spans="1:29" s="198" customFormat="1" ht="15" x14ac:dyDescent="0.25">
      <c r="A1012" s="185" t="s">
        <v>1313</v>
      </c>
      <c r="B1012" s="185" t="s">
        <v>1462</v>
      </c>
      <c r="C1012" s="185" t="s">
        <v>618</v>
      </c>
      <c r="D1012" s="186">
        <v>79</v>
      </c>
      <c r="E1012" s="186">
        <v>23.2</v>
      </c>
      <c r="F1012" s="187">
        <v>9.86</v>
      </c>
      <c r="G1012" s="186">
        <v>11.3</v>
      </c>
      <c r="H1012" s="190">
        <v>0.81</v>
      </c>
      <c r="I1012" s="187">
        <v>1.44</v>
      </c>
      <c r="J1012" s="187">
        <v>1.84</v>
      </c>
      <c r="K1012" s="187">
        <v>3.92</v>
      </c>
      <c r="L1012" s="185" t="s">
        <v>8</v>
      </c>
      <c r="M1012" s="185">
        <v>160</v>
      </c>
      <c r="N1012" s="186">
        <v>38.5</v>
      </c>
      <c r="O1012" s="186">
        <v>20.8</v>
      </c>
      <c r="P1012" s="187">
        <v>2.63</v>
      </c>
      <c r="Q1012" s="185">
        <v>174</v>
      </c>
      <c r="R1012" s="186">
        <v>47.4</v>
      </c>
      <c r="S1012" s="186">
        <v>30.7</v>
      </c>
      <c r="T1012" s="187">
        <v>2.74</v>
      </c>
      <c r="U1012" s="186">
        <v>12.5</v>
      </c>
      <c r="V1012" s="186">
        <v>41.2</v>
      </c>
      <c r="W1012" s="185" t="s">
        <v>8</v>
      </c>
      <c r="X1012" s="185" t="s">
        <v>8</v>
      </c>
      <c r="Y1012" s="187">
        <v>4.0599999999999996</v>
      </c>
      <c r="Z1012" s="190">
        <v>0.872</v>
      </c>
      <c r="AA1012" s="14" t="str">
        <f t="shared" si="51"/>
        <v>WT</v>
      </c>
      <c r="AB1012" s="14">
        <v>2.17</v>
      </c>
      <c r="AC1012" s="14">
        <v>1.02</v>
      </c>
    </row>
    <row r="1013" spans="1:29" s="198" customFormat="1" ht="15" x14ac:dyDescent="0.25">
      <c r="A1013" s="185" t="s">
        <v>1313</v>
      </c>
      <c r="B1013" s="185" t="s">
        <v>1463</v>
      </c>
      <c r="C1013" s="185" t="s">
        <v>618</v>
      </c>
      <c r="D1013" s="186">
        <v>71.5</v>
      </c>
      <c r="E1013" s="186">
        <v>21</v>
      </c>
      <c r="F1013" s="187">
        <v>9.75</v>
      </c>
      <c r="G1013" s="186">
        <v>11.2</v>
      </c>
      <c r="H1013" s="190">
        <v>0.73</v>
      </c>
      <c r="I1013" s="187">
        <v>1.32</v>
      </c>
      <c r="J1013" s="187">
        <v>1.72</v>
      </c>
      <c r="K1013" s="187">
        <v>4.25</v>
      </c>
      <c r="L1013" s="185" t="s">
        <v>8</v>
      </c>
      <c r="M1013" s="185">
        <v>142</v>
      </c>
      <c r="N1013" s="186">
        <v>34</v>
      </c>
      <c r="O1013" s="186">
        <v>18.5</v>
      </c>
      <c r="P1013" s="187">
        <v>2.6</v>
      </c>
      <c r="Q1013" s="185">
        <v>156</v>
      </c>
      <c r="R1013" s="186">
        <v>42.7</v>
      </c>
      <c r="S1013" s="186">
        <v>27.7</v>
      </c>
      <c r="T1013" s="187">
        <v>2.72</v>
      </c>
      <c r="U1013" s="187">
        <v>9.58</v>
      </c>
      <c r="V1013" s="186">
        <v>30.7</v>
      </c>
      <c r="W1013" s="185" t="s">
        <v>8</v>
      </c>
      <c r="X1013" s="185" t="s">
        <v>8</v>
      </c>
      <c r="Y1013" s="187">
        <v>4.0199999999999996</v>
      </c>
      <c r="Z1013" s="190">
        <v>0.874</v>
      </c>
      <c r="AA1013" s="14" t="str">
        <f t="shared" si="51"/>
        <v>WT</v>
      </c>
      <c r="AB1013" s="14">
        <v>2.09</v>
      </c>
      <c r="AC1013" s="14">
        <v>0.93700000000000006</v>
      </c>
    </row>
    <row r="1014" spans="1:29" s="198" customFormat="1" ht="15" x14ac:dyDescent="0.25">
      <c r="A1014" s="185" t="s">
        <v>1313</v>
      </c>
      <c r="B1014" s="185" t="s">
        <v>1464</v>
      </c>
      <c r="C1014" s="185" t="s">
        <v>618</v>
      </c>
      <c r="D1014" s="186">
        <v>65</v>
      </c>
      <c r="E1014" s="186">
        <v>19.2</v>
      </c>
      <c r="F1014" s="187">
        <v>9.6300000000000008</v>
      </c>
      <c r="G1014" s="186">
        <v>11.2</v>
      </c>
      <c r="H1014" s="190">
        <v>0.67</v>
      </c>
      <c r="I1014" s="187">
        <v>1.2</v>
      </c>
      <c r="J1014" s="187">
        <v>1.6</v>
      </c>
      <c r="K1014" s="187">
        <v>4.6500000000000004</v>
      </c>
      <c r="L1014" s="185" t="s">
        <v>8</v>
      </c>
      <c r="M1014" s="185">
        <v>127</v>
      </c>
      <c r="N1014" s="186">
        <v>30.5</v>
      </c>
      <c r="O1014" s="186">
        <v>16.7</v>
      </c>
      <c r="P1014" s="187">
        <v>2.58</v>
      </c>
      <c r="Q1014" s="185">
        <v>139</v>
      </c>
      <c r="R1014" s="186">
        <v>38.299999999999997</v>
      </c>
      <c r="S1014" s="186">
        <v>24.9</v>
      </c>
      <c r="T1014" s="187">
        <v>2.7</v>
      </c>
      <c r="U1014" s="187">
        <v>7.23</v>
      </c>
      <c r="V1014" s="186">
        <v>22.8</v>
      </c>
      <c r="W1014" s="185" t="s">
        <v>8</v>
      </c>
      <c r="X1014" s="185" t="s">
        <v>8</v>
      </c>
      <c r="Y1014" s="187">
        <v>4</v>
      </c>
      <c r="Z1014" s="190">
        <v>0.873</v>
      </c>
      <c r="AA1014" s="14" t="str">
        <f t="shared" si="51"/>
        <v>WT</v>
      </c>
      <c r="AB1014" s="14">
        <v>2.02</v>
      </c>
      <c r="AC1014" s="14">
        <v>0.85599999999999998</v>
      </c>
    </row>
    <row r="1015" spans="1:29" s="198" customFormat="1" ht="15" x14ac:dyDescent="0.25">
      <c r="A1015" s="185" t="s">
        <v>1313</v>
      </c>
      <c r="B1015" s="185" t="s">
        <v>1465</v>
      </c>
      <c r="C1015" s="185" t="s">
        <v>618</v>
      </c>
      <c r="D1015" s="186">
        <v>59.5</v>
      </c>
      <c r="E1015" s="186">
        <v>17.600000000000001</v>
      </c>
      <c r="F1015" s="187">
        <v>9.49</v>
      </c>
      <c r="G1015" s="186">
        <v>11.3</v>
      </c>
      <c r="H1015" s="190">
        <v>0.65500000000000003</v>
      </c>
      <c r="I1015" s="187">
        <v>1.06</v>
      </c>
      <c r="J1015" s="187">
        <v>1.46</v>
      </c>
      <c r="K1015" s="187">
        <v>5.31</v>
      </c>
      <c r="L1015" s="185" t="s">
        <v>8</v>
      </c>
      <c r="M1015" s="185">
        <v>119</v>
      </c>
      <c r="N1015" s="186">
        <v>28.7</v>
      </c>
      <c r="O1015" s="186">
        <v>15.9</v>
      </c>
      <c r="P1015" s="187">
        <v>2.6</v>
      </c>
      <c r="Q1015" s="185">
        <v>126</v>
      </c>
      <c r="R1015" s="186">
        <v>34.5</v>
      </c>
      <c r="S1015" s="186">
        <v>22.5</v>
      </c>
      <c r="T1015" s="187">
        <v>2.69</v>
      </c>
      <c r="U1015" s="187">
        <v>5.3</v>
      </c>
      <c r="V1015" s="186">
        <v>17.399999999999999</v>
      </c>
      <c r="W1015" s="185" t="s">
        <v>8</v>
      </c>
      <c r="X1015" s="185" t="s">
        <v>8</v>
      </c>
      <c r="Y1015" s="187">
        <v>4.03</v>
      </c>
      <c r="Z1015" s="190">
        <v>0.86199999999999999</v>
      </c>
      <c r="AA1015" s="14" t="str">
        <f t="shared" si="51"/>
        <v>WT</v>
      </c>
      <c r="AB1015" s="14">
        <v>2.0299999999999998</v>
      </c>
      <c r="AC1015" s="14">
        <v>0.77800000000000002</v>
      </c>
    </row>
    <row r="1016" spans="1:29" s="198" customFormat="1" ht="15" x14ac:dyDescent="0.25">
      <c r="A1016" s="185" t="s">
        <v>1313</v>
      </c>
      <c r="B1016" s="185" t="s">
        <v>1466</v>
      </c>
      <c r="C1016" s="185" t="s">
        <v>618</v>
      </c>
      <c r="D1016" s="186">
        <v>53</v>
      </c>
      <c r="E1016" s="186">
        <v>15.6</v>
      </c>
      <c r="F1016" s="187">
        <v>9.3699999999999992</v>
      </c>
      <c r="G1016" s="186">
        <v>11.2</v>
      </c>
      <c r="H1016" s="190">
        <v>0.59</v>
      </c>
      <c r="I1016" s="190">
        <v>0.94</v>
      </c>
      <c r="J1016" s="187">
        <v>1.34</v>
      </c>
      <c r="K1016" s="187">
        <v>5.96</v>
      </c>
      <c r="L1016" s="185" t="s">
        <v>8</v>
      </c>
      <c r="M1016" s="185">
        <v>104</v>
      </c>
      <c r="N1016" s="186">
        <v>25.2</v>
      </c>
      <c r="O1016" s="186">
        <v>14.1</v>
      </c>
      <c r="P1016" s="187">
        <v>2.59</v>
      </c>
      <c r="Q1016" s="185">
        <v>110</v>
      </c>
      <c r="R1016" s="186">
        <v>30.2</v>
      </c>
      <c r="S1016" s="186">
        <v>19.7</v>
      </c>
      <c r="T1016" s="187">
        <v>2.66</v>
      </c>
      <c r="U1016" s="187">
        <v>3.73</v>
      </c>
      <c r="V1016" s="186">
        <v>12.1</v>
      </c>
      <c r="W1016" s="185" t="s">
        <v>8</v>
      </c>
      <c r="X1016" s="185" t="s">
        <v>8</v>
      </c>
      <c r="Y1016" s="187">
        <v>4</v>
      </c>
      <c r="Z1016" s="190">
        <v>0.86</v>
      </c>
      <c r="AA1016" s="14" t="str">
        <f t="shared" si="51"/>
        <v>WT</v>
      </c>
      <c r="AB1016" s="14">
        <v>1.97</v>
      </c>
      <c r="AC1016" s="14">
        <v>0.69499999999999995</v>
      </c>
    </row>
    <row r="1017" spans="1:29" s="198" customFormat="1" ht="15" x14ac:dyDescent="0.25">
      <c r="A1017" s="185" t="s">
        <v>1313</v>
      </c>
      <c r="B1017" s="185" t="s">
        <v>1467</v>
      </c>
      <c r="C1017" s="185" t="s">
        <v>618</v>
      </c>
      <c r="D1017" s="186">
        <v>48.5</v>
      </c>
      <c r="E1017" s="186">
        <v>14.2</v>
      </c>
      <c r="F1017" s="187">
        <v>9.3000000000000007</v>
      </c>
      <c r="G1017" s="186">
        <v>11.1</v>
      </c>
      <c r="H1017" s="190">
        <v>0.53500000000000003</v>
      </c>
      <c r="I1017" s="190">
        <v>0.87</v>
      </c>
      <c r="J1017" s="187">
        <v>1.27</v>
      </c>
      <c r="K1017" s="187">
        <v>6.41</v>
      </c>
      <c r="L1017" s="185" t="s">
        <v>8</v>
      </c>
      <c r="M1017" s="186">
        <v>93.8</v>
      </c>
      <c r="N1017" s="186">
        <v>22.6</v>
      </c>
      <c r="O1017" s="186">
        <v>12.7</v>
      </c>
      <c r="P1017" s="187">
        <v>2.56</v>
      </c>
      <c r="Q1017" s="185">
        <v>100</v>
      </c>
      <c r="R1017" s="186">
        <v>27.6</v>
      </c>
      <c r="S1017" s="186">
        <v>18</v>
      </c>
      <c r="T1017" s="187">
        <v>2.65</v>
      </c>
      <c r="U1017" s="187">
        <v>2.92</v>
      </c>
      <c r="V1017" s="187">
        <v>9.2899999999999991</v>
      </c>
      <c r="W1017" s="185" t="s">
        <v>8</v>
      </c>
      <c r="X1017" s="185" t="s">
        <v>8</v>
      </c>
      <c r="Y1017" s="187">
        <v>3.97</v>
      </c>
      <c r="Z1017" s="190">
        <v>0.86299999999999999</v>
      </c>
      <c r="AA1017" s="14" t="str">
        <f t="shared" si="51"/>
        <v>WT</v>
      </c>
      <c r="AB1017" s="14">
        <v>1.91</v>
      </c>
      <c r="AC1017" s="14">
        <v>0.64</v>
      </c>
    </row>
    <row r="1018" spans="1:29" s="198" customFormat="1" ht="15" x14ac:dyDescent="0.25">
      <c r="A1018" s="185" t="s">
        <v>1313</v>
      </c>
      <c r="B1018" s="185" t="s">
        <v>1468</v>
      </c>
      <c r="C1018" s="185" t="s">
        <v>618</v>
      </c>
      <c r="D1018" s="186">
        <v>43</v>
      </c>
      <c r="E1018" s="186">
        <v>12.7</v>
      </c>
      <c r="F1018" s="187">
        <v>9.1999999999999993</v>
      </c>
      <c r="G1018" s="186">
        <v>11.1</v>
      </c>
      <c r="H1018" s="190">
        <v>0.48</v>
      </c>
      <c r="I1018" s="190">
        <v>0.77</v>
      </c>
      <c r="J1018" s="187">
        <v>1.17</v>
      </c>
      <c r="K1018" s="187">
        <v>7.2</v>
      </c>
      <c r="L1018" s="185" t="s">
        <v>8</v>
      </c>
      <c r="M1018" s="186">
        <v>82.4</v>
      </c>
      <c r="N1018" s="186">
        <v>19.899999999999999</v>
      </c>
      <c r="O1018" s="186">
        <v>11.2</v>
      </c>
      <c r="P1018" s="187">
        <v>2.5499999999999998</v>
      </c>
      <c r="Q1018" s="186">
        <v>87.6</v>
      </c>
      <c r="R1018" s="186">
        <v>24.2</v>
      </c>
      <c r="S1018" s="186">
        <v>15.8</v>
      </c>
      <c r="T1018" s="187">
        <v>2.63</v>
      </c>
      <c r="U1018" s="187">
        <v>2.04</v>
      </c>
      <c r="V1018" s="187">
        <v>6.42</v>
      </c>
      <c r="W1018" s="185" t="s">
        <v>8</v>
      </c>
      <c r="X1018" s="185" t="s">
        <v>8</v>
      </c>
      <c r="Y1018" s="187">
        <v>3.95</v>
      </c>
      <c r="Z1018" s="190">
        <v>0.86099999999999999</v>
      </c>
      <c r="AA1018" s="14" t="str">
        <f t="shared" si="51"/>
        <v>WT</v>
      </c>
      <c r="AB1018" s="14">
        <v>1.86</v>
      </c>
      <c r="AC1018" s="14">
        <v>0.56999999999999995</v>
      </c>
    </row>
    <row r="1019" spans="1:29" s="198" customFormat="1" ht="15" x14ac:dyDescent="0.25">
      <c r="A1019" s="185" t="s">
        <v>1313</v>
      </c>
      <c r="B1019" s="185" t="s">
        <v>1469</v>
      </c>
      <c r="C1019" s="185" t="s">
        <v>618</v>
      </c>
      <c r="D1019" s="186">
        <v>38</v>
      </c>
      <c r="E1019" s="186">
        <v>11.1</v>
      </c>
      <c r="F1019" s="187">
        <v>9.11</v>
      </c>
      <c r="G1019" s="186">
        <v>11</v>
      </c>
      <c r="H1019" s="190">
        <v>0.42499999999999999</v>
      </c>
      <c r="I1019" s="190">
        <v>0.68</v>
      </c>
      <c r="J1019" s="187">
        <v>1.08</v>
      </c>
      <c r="K1019" s="187">
        <v>8.11</v>
      </c>
      <c r="L1019" s="185" t="s">
        <v>8</v>
      </c>
      <c r="M1019" s="186">
        <v>71.8</v>
      </c>
      <c r="N1019" s="186">
        <v>17.3</v>
      </c>
      <c r="O1019" s="187">
        <v>9.83</v>
      </c>
      <c r="P1019" s="187">
        <v>2.54</v>
      </c>
      <c r="Q1019" s="186">
        <v>76.2</v>
      </c>
      <c r="R1019" s="186">
        <v>21.1</v>
      </c>
      <c r="S1019" s="186">
        <v>13.8</v>
      </c>
      <c r="T1019" s="187">
        <v>2.61</v>
      </c>
      <c r="U1019" s="187">
        <v>1.41</v>
      </c>
      <c r="V1019" s="187">
        <v>4.37</v>
      </c>
      <c r="W1019" s="185" t="s">
        <v>8</v>
      </c>
      <c r="X1019" s="185" t="s">
        <v>8</v>
      </c>
      <c r="Y1019" s="187">
        <v>3.93</v>
      </c>
      <c r="Z1019" s="190">
        <v>0.86099999999999999</v>
      </c>
      <c r="AA1019" s="14" t="str">
        <f t="shared" si="51"/>
        <v>WT</v>
      </c>
      <c r="AB1019" s="14">
        <v>1.8</v>
      </c>
      <c r="AC1019" s="14">
        <v>0.505</v>
      </c>
    </row>
    <row r="1020" spans="1:29" s="198" customFormat="1" ht="15" x14ac:dyDescent="0.25">
      <c r="A1020" s="185" t="s">
        <v>1313</v>
      </c>
      <c r="B1020" s="185" t="s">
        <v>1470</v>
      </c>
      <c r="C1020" s="185" t="s">
        <v>618</v>
      </c>
      <c r="D1020" s="186">
        <v>35.5</v>
      </c>
      <c r="E1020" s="186">
        <v>10.4</v>
      </c>
      <c r="F1020" s="187">
        <v>9.24</v>
      </c>
      <c r="G1020" s="187">
        <v>7.64</v>
      </c>
      <c r="H1020" s="190">
        <v>0.495</v>
      </c>
      <c r="I1020" s="190">
        <v>0.81</v>
      </c>
      <c r="J1020" s="187">
        <v>1.21</v>
      </c>
      <c r="K1020" s="187">
        <v>4.71</v>
      </c>
      <c r="L1020" s="185" t="s">
        <v>8</v>
      </c>
      <c r="M1020" s="186">
        <v>78.2</v>
      </c>
      <c r="N1020" s="186">
        <v>20</v>
      </c>
      <c r="O1020" s="186">
        <v>11.2</v>
      </c>
      <c r="P1020" s="187">
        <v>2.74</v>
      </c>
      <c r="Q1020" s="186">
        <v>30.1</v>
      </c>
      <c r="R1020" s="186">
        <v>12.3</v>
      </c>
      <c r="S1020" s="187">
        <v>7.89</v>
      </c>
      <c r="T1020" s="187">
        <v>1.7</v>
      </c>
      <c r="U1020" s="187">
        <v>1.74</v>
      </c>
      <c r="V1020" s="187">
        <v>3.96</v>
      </c>
      <c r="W1020" s="185" t="s">
        <v>8</v>
      </c>
      <c r="X1020" s="185" t="s">
        <v>8</v>
      </c>
      <c r="Y1020" s="187">
        <v>3.72</v>
      </c>
      <c r="Z1020" s="190">
        <v>0.752</v>
      </c>
      <c r="AA1020" s="14" t="str">
        <f t="shared" si="51"/>
        <v>WT</v>
      </c>
      <c r="AB1020" s="14">
        <v>2.2599999999999998</v>
      </c>
      <c r="AC1020" s="14">
        <v>0.68300000000000005</v>
      </c>
    </row>
    <row r="1021" spans="1:29" s="198" customFormat="1" ht="15" x14ac:dyDescent="0.25">
      <c r="A1021" s="185" t="s">
        <v>1313</v>
      </c>
      <c r="B1021" s="185" t="s">
        <v>1471</v>
      </c>
      <c r="C1021" s="185" t="s">
        <v>618</v>
      </c>
      <c r="D1021" s="186">
        <v>32.5</v>
      </c>
      <c r="E1021" s="187">
        <v>9.5500000000000007</v>
      </c>
      <c r="F1021" s="187">
        <v>9.18</v>
      </c>
      <c r="G1021" s="187">
        <v>7.59</v>
      </c>
      <c r="H1021" s="190">
        <v>0.45</v>
      </c>
      <c r="I1021" s="190">
        <v>0.75</v>
      </c>
      <c r="J1021" s="187">
        <v>1.1499999999999999</v>
      </c>
      <c r="K1021" s="187">
        <v>5.0599999999999996</v>
      </c>
      <c r="L1021" s="185" t="s">
        <v>8</v>
      </c>
      <c r="M1021" s="186">
        <v>70.7</v>
      </c>
      <c r="N1021" s="186">
        <v>18</v>
      </c>
      <c r="O1021" s="186">
        <v>10.1</v>
      </c>
      <c r="P1021" s="187">
        <v>2.72</v>
      </c>
      <c r="Q1021" s="186">
        <v>27.4</v>
      </c>
      <c r="R1021" s="186">
        <v>11.2</v>
      </c>
      <c r="S1021" s="187">
        <v>7.22</v>
      </c>
      <c r="T1021" s="187">
        <v>1.69</v>
      </c>
      <c r="U1021" s="187">
        <v>1.36</v>
      </c>
      <c r="V1021" s="187">
        <v>3.01</v>
      </c>
      <c r="W1021" s="185" t="s">
        <v>8</v>
      </c>
      <c r="X1021" s="185" t="s">
        <v>8</v>
      </c>
      <c r="Y1021" s="187">
        <v>3.69</v>
      </c>
      <c r="Z1021" s="190">
        <v>0.755</v>
      </c>
      <c r="AA1021" s="14" t="str">
        <f t="shared" si="51"/>
        <v>WT</v>
      </c>
      <c r="AB1021" s="14">
        <v>2.2000000000000002</v>
      </c>
      <c r="AC1021" s="14">
        <v>0.629</v>
      </c>
    </row>
    <row r="1022" spans="1:29" s="198" customFormat="1" ht="15" x14ac:dyDescent="0.25">
      <c r="A1022" s="185" t="s">
        <v>1313</v>
      </c>
      <c r="B1022" s="185" t="s">
        <v>1472</v>
      </c>
      <c r="C1022" s="185" t="s">
        <v>618</v>
      </c>
      <c r="D1022" s="186">
        <v>30</v>
      </c>
      <c r="E1022" s="187">
        <v>8.82</v>
      </c>
      <c r="F1022" s="187">
        <v>9.1199999999999992</v>
      </c>
      <c r="G1022" s="187">
        <v>7.56</v>
      </c>
      <c r="H1022" s="190">
        <v>0.41499999999999998</v>
      </c>
      <c r="I1022" s="190">
        <v>0.69499999999999995</v>
      </c>
      <c r="J1022" s="187">
        <v>1.1000000000000001</v>
      </c>
      <c r="K1022" s="187">
        <v>5.44</v>
      </c>
      <c r="L1022" s="185" t="s">
        <v>8</v>
      </c>
      <c r="M1022" s="186">
        <v>64.7</v>
      </c>
      <c r="N1022" s="186">
        <v>16.5</v>
      </c>
      <c r="O1022" s="187">
        <v>9.2899999999999991</v>
      </c>
      <c r="P1022" s="187">
        <v>2.71</v>
      </c>
      <c r="Q1022" s="186">
        <v>25</v>
      </c>
      <c r="R1022" s="186">
        <v>10.3</v>
      </c>
      <c r="S1022" s="187">
        <v>6.63</v>
      </c>
      <c r="T1022" s="187">
        <v>1.68</v>
      </c>
      <c r="U1022" s="187">
        <v>1.08</v>
      </c>
      <c r="V1022" s="187">
        <v>2.35</v>
      </c>
      <c r="W1022" s="185" t="s">
        <v>8</v>
      </c>
      <c r="X1022" s="185" t="s">
        <v>8</v>
      </c>
      <c r="Y1022" s="187">
        <v>3.67</v>
      </c>
      <c r="Z1022" s="190">
        <v>0.75600000000000001</v>
      </c>
      <c r="AA1022" s="14" t="str">
        <f t="shared" si="51"/>
        <v>WT</v>
      </c>
      <c r="AB1022" s="14">
        <v>2.16</v>
      </c>
      <c r="AC1022" s="14">
        <v>0.58299999999999996</v>
      </c>
    </row>
    <row r="1023" spans="1:29" s="198" customFormat="1" ht="15" x14ac:dyDescent="0.25">
      <c r="A1023" s="185" t="s">
        <v>1313</v>
      </c>
      <c r="B1023" s="185" t="s">
        <v>1473</v>
      </c>
      <c r="C1023" s="185" t="s">
        <v>618</v>
      </c>
      <c r="D1023" s="186">
        <v>27.5</v>
      </c>
      <c r="E1023" s="187">
        <v>8.1</v>
      </c>
      <c r="F1023" s="187">
        <v>9.06</v>
      </c>
      <c r="G1023" s="187">
        <v>7.53</v>
      </c>
      <c r="H1023" s="190">
        <v>0.39</v>
      </c>
      <c r="I1023" s="190">
        <v>0.63</v>
      </c>
      <c r="J1023" s="187">
        <v>1.03</v>
      </c>
      <c r="K1023" s="187">
        <v>5.98</v>
      </c>
      <c r="L1023" s="185" t="s">
        <v>8</v>
      </c>
      <c r="M1023" s="186">
        <v>59.5</v>
      </c>
      <c r="N1023" s="186">
        <v>15.3</v>
      </c>
      <c r="O1023" s="187">
        <v>8.6300000000000008</v>
      </c>
      <c r="P1023" s="187">
        <v>2.71</v>
      </c>
      <c r="Q1023" s="186">
        <v>22.5</v>
      </c>
      <c r="R1023" s="187">
        <v>9.26</v>
      </c>
      <c r="S1023" s="187">
        <v>5.97</v>
      </c>
      <c r="T1023" s="187">
        <v>1.67</v>
      </c>
      <c r="U1023" s="190">
        <v>0.83</v>
      </c>
      <c r="V1023" s="187">
        <v>1.84</v>
      </c>
      <c r="W1023" s="185" t="s">
        <v>8</v>
      </c>
      <c r="X1023" s="185" t="s">
        <v>8</v>
      </c>
      <c r="Y1023" s="187">
        <v>3.68</v>
      </c>
      <c r="Z1023" s="190">
        <v>0.749</v>
      </c>
      <c r="AA1023" s="14" t="str">
        <f t="shared" si="51"/>
        <v>WT</v>
      </c>
      <c r="AB1023" s="14">
        <v>2.16</v>
      </c>
      <c r="AC1023" s="14">
        <v>0.53800000000000003</v>
      </c>
    </row>
    <row r="1024" spans="1:29" s="198" customFormat="1" ht="15" x14ac:dyDescent="0.25">
      <c r="A1024" s="185" t="s">
        <v>1313</v>
      </c>
      <c r="B1024" s="185" t="s">
        <v>1474</v>
      </c>
      <c r="C1024" s="185" t="s">
        <v>618</v>
      </c>
      <c r="D1024" s="186">
        <v>25</v>
      </c>
      <c r="E1024" s="187">
        <v>7.34</v>
      </c>
      <c r="F1024" s="187">
        <v>9</v>
      </c>
      <c r="G1024" s="187">
        <v>7.5</v>
      </c>
      <c r="H1024" s="190">
        <v>0.35499999999999998</v>
      </c>
      <c r="I1024" s="190">
        <v>0.56999999999999995</v>
      </c>
      <c r="J1024" s="190">
        <v>0.97199999999999998</v>
      </c>
      <c r="K1024" s="187">
        <v>6.57</v>
      </c>
      <c r="L1024" s="185" t="s">
        <v>8</v>
      </c>
      <c r="M1024" s="186">
        <v>53.5</v>
      </c>
      <c r="N1024" s="186">
        <v>13.8</v>
      </c>
      <c r="O1024" s="187">
        <v>7.79</v>
      </c>
      <c r="P1024" s="187">
        <v>2.7</v>
      </c>
      <c r="Q1024" s="186">
        <v>20</v>
      </c>
      <c r="R1024" s="187">
        <v>8.2799999999999994</v>
      </c>
      <c r="S1024" s="187">
        <v>5.35</v>
      </c>
      <c r="T1024" s="187">
        <v>1.65</v>
      </c>
      <c r="U1024" s="190">
        <v>0.61899999999999999</v>
      </c>
      <c r="V1024" s="187">
        <v>1.36</v>
      </c>
      <c r="W1024" s="185" t="s">
        <v>8</v>
      </c>
      <c r="X1024" s="185" t="s">
        <v>8</v>
      </c>
      <c r="Y1024" s="187">
        <v>3.66</v>
      </c>
      <c r="Z1024" s="190">
        <v>0.748</v>
      </c>
      <c r="AA1024" s="14" t="str">
        <f t="shared" si="51"/>
        <v>WT</v>
      </c>
      <c r="AB1024" s="14">
        <v>2.12</v>
      </c>
      <c r="AC1024" s="14">
        <v>0.48899999999999999</v>
      </c>
    </row>
    <row r="1025" spans="1:29" s="198" customFormat="1" ht="15" x14ac:dyDescent="0.25">
      <c r="A1025" s="185" t="s">
        <v>1313</v>
      </c>
      <c r="B1025" s="185" t="s">
        <v>1475</v>
      </c>
      <c r="C1025" s="185" t="s">
        <v>618</v>
      </c>
      <c r="D1025" s="186">
        <v>23</v>
      </c>
      <c r="E1025" s="187">
        <v>6.77</v>
      </c>
      <c r="F1025" s="187">
        <v>9.0299999999999994</v>
      </c>
      <c r="G1025" s="187">
        <v>6.06</v>
      </c>
      <c r="H1025" s="190">
        <v>0.36</v>
      </c>
      <c r="I1025" s="190">
        <v>0.60499999999999998</v>
      </c>
      <c r="J1025" s="187">
        <v>1.01</v>
      </c>
      <c r="K1025" s="187">
        <v>5.01</v>
      </c>
      <c r="L1025" s="185" t="s">
        <v>8</v>
      </c>
      <c r="M1025" s="186">
        <v>52.1</v>
      </c>
      <c r="N1025" s="186">
        <v>13.9</v>
      </c>
      <c r="O1025" s="187">
        <v>7.77</v>
      </c>
      <c r="P1025" s="187">
        <v>2.77</v>
      </c>
      <c r="Q1025" s="186">
        <v>11.3</v>
      </c>
      <c r="R1025" s="187">
        <v>5.84</v>
      </c>
      <c r="S1025" s="187">
        <v>3.71</v>
      </c>
      <c r="T1025" s="187">
        <v>1.29</v>
      </c>
      <c r="U1025" s="190">
        <v>0.60899999999999999</v>
      </c>
      <c r="V1025" s="187">
        <v>1.2</v>
      </c>
      <c r="W1025" s="185" t="s">
        <v>8</v>
      </c>
      <c r="X1025" s="185" t="s">
        <v>8</v>
      </c>
      <c r="Y1025" s="187">
        <v>3.67</v>
      </c>
      <c r="Z1025" s="190">
        <v>0.69499999999999995</v>
      </c>
      <c r="AA1025" s="14" t="str">
        <f t="shared" si="51"/>
        <v>WT</v>
      </c>
      <c r="AB1025" s="14">
        <v>2.33</v>
      </c>
      <c r="AC1025" s="14">
        <v>0.55800000000000005</v>
      </c>
    </row>
    <row r="1026" spans="1:29" s="198" customFormat="1" ht="15" x14ac:dyDescent="0.25">
      <c r="A1026" s="185" t="s">
        <v>1313</v>
      </c>
      <c r="B1026" s="185" t="s">
        <v>1476</v>
      </c>
      <c r="C1026" s="185" t="s">
        <v>618</v>
      </c>
      <c r="D1026" s="186">
        <v>20</v>
      </c>
      <c r="E1026" s="187">
        <v>5.88</v>
      </c>
      <c r="F1026" s="187">
        <v>8.9499999999999993</v>
      </c>
      <c r="G1026" s="187">
        <v>6.02</v>
      </c>
      <c r="H1026" s="190">
        <v>0.315</v>
      </c>
      <c r="I1026" s="190">
        <v>0.52500000000000002</v>
      </c>
      <c r="J1026" s="190">
        <v>0.92700000000000005</v>
      </c>
      <c r="K1026" s="187">
        <v>5.73</v>
      </c>
      <c r="L1026" s="185" t="s">
        <v>8</v>
      </c>
      <c r="M1026" s="186">
        <v>44.8</v>
      </c>
      <c r="N1026" s="186">
        <v>12</v>
      </c>
      <c r="O1026" s="187">
        <v>6.73</v>
      </c>
      <c r="P1026" s="187">
        <v>2.76</v>
      </c>
      <c r="Q1026" s="187">
        <v>9.5500000000000007</v>
      </c>
      <c r="R1026" s="187">
        <v>4.97</v>
      </c>
      <c r="S1026" s="187">
        <v>3.17</v>
      </c>
      <c r="T1026" s="187">
        <v>1.27</v>
      </c>
      <c r="U1026" s="190">
        <v>0.40400000000000003</v>
      </c>
      <c r="V1026" s="190">
        <v>0.78800000000000003</v>
      </c>
      <c r="W1026" s="185" t="s">
        <v>8</v>
      </c>
      <c r="X1026" s="185" t="s">
        <v>8</v>
      </c>
      <c r="Y1026" s="187">
        <v>3.65</v>
      </c>
      <c r="Z1026" s="190">
        <v>0.69299999999999995</v>
      </c>
      <c r="AA1026" s="14" t="str">
        <f t="shared" si="51"/>
        <v>WT</v>
      </c>
      <c r="AB1026" s="14">
        <v>2.29</v>
      </c>
      <c r="AC1026" s="14">
        <v>0.48899999999999999</v>
      </c>
    </row>
    <row r="1027" spans="1:29" s="198" customFormat="1" ht="15" x14ac:dyDescent="0.25">
      <c r="A1027" s="185" t="s">
        <v>1313</v>
      </c>
      <c r="B1027" s="185" t="s">
        <v>1477</v>
      </c>
      <c r="C1027" s="185" t="s">
        <v>618</v>
      </c>
      <c r="D1027" s="186">
        <v>17.5</v>
      </c>
      <c r="E1027" s="187">
        <v>5.15</v>
      </c>
      <c r="F1027" s="187">
        <v>8.85</v>
      </c>
      <c r="G1027" s="187">
        <v>6</v>
      </c>
      <c r="H1027" s="190">
        <v>0.3</v>
      </c>
      <c r="I1027" s="190">
        <v>0.42499999999999999</v>
      </c>
      <c r="J1027" s="190">
        <v>0.82699999999999996</v>
      </c>
      <c r="K1027" s="187">
        <v>7.06</v>
      </c>
      <c r="L1027" s="185" t="s">
        <v>8</v>
      </c>
      <c r="M1027" s="186">
        <v>40.1</v>
      </c>
      <c r="N1027" s="186">
        <v>11.2</v>
      </c>
      <c r="O1027" s="187">
        <v>6.21</v>
      </c>
      <c r="P1027" s="187">
        <v>2.79</v>
      </c>
      <c r="Q1027" s="187">
        <v>7.67</v>
      </c>
      <c r="R1027" s="187">
        <v>4.0199999999999996</v>
      </c>
      <c r="S1027" s="187">
        <v>2.56</v>
      </c>
      <c r="T1027" s="187">
        <v>1.22</v>
      </c>
      <c r="U1027" s="190">
        <v>0.252</v>
      </c>
      <c r="V1027" s="190">
        <v>0.59799999999999998</v>
      </c>
      <c r="W1027" s="185" t="s">
        <v>8</v>
      </c>
      <c r="X1027" s="185" t="s">
        <v>8</v>
      </c>
      <c r="Y1027" s="187">
        <v>3.74</v>
      </c>
      <c r="Z1027" s="190">
        <v>0.66200000000000003</v>
      </c>
      <c r="AA1027" s="14" t="str">
        <f t="shared" si="51"/>
        <v>WT</v>
      </c>
      <c r="AB1027" s="14">
        <v>2.39</v>
      </c>
      <c r="AC1027" s="14">
        <v>0.45</v>
      </c>
    </row>
    <row r="1028" spans="1:29" s="198" customFormat="1" ht="15" x14ac:dyDescent="0.25">
      <c r="A1028" s="185" t="s">
        <v>1313</v>
      </c>
      <c r="B1028" s="185" t="s">
        <v>1478</v>
      </c>
      <c r="C1028" s="185" t="s">
        <v>618</v>
      </c>
      <c r="D1028" s="186">
        <v>50</v>
      </c>
      <c r="E1028" s="186">
        <v>14.7</v>
      </c>
      <c r="F1028" s="187">
        <v>8.49</v>
      </c>
      <c r="G1028" s="186">
        <v>10.4</v>
      </c>
      <c r="H1028" s="190">
        <v>0.58499999999999996</v>
      </c>
      <c r="I1028" s="190">
        <v>0.98499999999999999</v>
      </c>
      <c r="J1028" s="187">
        <v>1.39</v>
      </c>
      <c r="K1028" s="187">
        <v>5.29</v>
      </c>
      <c r="L1028" s="185" t="s">
        <v>8</v>
      </c>
      <c r="M1028" s="186">
        <v>76.8</v>
      </c>
      <c r="N1028" s="186">
        <v>20.7</v>
      </c>
      <c r="O1028" s="186">
        <v>11.4</v>
      </c>
      <c r="P1028" s="187">
        <v>2.2799999999999998</v>
      </c>
      <c r="Q1028" s="186">
        <v>93.1</v>
      </c>
      <c r="R1028" s="186">
        <v>27.4</v>
      </c>
      <c r="S1028" s="186">
        <v>17.899999999999999</v>
      </c>
      <c r="T1028" s="187">
        <v>2.5099999999999998</v>
      </c>
      <c r="U1028" s="187">
        <v>3.85</v>
      </c>
      <c r="V1028" s="186">
        <v>10.4</v>
      </c>
      <c r="W1028" s="185" t="s">
        <v>8</v>
      </c>
      <c r="X1028" s="185" t="s">
        <v>8</v>
      </c>
      <c r="Y1028" s="187">
        <v>3.63</v>
      </c>
      <c r="Z1028" s="190">
        <v>0.878</v>
      </c>
      <c r="AA1028" s="14" t="str">
        <f t="shared" si="51"/>
        <v>WT</v>
      </c>
      <c r="AB1028" s="14">
        <v>1.76</v>
      </c>
      <c r="AC1028" s="14">
        <v>0.70599999999999996</v>
      </c>
    </row>
    <row r="1029" spans="1:29" s="198" customFormat="1" ht="15" x14ac:dyDescent="0.25">
      <c r="A1029" s="185" t="s">
        <v>1313</v>
      </c>
      <c r="B1029" s="185" t="s">
        <v>1479</v>
      </c>
      <c r="C1029" s="185" t="s">
        <v>618</v>
      </c>
      <c r="D1029" s="186">
        <v>44.5</v>
      </c>
      <c r="E1029" s="186">
        <v>13.1</v>
      </c>
      <c r="F1029" s="187">
        <v>8.3800000000000008</v>
      </c>
      <c r="G1029" s="186">
        <v>10.4</v>
      </c>
      <c r="H1029" s="190">
        <v>0.52500000000000002</v>
      </c>
      <c r="I1029" s="190">
        <v>0.875</v>
      </c>
      <c r="J1029" s="187">
        <v>1.28</v>
      </c>
      <c r="K1029" s="187">
        <v>5.92</v>
      </c>
      <c r="L1029" s="185" t="s">
        <v>8</v>
      </c>
      <c r="M1029" s="186">
        <v>67.2</v>
      </c>
      <c r="N1029" s="186">
        <v>18.100000000000001</v>
      </c>
      <c r="O1029" s="186">
        <v>10.1</v>
      </c>
      <c r="P1029" s="187">
        <v>2.27</v>
      </c>
      <c r="Q1029" s="186">
        <v>81.3</v>
      </c>
      <c r="R1029" s="186">
        <v>24</v>
      </c>
      <c r="S1029" s="186">
        <v>15.7</v>
      </c>
      <c r="T1029" s="187">
        <v>2.4900000000000002</v>
      </c>
      <c r="U1029" s="187">
        <v>2.72</v>
      </c>
      <c r="V1029" s="187">
        <v>7.19</v>
      </c>
      <c r="W1029" s="185" t="s">
        <v>8</v>
      </c>
      <c r="X1029" s="185" t="s">
        <v>8</v>
      </c>
      <c r="Y1029" s="187">
        <v>3.6</v>
      </c>
      <c r="Z1029" s="190">
        <v>0.877</v>
      </c>
      <c r="AA1029" s="14" t="str">
        <f t="shared" si="51"/>
        <v>WT</v>
      </c>
      <c r="AB1029" s="14">
        <v>1.7</v>
      </c>
      <c r="AC1029" s="14">
        <v>0.63100000000000001</v>
      </c>
    </row>
    <row r="1030" spans="1:29" s="198" customFormat="1" ht="15" x14ac:dyDescent="0.25">
      <c r="A1030" s="185" t="s">
        <v>1313</v>
      </c>
      <c r="B1030" s="185" t="s">
        <v>1480</v>
      </c>
      <c r="C1030" s="185" t="s">
        <v>618</v>
      </c>
      <c r="D1030" s="186">
        <v>38.5</v>
      </c>
      <c r="E1030" s="186">
        <v>11.3</v>
      </c>
      <c r="F1030" s="187">
        <v>8.26</v>
      </c>
      <c r="G1030" s="186">
        <v>10.3</v>
      </c>
      <c r="H1030" s="190">
        <v>0.45500000000000002</v>
      </c>
      <c r="I1030" s="190">
        <v>0.76</v>
      </c>
      <c r="J1030" s="187">
        <v>1.1599999999999999</v>
      </c>
      <c r="K1030" s="187">
        <v>6.77</v>
      </c>
      <c r="L1030" s="185" t="s">
        <v>8</v>
      </c>
      <c r="M1030" s="186">
        <v>56.9</v>
      </c>
      <c r="N1030" s="186">
        <v>15.3</v>
      </c>
      <c r="O1030" s="187">
        <v>8.59</v>
      </c>
      <c r="P1030" s="187">
        <v>2.2400000000000002</v>
      </c>
      <c r="Q1030" s="186">
        <v>69.2</v>
      </c>
      <c r="R1030" s="186">
        <v>20.5</v>
      </c>
      <c r="S1030" s="186">
        <v>13.4</v>
      </c>
      <c r="T1030" s="187">
        <v>2.4700000000000002</v>
      </c>
      <c r="U1030" s="187">
        <v>1.78</v>
      </c>
      <c r="V1030" s="187">
        <v>4.6100000000000003</v>
      </c>
      <c r="W1030" s="185" t="s">
        <v>8</v>
      </c>
      <c r="X1030" s="185" t="s">
        <v>8</v>
      </c>
      <c r="Y1030" s="187">
        <v>3.57</v>
      </c>
      <c r="Z1030" s="190">
        <v>0.877</v>
      </c>
      <c r="AA1030" s="14" t="str">
        <f t="shared" si="51"/>
        <v>WT</v>
      </c>
      <c r="AB1030" s="14">
        <v>1.63</v>
      </c>
      <c r="AC1030" s="14">
        <v>0.54900000000000004</v>
      </c>
    </row>
    <row r="1031" spans="1:29" s="198" customFormat="1" ht="15" x14ac:dyDescent="0.25">
      <c r="A1031" s="185" t="s">
        <v>1313</v>
      </c>
      <c r="B1031" s="185" t="s">
        <v>1481</v>
      </c>
      <c r="C1031" s="185" t="s">
        <v>618</v>
      </c>
      <c r="D1031" s="186">
        <v>33.5</v>
      </c>
      <c r="E1031" s="187">
        <v>9.81</v>
      </c>
      <c r="F1031" s="187">
        <v>8.17</v>
      </c>
      <c r="G1031" s="186">
        <v>10.199999999999999</v>
      </c>
      <c r="H1031" s="190">
        <v>0.39500000000000002</v>
      </c>
      <c r="I1031" s="190">
        <v>0.66500000000000004</v>
      </c>
      <c r="J1031" s="187">
        <v>1.07</v>
      </c>
      <c r="K1031" s="187">
        <v>7.7</v>
      </c>
      <c r="L1031" s="185" t="s">
        <v>8</v>
      </c>
      <c r="M1031" s="186">
        <v>48.6</v>
      </c>
      <c r="N1031" s="186">
        <v>13</v>
      </c>
      <c r="O1031" s="187">
        <v>7.36</v>
      </c>
      <c r="P1031" s="187">
        <v>2.2200000000000002</v>
      </c>
      <c r="Q1031" s="186">
        <v>59.5</v>
      </c>
      <c r="R1031" s="186">
        <v>17.7</v>
      </c>
      <c r="S1031" s="186">
        <v>11.6</v>
      </c>
      <c r="T1031" s="187">
        <v>2.46</v>
      </c>
      <c r="U1031" s="187">
        <v>1.19</v>
      </c>
      <c r="V1031" s="187">
        <v>3.01</v>
      </c>
      <c r="W1031" s="185" t="s">
        <v>8</v>
      </c>
      <c r="X1031" s="185" t="s">
        <v>8</v>
      </c>
      <c r="Y1031" s="187">
        <v>3.54</v>
      </c>
      <c r="Z1031" s="190">
        <v>0.879</v>
      </c>
      <c r="AA1031" s="14" t="str">
        <f t="shared" si="51"/>
        <v>WT</v>
      </c>
      <c r="AB1031" s="14">
        <v>1.56</v>
      </c>
      <c r="AC1031" s="14">
        <v>0.48099999999999998</v>
      </c>
    </row>
    <row r="1032" spans="1:29" s="198" customFormat="1" ht="15" x14ac:dyDescent="0.25">
      <c r="A1032" s="185" t="s">
        <v>1313</v>
      </c>
      <c r="B1032" s="185" t="s">
        <v>1482</v>
      </c>
      <c r="C1032" s="185" t="s">
        <v>618</v>
      </c>
      <c r="D1032" s="186">
        <v>28.5</v>
      </c>
      <c r="E1032" s="187">
        <v>8.39</v>
      </c>
      <c r="F1032" s="187">
        <v>8.2200000000000006</v>
      </c>
      <c r="G1032" s="187">
        <v>7.12</v>
      </c>
      <c r="H1032" s="190">
        <v>0.43</v>
      </c>
      <c r="I1032" s="190">
        <v>0.71499999999999997</v>
      </c>
      <c r="J1032" s="187">
        <v>1.1200000000000001</v>
      </c>
      <c r="K1032" s="187">
        <v>4.9800000000000004</v>
      </c>
      <c r="L1032" s="185" t="s">
        <v>8</v>
      </c>
      <c r="M1032" s="186">
        <v>48.7</v>
      </c>
      <c r="N1032" s="186">
        <v>13.8</v>
      </c>
      <c r="O1032" s="187">
        <v>7.77</v>
      </c>
      <c r="P1032" s="187">
        <v>2.41</v>
      </c>
      <c r="Q1032" s="186">
        <v>21.6</v>
      </c>
      <c r="R1032" s="187">
        <v>9.42</v>
      </c>
      <c r="S1032" s="187">
        <v>6.06</v>
      </c>
      <c r="T1032" s="187">
        <v>1.6</v>
      </c>
      <c r="U1032" s="187">
        <v>1.1000000000000001</v>
      </c>
      <c r="V1032" s="187">
        <v>1.99</v>
      </c>
      <c r="W1032" s="185" t="s">
        <v>8</v>
      </c>
      <c r="X1032" s="185" t="s">
        <v>8</v>
      </c>
      <c r="Y1032" s="187">
        <v>3.3</v>
      </c>
      <c r="Z1032" s="190">
        <v>0.77</v>
      </c>
      <c r="AA1032" s="14" t="str">
        <f t="shared" si="51"/>
        <v>WT</v>
      </c>
      <c r="AB1032" s="14">
        <v>1.94</v>
      </c>
      <c r="AC1032" s="14">
        <v>0.58899999999999997</v>
      </c>
    </row>
    <row r="1033" spans="1:29" s="198" customFormat="1" ht="15" x14ac:dyDescent="0.25">
      <c r="A1033" s="185" t="s">
        <v>1313</v>
      </c>
      <c r="B1033" s="185" t="s">
        <v>1483</v>
      </c>
      <c r="C1033" s="185" t="s">
        <v>618</v>
      </c>
      <c r="D1033" s="186">
        <v>25</v>
      </c>
      <c r="E1033" s="187">
        <v>7.37</v>
      </c>
      <c r="F1033" s="187">
        <v>8.1300000000000008</v>
      </c>
      <c r="G1033" s="187">
        <v>7.07</v>
      </c>
      <c r="H1033" s="190">
        <v>0.38</v>
      </c>
      <c r="I1033" s="190">
        <v>0.63</v>
      </c>
      <c r="J1033" s="187">
        <v>1.03</v>
      </c>
      <c r="K1033" s="187">
        <v>5.61</v>
      </c>
      <c r="L1033" s="185" t="s">
        <v>8</v>
      </c>
      <c r="M1033" s="186">
        <v>42.3</v>
      </c>
      <c r="N1033" s="186">
        <v>12</v>
      </c>
      <c r="O1033" s="187">
        <v>6.78</v>
      </c>
      <c r="P1033" s="187">
        <v>2.4</v>
      </c>
      <c r="Q1033" s="186">
        <v>18.600000000000001</v>
      </c>
      <c r="R1033" s="187">
        <v>8.15</v>
      </c>
      <c r="S1033" s="187">
        <v>5.26</v>
      </c>
      <c r="T1033" s="187">
        <v>1.59</v>
      </c>
      <c r="U1033" s="190">
        <v>0.76</v>
      </c>
      <c r="V1033" s="187">
        <v>1.34</v>
      </c>
      <c r="W1033" s="185" t="s">
        <v>8</v>
      </c>
      <c r="X1033" s="185" t="s">
        <v>8</v>
      </c>
      <c r="Y1033" s="187">
        <v>3.28</v>
      </c>
      <c r="Z1033" s="190">
        <v>0.76900000000000002</v>
      </c>
      <c r="AA1033" s="14" t="str">
        <f t="shared" si="51"/>
        <v>WT</v>
      </c>
      <c r="AB1033" s="14">
        <v>1.89</v>
      </c>
      <c r="AC1033" s="14">
        <v>0.52100000000000002</v>
      </c>
    </row>
    <row r="1034" spans="1:29" s="198" customFormat="1" ht="15" x14ac:dyDescent="0.25">
      <c r="A1034" s="185" t="s">
        <v>1313</v>
      </c>
      <c r="B1034" s="185" t="s">
        <v>1484</v>
      </c>
      <c r="C1034" s="185" t="s">
        <v>618</v>
      </c>
      <c r="D1034" s="186">
        <v>22.5</v>
      </c>
      <c r="E1034" s="187">
        <v>6.63</v>
      </c>
      <c r="F1034" s="187">
        <v>8.07</v>
      </c>
      <c r="G1034" s="187">
        <v>7.04</v>
      </c>
      <c r="H1034" s="190">
        <v>0.34499999999999997</v>
      </c>
      <c r="I1034" s="190">
        <v>0.56499999999999995</v>
      </c>
      <c r="J1034" s="190">
        <v>0.96699999999999997</v>
      </c>
      <c r="K1034" s="187">
        <v>6.23</v>
      </c>
      <c r="L1034" s="185" t="s">
        <v>8</v>
      </c>
      <c r="M1034" s="186">
        <v>37.799999999999997</v>
      </c>
      <c r="N1034" s="186">
        <v>10.8</v>
      </c>
      <c r="O1034" s="187">
        <v>6.1</v>
      </c>
      <c r="P1034" s="187">
        <v>2.39</v>
      </c>
      <c r="Q1034" s="186">
        <v>16.399999999999999</v>
      </c>
      <c r="R1034" s="187">
        <v>7.22</v>
      </c>
      <c r="S1034" s="187">
        <v>4.67</v>
      </c>
      <c r="T1034" s="187">
        <v>1.57</v>
      </c>
      <c r="U1034" s="190">
        <v>0.55500000000000005</v>
      </c>
      <c r="V1034" s="190">
        <v>0.97399999999999998</v>
      </c>
      <c r="W1034" s="185" t="s">
        <v>8</v>
      </c>
      <c r="X1034" s="185" t="s">
        <v>8</v>
      </c>
      <c r="Y1034" s="187">
        <v>3.27</v>
      </c>
      <c r="Z1034" s="190">
        <v>0.76700000000000002</v>
      </c>
      <c r="AA1034" s="14" t="str">
        <f t="shared" si="51"/>
        <v>WT</v>
      </c>
      <c r="AB1034" s="14">
        <v>1.86</v>
      </c>
      <c r="AC1034" s="14">
        <v>0.47099999999999997</v>
      </c>
    </row>
    <row r="1035" spans="1:29" s="198" customFormat="1" ht="15" x14ac:dyDescent="0.25">
      <c r="A1035" s="185" t="s">
        <v>1313</v>
      </c>
      <c r="B1035" s="185" t="s">
        <v>1485</v>
      </c>
      <c r="C1035" s="185" t="s">
        <v>618</v>
      </c>
      <c r="D1035" s="186">
        <v>20</v>
      </c>
      <c r="E1035" s="187">
        <v>5.89</v>
      </c>
      <c r="F1035" s="187">
        <v>8.01</v>
      </c>
      <c r="G1035" s="187">
        <v>7</v>
      </c>
      <c r="H1035" s="190">
        <v>0.30499999999999999</v>
      </c>
      <c r="I1035" s="190">
        <v>0.505</v>
      </c>
      <c r="J1035" s="190">
        <v>0.90700000000000003</v>
      </c>
      <c r="K1035" s="187">
        <v>6.93</v>
      </c>
      <c r="L1035" s="185" t="s">
        <v>8</v>
      </c>
      <c r="M1035" s="186">
        <v>33.1</v>
      </c>
      <c r="N1035" s="187">
        <v>9.43</v>
      </c>
      <c r="O1035" s="187">
        <v>5.35</v>
      </c>
      <c r="P1035" s="187">
        <v>2.37</v>
      </c>
      <c r="Q1035" s="186">
        <v>14.4</v>
      </c>
      <c r="R1035" s="187">
        <v>6.36</v>
      </c>
      <c r="S1035" s="187">
        <v>4.12</v>
      </c>
      <c r="T1035" s="187">
        <v>1.56</v>
      </c>
      <c r="U1035" s="190">
        <v>0.39600000000000002</v>
      </c>
      <c r="V1035" s="190">
        <v>0.67300000000000004</v>
      </c>
      <c r="W1035" s="185" t="s">
        <v>8</v>
      </c>
      <c r="X1035" s="185" t="s">
        <v>8</v>
      </c>
      <c r="Y1035" s="187">
        <v>3.24</v>
      </c>
      <c r="Z1035" s="190">
        <v>0.76900000000000002</v>
      </c>
      <c r="AA1035" s="14" t="str">
        <f t="shared" si="51"/>
        <v>WT</v>
      </c>
      <c r="AB1035" s="14">
        <v>1.81</v>
      </c>
      <c r="AC1035" s="14">
        <v>0.42099999999999999</v>
      </c>
    </row>
    <row r="1036" spans="1:29" s="198" customFormat="1" ht="15" x14ac:dyDescent="0.25">
      <c r="A1036" s="185" t="s">
        <v>1313</v>
      </c>
      <c r="B1036" s="185" t="s">
        <v>1486</v>
      </c>
      <c r="C1036" s="185" t="s">
        <v>618</v>
      </c>
      <c r="D1036" s="186">
        <v>18</v>
      </c>
      <c r="E1036" s="187">
        <v>5.29</v>
      </c>
      <c r="F1036" s="187">
        <v>7.93</v>
      </c>
      <c r="G1036" s="187">
        <v>6.99</v>
      </c>
      <c r="H1036" s="190">
        <v>0.29499999999999998</v>
      </c>
      <c r="I1036" s="190">
        <v>0.43</v>
      </c>
      <c r="J1036" s="190">
        <v>0.83199999999999996</v>
      </c>
      <c r="K1036" s="187">
        <v>8.1199999999999992</v>
      </c>
      <c r="L1036" s="185" t="s">
        <v>8</v>
      </c>
      <c r="M1036" s="186">
        <v>30.6</v>
      </c>
      <c r="N1036" s="187">
        <v>8.93</v>
      </c>
      <c r="O1036" s="187">
        <v>5.05</v>
      </c>
      <c r="P1036" s="187">
        <v>2.41</v>
      </c>
      <c r="Q1036" s="186">
        <v>12.2</v>
      </c>
      <c r="R1036" s="187">
        <v>5.42</v>
      </c>
      <c r="S1036" s="187">
        <v>3.5</v>
      </c>
      <c r="T1036" s="187">
        <v>1.52</v>
      </c>
      <c r="U1036" s="190">
        <v>0.27200000000000002</v>
      </c>
      <c r="V1036" s="190">
        <v>0.51600000000000001</v>
      </c>
      <c r="W1036" s="185" t="s">
        <v>8</v>
      </c>
      <c r="X1036" s="185" t="s">
        <v>8</v>
      </c>
      <c r="Y1036" s="187">
        <v>3.3</v>
      </c>
      <c r="Z1036" s="190">
        <v>0.745</v>
      </c>
      <c r="AA1036" s="14" t="str">
        <f t="shared" si="51"/>
        <v>WT</v>
      </c>
      <c r="AB1036" s="14">
        <v>1.88</v>
      </c>
      <c r="AC1036" s="14">
        <v>0.378</v>
      </c>
    </row>
    <row r="1037" spans="1:29" s="198" customFormat="1" ht="15" x14ac:dyDescent="0.25">
      <c r="A1037" s="185" t="s">
        <v>1313</v>
      </c>
      <c r="B1037" s="185" t="s">
        <v>1487</v>
      </c>
      <c r="C1037" s="185" t="s">
        <v>618</v>
      </c>
      <c r="D1037" s="186">
        <v>15.5</v>
      </c>
      <c r="E1037" s="187">
        <v>4.5599999999999996</v>
      </c>
      <c r="F1037" s="187">
        <v>7.94</v>
      </c>
      <c r="G1037" s="187">
        <v>5.53</v>
      </c>
      <c r="H1037" s="190">
        <v>0.27500000000000002</v>
      </c>
      <c r="I1037" s="190">
        <v>0.44</v>
      </c>
      <c r="J1037" s="190">
        <v>0.84199999999999997</v>
      </c>
      <c r="K1037" s="187">
        <v>6.28</v>
      </c>
      <c r="L1037" s="185" t="s">
        <v>8</v>
      </c>
      <c r="M1037" s="186">
        <v>27.5</v>
      </c>
      <c r="N1037" s="187">
        <v>8.27</v>
      </c>
      <c r="O1037" s="187">
        <v>4.6399999999999997</v>
      </c>
      <c r="P1037" s="187">
        <v>2.4500000000000002</v>
      </c>
      <c r="Q1037" s="187">
        <v>6.2</v>
      </c>
      <c r="R1037" s="187">
        <v>3.51</v>
      </c>
      <c r="S1037" s="187">
        <v>2.2400000000000002</v>
      </c>
      <c r="T1037" s="187">
        <v>1.17</v>
      </c>
      <c r="U1037" s="190">
        <v>0.23</v>
      </c>
      <c r="V1037" s="190">
        <v>0.36599999999999999</v>
      </c>
      <c r="W1037" s="185" t="s">
        <v>8</v>
      </c>
      <c r="X1037" s="185" t="s">
        <v>8</v>
      </c>
      <c r="Y1037" s="187">
        <v>3.26</v>
      </c>
      <c r="Z1037" s="190">
        <v>0.69499999999999995</v>
      </c>
      <c r="AA1037" s="14" t="str">
        <f t="shared" si="51"/>
        <v>WT</v>
      </c>
      <c r="AB1037" s="14">
        <v>2.02</v>
      </c>
      <c r="AC1037" s="14">
        <v>0.41299999999999998</v>
      </c>
    </row>
    <row r="1038" spans="1:29" s="198" customFormat="1" ht="15" x14ac:dyDescent="0.25">
      <c r="A1038" s="185" t="s">
        <v>1313</v>
      </c>
      <c r="B1038" s="185" t="s">
        <v>1488</v>
      </c>
      <c r="C1038" s="185" t="s">
        <v>618</v>
      </c>
      <c r="D1038" s="186">
        <v>13</v>
      </c>
      <c r="E1038" s="187">
        <v>3.84</v>
      </c>
      <c r="F1038" s="187">
        <v>7.85</v>
      </c>
      <c r="G1038" s="187">
        <v>5.5</v>
      </c>
      <c r="H1038" s="190">
        <v>0.25</v>
      </c>
      <c r="I1038" s="190">
        <v>0.34499999999999997</v>
      </c>
      <c r="J1038" s="190">
        <v>0.747</v>
      </c>
      <c r="K1038" s="187">
        <v>7.97</v>
      </c>
      <c r="L1038" s="185" t="s">
        <v>8</v>
      </c>
      <c r="M1038" s="186">
        <v>23.5</v>
      </c>
      <c r="N1038" s="187">
        <v>7.36</v>
      </c>
      <c r="O1038" s="187">
        <v>4.09</v>
      </c>
      <c r="P1038" s="187">
        <v>2.4700000000000002</v>
      </c>
      <c r="Q1038" s="187">
        <v>4.79</v>
      </c>
      <c r="R1038" s="187">
        <v>2.73</v>
      </c>
      <c r="S1038" s="187">
        <v>1.74</v>
      </c>
      <c r="T1038" s="187">
        <v>1.1200000000000001</v>
      </c>
      <c r="U1038" s="190">
        <v>0.13</v>
      </c>
      <c r="V1038" s="190">
        <v>0.24299999999999999</v>
      </c>
      <c r="W1038" s="185" t="s">
        <v>8</v>
      </c>
      <c r="X1038" s="185" t="s">
        <v>8</v>
      </c>
      <c r="Y1038" s="187">
        <v>3.32</v>
      </c>
      <c r="Z1038" s="190">
        <v>0.66700000000000004</v>
      </c>
      <c r="AA1038" s="14" t="str">
        <f t="shared" ref="AA1038:AA1101" si="52">A1038</f>
        <v>WT</v>
      </c>
      <c r="AB1038" s="14">
        <v>2.09</v>
      </c>
      <c r="AC1038" s="14">
        <v>0.372</v>
      </c>
    </row>
    <row r="1039" spans="1:29" s="198" customFormat="1" ht="15" x14ac:dyDescent="0.25">
      <c r="A1039" s="185" t="s">
        <v>1313</v>
      </c>
      <c r="B1039" s="185" t="s">
        <v>1489</v>
      </c>
      <c r="C1039" s="185" t="s">
        <v>618</v>
      </c>
      <c r="D1039" s="186">
        <v>436.5</v>
      </c>
      <c r="E1039" s="18">
        <v>129</v>
      </c>
      <c r="F1039" s="186">
        <v>11.8</v>
      </c>
      <c r="G1039" s="186">
        <v>18.8</v>
      </c>
      <c r="H1039" s="187">
        <v>3.94</v>
      </c>
      <c r="I1039" s="187">
        <v>5.51</v>
      </c>
      <c r="J1039" s="187">
        <v>6.1</v>
      </c>
      <c r="K1039" s="20">
        <v>1.71</v>
      </c>
      <c r="L1039" s="185" t="s">
        <v>8</v>
      </c>
      <c r="M1039" s="19">
        <v>1040</v>
      </c>
      <c r="N1039" s="19">
        <v>281</v>
      </c>
      <c r="O1039" s="18">
        <v>131</v>
      </c>
      <c r="P1039" s="20">
        <v>2.84</v>
      </c>
      <c r="Q1039" s="19">
        <v>3080</v>
      </c>
      <c r="R1039" s="18">
        <v>511</v>
      </c>
      <c r="S1039" s="18">
        <v>328</v>
      </c>
      <c r="T1039" s="20">
        <v>4.8899999999999997</v>
      </c>
      <c r="U1039" s="210">
        <v>1110</v>
      </c>
      <c r="V1039" s="19">
        <v>8980</v>
      </c>
      <c r="W1039" s="185" t="s">
        <v>8</v>
      </c>
      <c r="X1039" s="185" t="s">
        <v>8</v>
      </c>
      <c r="Y1039" s="20">
        <v>5.76</v>
      </c>
      <c r="Z1039" s="209">
        <v>0.96199999999999997</v>
      </c>
      <c r="AA1039" s="14" t="str">
        <f t="shared" si="52"/>
        <v>WT</v>
      </c>
      <c r="AB1039" s="14">
        <v>3.88</v>
      </c>
      <c r="AC1039" s="14">
        <v>3.43</v>
      </c>
    </row>
    <row r="1040" spans="1:29" s="198" customFormat="1" ht="15" x14ac:dyDescent="0.25">
      <c r="A1040" s="185" t="s">
        <v>1313</v>
      </c>
      <c r="B1040" s="185" t="s">
        <v>1490</v>
      </c>
      <c r="C1040" s="185" t="s">
        <v>618</v>
      </c>
      <c r="D1040" s="191">
        <v>404</v>
      </c>
      <c r="E1040" s="18">
        <v>119</v>
      </c>
      <c r="F1040" s="186">
        <v>11.4</v>
      </c>
      <c r="G1040" s="186">
        <v>18.600000000000001</v>
      </c>
      <c r="H1040" s="187">
        <v>3.74</v>
      </c>
      <c r="I1040" s="187">
        <v>5.12</v>
      </c>
      <c r="J1040" s="187">
        <v>5.71</v>
      </c>
      <c r="K1040" s="20">
        <v>1.82</v>
      </c>
      <c r="L1040" s="185" t="s">
        <v>8</v>
      </c>
      <c r="M1040" s="19">
        <v>898</v>
      </c>
      <c r="N1040" s="19">
        <v>249</v>
      </c>
      <c r="O1040" s="18">
        <v>116</v>
      </c>
      <c r="P1040" s="20">
        <v>2.75</v>
      </c>
      <c r="Q1040" s="19">
        <v>2770</v>
      </c>
      <c r="R1040" s="18">
        <v>465</v>
      </c>
      <c r="S1040" s="18">
        <v>298</v>
      </c>
      <c r="T1040" s="20">
        <v>4.82</v>
      </c>
      <c r="U1040" s="210">
        <v>898</v>
      </c>
      <c r="V1040" s="19">
        <v>7000</v>
      </c>
      <c r="W1040" s="185" t="s">
        <v>8</v>
      </c>
      <c r="X1040" s="185" t="s">
        <v>8</v>
      </c>
      <c r="Y1040" s="20">
        <v>5.67</v>
      </c>
      <c r="Z1040" s="209">
        <v>0.96</v>
      </c>
      <c r="AA1040" s="14" t="str">
        <f t="shared" si="52"/>
        <v>WT</v>
      </c>
      <c r="AB1040" s="14">
        <v>3.69</v>
      </c>
      <c r="AC1040" s="14">
        <v>3.2</v>
      </c>
    </row>
    <row r="1041" spans="1:29" s="198" customFormat="1" ht="15" x14ac:dyDescent="0.25">
      <c r="A1041" s="185" t="s">
        <v>1313</v>
      </c>
      <c r="B1041" s="185" t="s">
        <v>1491</v>
      </c>
      <c r="C1041" s="185" t="s">
        <v>618</v>
      </c>
      <c r="D1041" s="185">
        <v>365</v>
      </c>
      <c r="E1041" s="185">
        <v>107</v>
      </c>
      <c r="F1041" s="186">
        <v>11.2</v>
      </c>
      <c r="G1041" s="186">
        <v>17.899999999999999</v>
      </c>
      <c r="H1041" s="187">
        <v>3.07</v>
      </c>
      <c r="I1041" s="187">
        <v>4.91</v>
      </c>
      <c r="J1041" s="187">
        <v>5.51</v>
      </c>
      <c r="K1041" s="187">
        <v>1.82</v>
      </c>
      <c r="L1041" s="185" t="s">
        <v>8</v>
      </c>
      <c r="M1041" s="185">
        <v>739</v>
      </c>
      <c r="N1041" s="185">
        <v>211</v>
      </c>
      <c r="O1041" s="186">
        <v>95.4</v>
      </c>
      <c r="P1041" s="187">
        <v>2.62</v>
      </c>
      <c r="Q1041" s="185">
        <v>2360</v>
      </c>
      <c r="R1041" s="185">
        <v>408</v>
      </c>
      <c r="S1041" s="185">
        <v>264</v>
      </c>
      <c r="T1041" s="187">
        <v>4.6900000000000004</v>
      </c>
      <c r="U1041" s="185">
        <v>714</v>
      </c>
      <c r="V1041" s="185">
        <v>5250</v>
      </c>
      <c r="W1041" s="185" t="s">
        <v>8</v>
      </c>
      <c r="X1041" s="185" t="s">
        <v>8</v>
      </c>
      <c r="Y1041" s="187">
        <v>5.47</v>
      </c>
      <c r="Z1041" s="190">
        <v>0.96599999999999997</v>
      </c>
      <c r="AA1041" s="14" t="str">
        <f t="shared" si="52"/>
        <v>WT</v>
      </c>
      <c r="AB1041" s="14">
        <v>3.47</v>
      </c>
      <c r="AC1041" s="14">
        <v>3</v>
      </c>
    </row>
    <row r="1042" spans="1:29" s="198" customFormat="1" ht="15" x14ac:dyDescent="0.25">
      <c r="A1042" s="185" t="s">
        <v>1313</v>
      </c>
      <c r="B1042" s="185" t="s">
        <v>1492</v>
      </c>
      <c r="C1042" s="185" t="s">
        <v>618</v>
      </c>
      <c r="D1042" s="185">
        <v>332.5</v>
      </c>
      <c r="E1042" s="186">
        <v>97.8</v>
      </c>
      <c r="F1042" s="186">
        <v>10.8</v>
      </c>
      <c r="G1042" s="186">
        <v>17.7</v>
      </c>
      <c r="H1042" s="187">
        <v>2.83</v>
      </c>
      <c r="I1042" s="187">
        <v>4.5199999999999996</v>
      </c>
      <c r="J1042" s="187">
        <v>5.12</v>
      </c>
      <c r="K1042" s="187">
        <v>1.95</v>
      </c>
      <c r="L1042" s="185" t="s">
        <v>8</v>
      </c>
      <c r="M1042" s="185">
        <v>622</v>
      </c>
      <c r="N1042" s="185">
        <v>182</v>
      </c>
      <c r="O1042" s="186">
        <v>82.1</v>
      </c>
      <c r="P1042" s="187">
        <v>2.52</v>
      </c>
      <c r="Q1042" s="185">
        <v>2080</v>
      </c>
      <c r="R1042" s="185">
        <v>365</v>
      </c>
      <c r="S1042" s="185">
        <v>236</v>
      </c>
      <c r="T1042" s="187">
        <v>4.62</v>
      </c>
      <c r="U1042" s="185">
        <v>555</v>
      </c>
      <c r="V1042" s="185">
        <v>3920</v>
      </c>
      <c r="W1042" s="185" t="s">
        <v>8</v>
      </c>
      <c r="X1042" s="185" t="s">
        <v>8</v>
      </c>
      <c r="Y1042" s="187">
        <v>5.35</v>
      </c>
      <c r="Z1042" s="190">
        <v>0.96599999999999997</v>
      </c>
      <c r="AA1042" s="14" t="str">
        <f t="shared" si="52"/>
        <v>WT</v>
      </c>
      <c r="AB1042" s="14">
        <v>3.25</v>
      </c>
      <c r="AC1042" s="14">
        <v>2.77</v>
      </c>
    </row>
    <row r="1043" spans="1:29" s="198" customFormat="1" ht="15" x14ac:dyDescent="0.25">
      <c r="A1043" s="185" t="s">
        <v>1313</v>
      </c>
      <c r="B1043" s="185" t="s">
        <v>1493</v>
      </c>
      <c r="C1043" s="185" t="s">
        <v>618</v>
      </c>
      <c r="D1043" s="185">
        <v>302.5</v>
      </c>
      <c r="E1043" s="186">
        <v>89</v>
      </c>
      <c r="F1043" s="186">
        <v>10.5</v>
      </c>
      <c r="G1043" s="186">
        <v>17.399999999999999</v>
      </c>
      <c r="H1043" s="187">
        <v>2.6</v>
      </c>
      <c r="I1043" s="187">
        <v>4.16</v>
      </c>
      <c r="J1043" s="187">
        <v>4.76</v>
      </c>
      <c r="K1043" s="187">
        <v>2.09</v>
      </c>
      <c r="L1043" s="185" t="s">
        <v>8</v>
      </c>
      <c r="M1043" s="185">
        <v>524</v>
      </c>
      <c r="N1043" s="185">
        <v>157</v>
      </c>
      <c r="O1043" s="186">
        <v>70.599999999999994</v>
      </c>
      <c r="P1043" s="187">
        <v>2.4300000000000002</v>
      </c>
      <c r="Q1043" s="185">
        <v>1840</v>
      </c>
      <c r="R1043" s="185">
        <v>326</v>
      </c>
      <c r="S1043" s="185">
        <v>211</v>
      </c>
      <c r="T1043" s="187">
        <v>4.55</v>
      </c>
      <c r="U1043" s="185">
        <v>430</v>
      </c>
      <c r="V1043" s="185">
        <v>2930</v>
      </c>
      <c r="W1043" s="185" t="s">
        <v>8</v>
      </c>
      <c r="X1043" s="185" t="s">
        <v>8</v>
      </c>
      <c r="Y1043" s="187">
        <v>5.24</v>
      </c>
      <c r="Z1043" s="190">
        <v>0.96599999999999997</v>
      </c>
      <c r="AA1043" s="14" t="str">
        <f t="shared" si="52"/>
        <v>WT</v>
      </c>
      <c r="AB1043" s="14">
        <v>3.05</v>
      </c>
      <c r="AC1043" s="14">
        <v>2.5499999999999998</v>
      </c>
    </row>
    <row r="1044" spans="1:29" s="198" customFormat="1" ht="15" x14ac:dyDescent="0.25">
      <c r="A1044" s="185" t="s">
        <v>1313</v>
      </c>
      <c r="B1044" s="185" t="s">
        <v>1494</v>
      </c>
      <c r="C1044" s="185" t="s">
        <v>618</v>
      </c>
      <c r="D1044" s="185">
        <v>275</v>
      </c>
      <c r="E1044" s="186">
        <v>80.900000000000006</v>
      </c>
      <c r="F1044" s="186">
        <v>10.1</v>
      </c>
      <c r="G1044" s="186">
        <v>17.2</v>
      </c>
      <c r="H1044" s="187">
        <v>2.38</v>
      </c>
      <c r="I1044" s="187">
        <v>3.82</v>
      </c>
      <c r="J1044" s="187">
        <v>4.42</v>
      </c>
      <c r="K1044" s="187">
        <v>2.25</v>
      </c>
      <c r="L1044" s="185" t="s">
        <v>8</v>
      </c>
      <c r="M1044" s="185">
        <v>442</v>
      </c>
      <c r="N1044" s="185">
        <v>136</v>
      </c>
      <c r="O1044" s="186">
        <v>60.9</v>
      </c>
      <c r="P1044" s="187">
        <v>2.34</v>
      </c>
      <c r="Q1044" s="185">
        <v>1630</v>
      </c>
      <c r="R1044" s="185">
        <v>292</v>
      </c>
      <c r="S1044" s="185">
        <v>189</v>
      </c>
      <c r="T1044" s="187">
        <v>4.49</v>
      </c>
      <c r="U1044" s="185">
        <v>331</v>
      </c>
      <c r="V1044" s="185">
        <v>2180</v>
      </c>
      <c r="W1044" s="185" t="s">
        <v>8</v>
      </c>
      <c r="X1044" s="185" t="s">
        <v>8</v>
      </c>
      <c r="Y1044" s="187">
        <v>5.15</v>
      </c>
      <c r="Z1044" s="190">
        <v>0.96599999999999997</v>
      </c>
      <c r="AA1044" s="14" t="str">
        <f t="shared" si="52"/>
        <v>WT</v>
      </c>
      <c r="AB1044" s="14">
        <v>2.85</v>
      </c>
      <c r="AC1044" s="14">
        <v>2.35</v>
      </c>
    </row>
    <row r="1045" spans="1:29" s="198" customFormat="1" ht="15" x14ac:dyDescent="0.25">
      <c r="A1045" s="185" t="s">
        <v>1313</v>
      </c>
      <c r="B1045" s="185" t="s">
        <v>1495</v>
      </c>
      <c r="C1045" s="185" t="s">
        <v>618</v>
      </c>
      <c r="D1045" s="185">
        <v>250</v>
      </c>
      <c r="E1045" s="186">
        <v>73.5</v>
      </c>
      <c r="F1045" s="187">
        <v>9.8000000000000007</v>
      </c>
      <c r="G1045" s="186">
        <v>17</v>
      </c>
      <c r="H1045" s="187">
        <v>2.19</v>
      </c>
      <c r="I1045" s="187">
        <v>3.5</v>
      </c>
      <c r="J1045" s="187">
        <v>4.0999999999999996</v>
      </c>
      <c r="K1045" s="187">
        <v>2.4300000000000002</v>
      </c>
      <c r="L1045" s="185" t="s">
        <v>8</v>
      </c>
      <c r="M1045" s="185">
        <v>375</v>
      </c>
      <c r="N1045" s="185">
        <v>117</v>
      </c>
      <c r="O1045" s="186">
        <v>52.7</v>
      </c>
      <c r="P1045" s="187">
        <v>2.2599999999999998</v>
      </c>
      <c r="Q1045" s="185">
        <v>1440</v>
      </c>
      <c r="R1045" s="185">
        <v>261</v>
      </c>
      <c r="S1045" s="185">
        <v>169</v>
      </c>
      <c r="T1045" s="187">
        <v>4.43</v>
      </c>
      <c r="U1045" s="185">
        <v>254</v>
      </c>
      <c r="V1045" s="185">
        <v>1620</v>
      </c>
      <c r="W1045" s="185" t="s">
        <v>8</v>
      </c>
      <c r="X1045" s="185" t="s">
        <v>8</v>
      </c>
      <c r="Y1045" s="187">
        <v>5.0599999999999996</v>
      </c>
      <c r="Z1045" s="190">
        <v>0.96699999999999997</v>
      </c>
      <c r="AA1045" s="14" t="str">
        <f t="shared" si="52"/>
        <v>WT</v>
      </c>
      <c r="AB1045" s="14">
        <v>2.67</v>
      </c>
      <c r="AC1045" s="14">
        <v>2.16</v>
      </c>
    </row>
    <row r="1046" spans="1:29" s="198" customFormat="1" ht="15" x14ac:dyDescent="0.25">
      <c r="A1046" s="185" t="s">
        <v>1313</v>
      </c>
      <c r="B1046" s="185" t="s">
        <v>1496</v>
      </c>
      <c r="C1046" s="185" t="s">
        <v>618</v>
      </c>
      <c r="D1046" s="185">
        <v>227.5</v>
      </c>
      <c r="E1046" s="186">
        <v>66.900000000000006</v>
      </c>
      <c r="F1046" s="187">
        <v>9.51</v>
      </c>
      <c r="G1046" s="186">
        <v>16.8</v>
      </c>
      <c r="H1046" s="187">
        <v>2.02</v>
      </c>
      <c r="I1046" s="187">
        <v>3.21</v>
      </c>
      <c r="J1046" s="187">
        <v>3.81</v>
      </c>
      <c r="K1046" s="187">
        <v>2.62</v>
      </c>
      <c r="L1046" s="185" t="s">
        <v>8</v>
      </c>
      <c r="M1046" s="185">
        <v>321</v>
      </c>
      <c r="N1046" s="185">
        <v>102</v>
      </c>
      <c r="O1046" s="186">
        <v>45.9</v>
      </c>
      <c r="P1046" s="187">
        <v>2.19</v>
      </c>
      <c r="Q1046" s="185">
        <v>1280</v>
      </c>
      <c r="R1046" s="185">
        <v>234</v>
      </c>
      <c r="S1046" s="185">
        <v>152</v>
      </c>
      <c r="T1046" s="187">
        <v>4.38</v>
      </c>
      <c r="U1046" s="185">
        <v>196</v>
      </c>
      <c r="V1046" s="185">
        <v>1210</v>
      </c>
      <c r="W1046" s="185" t="s">
        <v>8</v>
      </c>
      <c r="X1046" s="185" t="s">
        <v>8</v>
      </c>
      <c r="Y1046" s="187">
        <v>4.9800000000000004</v>
      </c>
      <c r="Z1046" s="190">
        <v>0.96699999999999997</v>
      </c>
      <c r="AA1046" s="14" t="str">
        <f t="shared" si="52"/>
        <v>WT</v>
      </c>
      <c r="AB1046" s="14">
        <v>2.5099999999999998</v>
      </c>
      <c r="AC1046" s="14">
        <v>1.99</v>
      </c>
    </row>
    <row r="1047" spans="1:29" s="198" customFormat="1" ht="15" x14ac:dyDescent="0.25">
      <c r="A1047" s="185" t="s">
        <v>1313</v>
      </c>
      <c r="B1047" s="185" t="s">
        <v>1497</v>
      </c>
      <c r="C1047" s="185" t="s">
        <v>618</v>
      </c>
      <c r="D1047" s="185">
        <v>213</v>
      </c>
      <c r="E1047" s="186">
        <v>62.7</v>
      </c>
      <c r="F1047" s="187">
        <v>9.34</v>
      </c>
      <c r="G1047" s="186">
        <v>16.7</v>
      </c>
      <c r="H1047" s="187">
        <v>1.88</v>
      </c>
      <c r="I1047" s="187">
        <v>3.04</v>
      </c>
      <c r="J1047" s="187">
        <v>3.63</v>
      </c>
      <c r="K1047" s="187">
        <v>2.75</v>
      </c>
      <c r="L1047" s="185" t="s">
        <v>8</v>
      </c>
      <c r="M1047" s="185">
        <v>287</v>
      </c>
      <c r="N1047" s="186">
        <v>91.7</v>
      </c>
      <c r="O1047" s="186">
        <v>41.4</v>
      </c>
      <c r="P1047" s="187">
        <v>2.14</v>
      </c>
      <c r="Q1047" s="185">
        <v>1180</v>
      </c>
      <c r="R1047" s="185">
        <v>217</v>
      </c>
      <c r="S1047" s="185">
        <v>141</v>
      </c>
      <c r="T1047" s="187">
        <v>4.34</v>
      </c>
      <c r="U1047" s="185">
        <v>164</v>
      </c>
      <c r="V1047" s="185">
        <v>991</v>
      </c>
      <c r="W1047" s="185" t="s">
        <v>8</v>
      </c>
      <c r="X1047" s="185" t="s">
        <v>8</v>
      </c>
      <c r="Y1047" s="187">
        <v>4.92</v>
      </c>
      <c r="Z1047" s="190">
        <v>0.96799999999999997</v>
      </c>
      <c r="AA1047" s="14" t="str">
        <f t="shared" si="52"/>
        <v>WT</v>
      </c>
      <c r="AB1047" s="14">
        <v>2.4</v>
      </c>
      <c r="AC1047" s="14">
        <v>1.88</v>
      </c>
    </row>
    <row r="1048" spans="1:29" s="198" customFormat="1" ht="15" x14ac:dyDescent="0.25">
      <c r="A1048" s="185" t="s">
        <v>1313</v>
      </c>
      <c r="B1048" s="185" t="s">
        <v>1498</v>
      </c>
      <c r="C1048" s="185" t="s">
        <v>618</v>
      </c>
      <c r="D1048" s="185">
        <v>199</v>
      </c>
      <c r="E1048" s="186">
        <v>58.4</v>
      </c>
      <c r="F1048" s="187">
        <v>9.15</v>
      </c>
      <c r="G1048" s="186">
        <v>16.600000000000001</v>
      </c>
      <c r="H1048" s="187">
        <v>1.77</v>
      </c>
      <c r="I1048" s="187">
        <v>2.85</v>
      </c>
      <c r="J1048" s="187">
        <v>3.44</v>
      </c>
      <c r="K1048" s="187">
        <v>2.92</v>
      </c>
      <c r="L1048" s="185" t="s">
        <v>8</v>
      </c>
      <c r="M1048" s="185">
        <v>257</v>
      </c>
      <c r="N1048" s="186">
        <v>82.9</v>
      </c>
      <c r="O1048" s="186">
        <v>37.6</v>
      </c>
      <c r="P1048" s="187">
        <v>2.1</v>
      </c>
      <c r="Q1048" s="185">
        <v>1090</v>
      </c>
      <c r="R1048" s="185">
        <v>201</v>
      </c>
      <c r="S1048" s="185">
        <v>131</v>
      </c>
      <c r="T1048" s="187">
        <v>4.3099999999999996</v>
      </c>
      <c r="U1048" s="185">
        <v>135</v>
      </c>
      <c r="V1048" s="185">
        <v>801</v>
      </c>
      <c r="W1048" s="185" t="s">
        <v>8</v>
      </c>
      <c r="X1048" s="185" t="s">
        <v>8</v>
      </c>
      <c r="Y1048" s="187">
        <v>4.87</v>
      </c>
      <c r="Z1048" s="190">
        <v>0.96799999999999997</v>
      </c>
      <c r="AA1048" s="14" t="str">
        <f t="shared" si="52"/>
        <v>WT</v>
      </c>
      <c r="AB1048" s="14">
        <v>2.2999999999999998</v>
      </c>
      <c r="AC1048" s="14">
        <v>1.76</v>
      </c>
    </row>
    <row r="1049" spans="1:29" s="198" customFormat="1" ht="15" x14ac:dyDescent="0.25">
      <c r="A1049" s="185" t="s">
        <v>1313</v>
      </c>
      <c r="B1049" s="185" t="s">
        <v>1499</v>
      </c>
      <c r="C1049" s="185" t="s">
        <v>618</v>
      </c>
      <c r="D1049" s="185">
        <v>185</v>
      </c>
      <c r="E1049" s="186">
        <v>54.4</v>
      </c>
      <c r="F1049" s="187">
        <v>8.9600000000000009</v>
      </c>
      <c r="G1049" s="186">
        <v>16.5</v>
      </c>
      <c r="H1049" s="187">
        <v>1.66</v>
      </c>
      <c r="I1049" s="187">
        <v>2.66</v>
      </c>
      <c r="J1049" s="187">
        <v>3.26</v>
      </c>
      <c r="K1049" s="187">
        <v>3.1</v>
      </c>
      <c r="L1049" s="185" t="s">
        <v>8</v>
      </c>
      <c r="M1049" s="185">
        <v>229</v>
      </c>
      <c r="N1049" s="186">
        <v>74.400000000000006</v>
      </c>
      <c r="O1049" s="186">
        <v>33.9</v>
      </c>
      <c r="P1049" s="187">
        <v>2.0499999999999998</v>
      </c>
      <c r="Q1049" s="185">
        <v>994</v>
      </c>
      <c r="R1049" s="185">
        <v>185</v>
      </c>
      <c r="S1049" s="185">
        <v>121</v>
      </c>
      <c r="T1049" s="187">
        <v>4.2699999999999996</v>
      </c>
      <c r="U1049" s="185">
        <v>110</v>
      </c>
      <c r="V1049" s="185">
        <v>640</v>
      </c>
      <c r="W1049" s="185" t="s">
        <v>8</v>
      </c>
      <c r="X1049" s="185" t="s">
        <v>8</v>
      </c>
      <c r="Y1049" s="187">
        <v>4.82</v>
      </c>
      <c r="Z1049" s="190">
        <v>0.96799999999999997</v>
      </c>
      <c r="AA1049" s="14" t="str">
        <f t="shared" si="52"/>
        <v>WT</v>
      </c>
      <c r="AB1049" s="14">
        <v>2.19</v>
      </c>
      <c r="AC1049" s="14">
        <v>1.65</v>
      </c>
    </row>
    <row r="1050" spans="1:29" s="198" customFormat="1" ht="15" x14ac:dyDescent="0.25">
      <c r="A1050" s="185" t="s">
        <v>1313</v>
      </c>
      <c r="B1050" s="185" t="s">
        <v>1500</v>
      </c>
      <c r="C1050" s="185" t="s">
        <v>618</v>
      </c>
      <c r="D1050" s="185">
        <v>171</v>
      </c>
      <c r="E1050" s="186">
        <v>50.3</v>
      </c>
      <c r="F1050" s="187">
        <v>8.77</v>
      </c>
      <c r="G1050" s="186">
        <v>16.399999999999999</v>
      </c>
      <c r="H1050" s="187">
        <v>1.54</v>
      </c>
      <c r="I1050" s="187">
        <v>2.4700000000000002</v>
      </c>
      <c r="J1050" s="187">
        <v>3.07</v>
      </c>
      <c r="K1050" s="187">
        <v>3.31</v>
      </c>
      <c r="L1050" s="185" t="s">
        <v>8</v>
      </c>
      <c r="M1050" s="185">
        <v>203</v>
      </c>
      <c r="N1050" s="186">
        <v>66.2</v>
      </c>
      <c r="O1050" s="186">
        <v>30.4</v>
      </c>
      <c r="P1050" s="187">
        <v>2.0099999999999998</v>
      </c>
      <c r="Q1050" s="185">
        <v>903</v>
      </c>
      <c r="R1050" s="185">
        <v>169</v>
      </c>
      <c r="S1050" s="185">
        <v>110</v>
      </c>
      <c r="T1050" s="187">
        <v>4.24</v>
      </c>
      <c r="U1050" s="186">
        <v>88.3</v>
      </c>
      <c r="V1050" s="185">
        <v>502</v>
      </c>
      <c r="W1050" s="185" t="s">
        <v>8</v>
      </c>
      <c r="X1050" s="185" t="s">
        <v>8</v>
      </c>
      <c r="Y1050" s="187">
        <v>4.7699999999999996</v>
      </c>
      <c r="Z1050" s="190">
        <v>0.96799999999999997</v>
      </c>
      <c r="AA1050" s="14" t="str">
        <f t="shared" si="52"/>
        <v>WT</v>
      </c>
      <c r="AB1050" s="14">
        <v>2.09</v>
      </c>
      <c r="AC1050" s="14">
        <v>1.54</v>
      </c>
    </row>
    <row r="1051" spans="1:29" s="198" customFormat="1" ht="15" x14ac:dyDescent="0.25">
      <c r="A1051" s="185" t="s">
        <v>1313</v>
      </c>
      <c r="B1051" s="185" t="s">
        <v>1501</v>
      </c>
      <c r="C1051" s="185" t="s">
        <v>618</v>
      </c>
      <c r="D1051" s="185">
        <v>155.5</v>
      </c>
      <c r="E1051" s="186">
        <v>45.7</v>
      </c>
      <c r="F1051" s="187">
        <v>8.56</v>
      </c>
      <c r="G1051" s="186">
        <v>16.2</v>
      </c>
      <c r="H1051" s="187">
        <v>1.41</v>
      </c>
      <c r="I1051" s="187">
        <v>2.2599999999999998</v>
      </c>
      <c r="J1051" s="187">
        <v>2.86</v>
      </c>
      <c r="K1051" s="187">
        <v>3.59</v>
      </c>
      <c r="L1051" s="185" t="s">
        <v>8</v>
      </c>
      <c r="M1051" s="185">
        <v>176</v>
      </c>
      <c r="N1051" s="186">
        <v>57.7</v>
      </c>
      <c r="O1051" s="186">
        <v>26.7</v>
      </c>
      <c r="P1051" s="187">
        <v>1.96</v>
      </c>
      <c r="Q1051" s="185">
        <v>807</v>
      </c>
      <c r="R1051" s="185">
        <v>152</v>
      </c>
      <c r="S1051" s="186">
        <v>99.4</v>
      </c>
      <c r="T1051" s="187">
        <v>4.2</v>
      </c>
      <c r="U1051" s="186">
        <v>67.5</v>
      </c>
      <c r="V1051" s="185">
        <v>375</v>
      </c>
      <c r="W1051" s="185" t="s">
        <v>8</v>
      </c>
      <c r="X1051" s="185" t="s">
        <v>8</v>
      </c>
      <c r="Y1051" s="187">
        <v>4.71</v>
      </c>
      <c r="Z1051" s="190">
        <v>0.96899999999999997</v>
      </c>
      <c r="AA1051" s="14" t="str">
        <f t="shared" si="52"/>
        <v>WT</v>
      </c>
      <c r="AB1051" s="14">
        <v>1.97</v>
      </c>
      <c r="AC1051" s="14">
        <v>1.41</v>
      </c>
    </row>
    <row r="1052" spans="1:29" s="198" customFormat="1" ht="15" x14ac:dyDescent="0.25">
      <c r="A1052" s="185" t="s">
        <v>1313</v>
      </c>
      <c r="B1052" s="185" t="s">
        <v>1502</v>
      </c>
      <c r="C1052" s="185" t="s">
        <v>618</v>
      </c>
      <c r="D1052" s="185">
        <v>141.5</v>
      </c>
      <c r="E1052" s="186">
        <v>41.6</v>
      </c>
      <c r="F1052" s="187">
        <v>8.3699999999999992</v>
      </c>
      <c r="G1052" s="186">
        <v>16.100000000000001</v>
      </c>
      <c r="H1052" s="187">
        <v>1.29</v>
      </c>
      <c r="I1052" s="187">
        <v>2.0699999999999998</v>
      </c>
      <c r="J1052" s="187">
        <v>2.67</v>
      </c>
      <c r="K1052" s="187">
        <v>3.89</v>
      </c>
      <c r="L1052" s="185" t="s">
        <v>8</v>
      </c>
      <c r="M1052" s="185">
        <v>153</v>
      </c>
      <c r="N1052" s="186">
        <v>50.4</v>
      </c>
      <c r="O1052" s="186">
        <v>23.5</v>
      </c>
      <c r="P1052" s="187">
        <v>1.92</v>
      </c>
      <c r="Q1052" s="185">
        <v>722</v>
      </c>
      <c r="R1052" s="185">
        <v>137</v>
      </c>
      <c r="S1052" s="186">
        <v>89.7</v>
      </c>
      <c r="T1052" s="187">
        <v>4.17</v>
      </c>
      <c r="U1052" s="186">
        <v>51.8</v>
      </c>
      <c r="V1052" s="185">
        <v>281</v>
      </c>
      <c r="W1052" s="185" t="s">
        <v>8</v>
      </c>
      <c r="X1052" s="185" t="s">
        <v>8</v>
      </c>
      <c r="Y1052" s="187">
        <v>4.66</v>
      </c>
      <c r="Z1052" s="190">
        <v>0.96899999999999997</v>
      </c>
      <c r="AA1052" s="14" t="str">
        <f t="shared" si="52"/>
        <v>WT</v>
      </c>
      <c r="AB1052" s="14">
        <v>1.86</v>
      </c>
      <c r="AC1052" s="14">
        <v>1.29</v>
      </c>
    </row>
    <row r="1053" spans="1:29" s="198" customFormat="1" ht="15" x14ac:dyDescent="0.25">
      <c r="A1053" s="185" t="s">
        <v>1313</v>
      </c>
      <c r="B1053" s="185" t="s">
        <v>1503</v>
      </c>
      <c r="C1053" s="185" t="s">
        <v>618</v>
      </c>
      <c r="D1053" s="185">
        <v>128.5</v>
      </c>
      <c r="E1053" s="186">
        <v>37.799999999999997</v>
      </c>
      <c r="F1053" s="187">
        <v>8.19</v>
      </c>
      <c r="G1053" s="186">
        <v>16</v>
      </c>
      <c r="H1053" s="187">
        <v>1.18</v>
      </c>
      <c r="I1053" s="187">
        <v>1.89</v>
      </c>
      <c r="J1053" s="187">
        <v>2.4900000000000002</v>
      </c>
      <c r="K1053" s="187">
        <v>4.2300000000000004</v>
      </c>
      <c r="L1053" s="185" t="s">
        <v>8</v>
      </c>
      <c r="M1053" s="185">
        <v>133</v>
      </c>
      <c r="N1053" s="186">
        <v>43.9</v>
      </c>
      <c r="O1053" s="186">
        <v>20.7</v>
      </c>
      <c r="P1053" s="187">
        <v>1.88</v>
      </c>
      <c r="Q1053" s="185">
        <v>645</v>
      </c>
      <c r="R1053" s="185">
        <v>123</v>
      </c>
      <c r="S1053" s="186">
        <v>80.7</v>
      </c>
      <c r="T1053" s="187">
        <v>4.13</v>
      </c>
      <c r="U1053" s="186">
        <v>39.299999999999997</v>
      </c>
      <c r="V1053" s="185">
        <v>209</v>
      </c>
      <c r="W1053" s="185" t="s">
        <v>8</v>
      </c>
      <c r="X1053" s="185" t="s">
        <v>8</v>
      </c>
      <c r="Y1053" s="187">
        <v>4.6100000000000003</v>
      </c>
      <c r="Z1053" s="190">
        <v>0.96899999999999997</v>
      </c>
      <c r="AA1053" s="14" t="str">
        <f t="shared" si="52"/>
        <v>WT</v>
      </c>
      <c r="AB1053" s="14">
        <v>1.75</v>
      </c>
      <c r="AC1053" s="14">
        <v>1.18</v>
      </c>
    </row>
    <row r="1054" spans="1:29" s="198" customFormat="1" ht="15" x14ac:dyDescent="0.25">
      <c r="A1054" s="185" t="s">
        <v>1313</v>
      </c>
      <c r="B1054" s="185" t="s">
        <v>1504</v>
      </c>
      <c r="C1054" s="185" t="s">
        <v>618</v>
      </c>
      <c r="D1054" s="185">
        <v>116.5</v>
      </c>
      <c r="E1054" s="186">
        <v>34.200000000000003</v>
      </c>
      <c r="F1054" s="187">
        <v>8.02</v>
      </c>
      <c r="G1054" s="186">
        <v>15.9</v>
      </c>
      <c r="H1054" s="187">
        <v>1.07</v>
      </c>
      <c r="I1054" s="187">
        <v>1.72</v>
      </c>
      <c r="J1054" s="187">
        <v>2.3199999999999998</v>
      </c>
      <c r="K1054" s="187">
        <v>4.62</v>
      </c>
      <c r="L1054" s="185" t="s">
        <v>8</v>
      </c>
      <c r="M1054" s="185">
        <v>116</v>
      </c>
      <c r="N1054" s="186">
        <v>38.200000000000003</v>
      </c>
      <c r="O1054" s="186">
        <v>18.2</v>
      </c>
      <c r="P1054" s="187">
        <v>1.84</v>
      </c>
      <c r="Q1054" s="185">
        <v>576</v>
      </c>
      <c r="R1054" s="185">
        <v>110</v>
      </c>
      <c r="S1054" s="186">
        <v>72.5</v>
      </c>
      <c r="T1054" s="187">
        <v>4.0999999999999996</v>
      </c>
      <c r="U1054" s="186">
        <v>29.6</v>
      </c>
      <c r="V1054" s="185">
        <v>154</v>
      </c>
      <c r="W1054" s="185" t="s">
        <v>8</v>
      </c>
      <c r="X1054" s="185" t="s">
        <v>8</v>
      </c>
      <c r="Y1054" s="187">
        <v>4.57</v>
      </c>
      <c r="Z1054" s="190">
        <v>0.97</v>
      </c>
      <c r="AA1054" s="14" t="str">
        <f t="shared" si="52"/>
        <v>WT</v>
      </c>
      <c r="AB1054" s="14">
        <v>1.65</v>
      </c>
      <c r="AC1054" s="14">
        <v>1.08</v>
      </c>
    </row>
    <row r="1055" spans="1:29" s="198" customFormat="1" ht="15" x14ac:dyDescent="0.25">
      <c r="A1055" s="185" t="s">
        <v>1313</v>
      </c>
      <c r="B1055" s="185" t="s">
        <v>1505</v>
      </c>
      <c r="C1055" s="185" t="s">
        <v>618</v>
      </c>
      <c r="D1055" s="185">
        <v>105.5</v>
      </c>
      <c r="E1055" s="186">
        <v>31</v>
      </c>
      <c r="F1055" s="187">
        <v>7.86</v>
      </c>
      <c r="G1055" s="186">
        <v>15.8</v>
      </c>
      <c r="H1055" s="190">
        <v>0.98</v>
      </c>
      <c r="I1055" s="187">
        <v>1.56</v>
      </c>
      <c r="J1055" s="187">
        <v>2.16</v>
      </c>
      <c r="K1055" s="187">
        <v>5.0599999999999996</v>
      </c>
      <c r="L1055" s="185" t="s">
        <v>8</v>
      </c>
      <c r="M1055" s="185">
        <v>102</v>
      </c>
      <c r="N1055" s="186">
        <v>33.4</v>
      </c>
      <c r="O1055" s="186">
        <v>16.2</v>
      </c>
      <c r="P1055" s="187">
        <v>1.81</v>
      </c>
      <c r="Q1055" s="185">
        <v>513</v>
      </c>
      <c r="R1055" s="186">
        <v>98.9</v>
      </c>
      <c r="S1055" s="186">
        <v>65</v>
      </c>
      <c r="T1055" s="187">
        <v>4.07</v>
      </c>
      <c r="U1055" s="186">
        <v>22.2</v>
      </c>
      <c r="V1055" s="185">
        <v>113</v>
      </c>
      <c r="W1055" s="185" t="s">
        <v>8</v>
      </c>
      <c r="X1055" s="185" t="s">
        <v>8</v>
      </c>
      <c r="Y1055" s="187">
        <v>4.5199999999999996</v>
      </c>
      <c r="Z1055" s="190">
        <v>0.97</v>
      </c>
      <c r="AA1055" s="14" t="str">
        <f t="shared" si="52"/>
        <v>WT</v>
      </c>
      <c r="AB1055" s="14">
        <v>1.57</v>
      </c>
      <c r="AC1055" s="14">
        <v>0.98</v>
      </c>
    </row>
    <row r="1056" spans="1:29" s="198" customFormat="1" ht="15" x14ac:dyDescent="0.25">
      <c r="A1056" s="185" t="s">
        <v>1313</v>
      </c>
      <c r="B1056" s="185" t="s">
        <v>1506</v>
      </c>
      <c r="C1056" s="185" t="s">
        <v>618</v>
      </c>
      <c r="D1056" s="186">
        <v>96.5</v>
      </c>
      <c r="E1056" s="186">
        <v>28.4</v>
      </c>
      <c r="F1056" s="187">
        <v>7.74</v>
      </c>
      <c r="G1056" s="186">
        <v>15.7</v>
      </c>
      <c r="H1056" s="190">
        <v>0.89</v>
      </c>
      <c r="I1056" s="187">
        <v>1.44</v>
      </c>
      <c r="J1056" s="187">
        <v>2.04</v>
      </c>
      <c r="K1056" s="187">
        <v>5.45</v>
      </c>
      <c r="L1056" s="185" t="s">
        <v>8</v>
      </c>
      <c r="M1056" s="186">
        <v>89.8</v>
      </c>
      <c r="N1056" s="186">
        <v>29.4</v>
      </c>
      <c r="O1056" s="186">
        <v>14.4</v>
      </c>
      <c r="P1056" s="187">
        <v>1.78</v>
      </c>
      <c r="Q1056" s="185">
        <v>466</v>
      </c>
      <c r="R1056" s="186">
        <v>90.1</v>
      </c>
      <c r="S1056" s="186">
        <v>59.3</v>
      </c>
      <c r="T1056" s="187">
        <v>4.05</v>
      </c>
      <c r="U1056" s="186">
        <v>17.3</v>
      </c>
      <c r="V1056" s="186">
        <v>87.2</v>
      </c>
      <c r="W1056" s="185" t="s">
        <v>8</v>
      </c>
      <c r="X1056" s="185" t="s">
        <v>8</v>
      </c>
      <c r="Y1056" s="187">
        <v>4.49</v>
      </c>
      <c r="Z1056" s="190">
        <v>0.97099999999999997</v>
      </c>
      <c r="AA1056" s="14" t="str">
        <f t="shared" si="52"/>
        <v>WT</v>
      </c>
      <c r="AB1056" s="14">
        <v>1.49</v>
      </c>
      <c r="AC1056" s="14">
        <v>0.90300000000000002</v>
      </c>
    </row>
    <row r="1057" spans="1:29" s="198" customFormat="1" ht="15" x14ac:dyDescent="0.25">
      <c r="A1057" s="185" t="s">
        <v>1313</v>
      </c>
      <c r="B1057" s="185" t="s">
        <v>1507</v>
      </c>
      <c r="C1057" s="185" t="s">
        <v>618</v>
      </c>
      <c r="D1057" s="186">
        <v>88</v>
      </c>
      <c r="E1057" s="186">
        <v>25.9</v>
      </c>
      <c r="F1057" s="187">
        <v>7.61</v>
      </c>
      <c r="G1057" s="186">
        <v>15.7</v>
      </c>
      <c r="H1057" s="190">
        <v>0.83</v>
      </c>
      <c r="I1057" s="187">
        <v>1.31</v>
      </c>
      <c r="J1057" s="187">
        <v>1.91</v>
      </c>
      <c r="K1057" s="187">
        <v>5.97</v>
      </c>
      <c r="L1057" s="185" t="s">
        <v>8</v>
      </c>
      <c r="M1057" s="186">
        <v>80.5</v>
      </c>
      <c r="N1057" s="186">
        <v>26.3</v>
      </c>
      <c r="O1057" s="186">
        <v>13</v>
      </c>
      <c r="P1057" s="187">
        <v>1.76</v>
      </c>
      <c r="Q1057" s="185">
        <v>419</v>
      </c>
      <c r="R1057" s="186">
        <v>81.3</v>
      </c>
      <c r="S1057" s="186">
        <v>53.5</v>
      </c>
      <c r="T1057" s="187">
        <v>4.0199999999999996</v>
      </c>
      <c r="U1057" s="186">
        <v>13.2</v>
      </c>
      <c r="V1057" s="186">
        <v>65.2</v>
      </c>
      <c r="W1057" s="185" t="s">
        <v>8</v>
      </c>
      <c r="X1057" s="185" t="s">
        <v>8</v>
      </c>
      <c r="Y1057" s="187">
        <v>4.46</v>
      </c>
      <c r="Z1057" s="190">
        <v>0.97</v>
      </c>
      <c r="AA1057" s="14" t="str">
        <f t="shared" si="52"/>
        <v>WT</v>
      </c>
      <c r="AB1057" s="14">
        <v>1.43</v>
      </c>
      <c r="AC1057" s="14">
        <v>0.82699999999999996</v>
      </c>
    </row>
    <row r="1058" spans="1:29" s="198" customFormat="1" ht="15" x14ac:dyDescent="0.25">
      <c r="A1058" s="185" t="s">
        <v>1313</v>
      </c>
      <c r="B1058" s="185" t="s">
        <v>1508</v>
      </c>
      <c r="C1058" s="185" t="s">
        <v>618</v>
      </c>
      <c r="D1058" s="186">
        <v>79.5</v>
      </c>
      <c r="E1058" s="186">
        <v>23.4</v>
      </c>
      <c r="F1058" s="187">
        <v>7.49</v>
      </c>
      <c r="G1058" s="186">
        <v>15.6</v>
      </c>
      <c r="H1058" s="190">
        <v>0.745</v>
      </c>
      <c r="I1058" s="187">
        <v>1.19</v>
      </c>
      <c r="J1058" s="187">
        <v>1.79</v>
      </c>
      <c r="K1058" s="187">
        <v>6.54</v>
      </c>
      <c r="L1058" s="185" t="s">
        <v>8</v>
      </c>
      <c r="M1058" s="186">
        <v>70.2</v>
      </c>
      <c r="N1058" s="186">
        <v>22.8</v>
      </c>
      <c r="O1058" s="186">
        <v>11.4</v>
      </c>
      <c r="P1058" s="187">
        <v>1.73</v>
      </c>
      <c r="Q1058" s="185">
        <v>374</v>
      </c>
      <c r="R1058" s="186">
        <v>73</v>
      </c>
      <c r="S1058" s="186">
        <v>48.1</v>
      </c>
      <c r="T1058" s="187">
        <v>4</v>
      </c>
      <c r="U1058" s="187">
        <v>9.84</v>
      </c>
      <c r="V1058" s="186">
        <v>47.9</v>
      </c>
      <c r="W1058" s="185" t="s">
        <v>8</v>
      </c>
      <c r="X1058" s="185" t="s">
        <v>8</v>
      </c>
      <c r="Y1058" s="187">
        <v>4.43</v>
      </c>
      <c r="Z1058" s="190">
        <v>0.97099999999999997</v>
      </c>
      <c r="AA1058" s="14" t="str">
        <f t="shared" si="52"/>
        <v>WT</v>
      </c>
      <c r="AB1058" s="14">
        <v>1.35</v>
      </c>
      <c r="AC1058" s="14">
        <v>0.751</v>
      </c>
    </row>
    <row r="1059" spans="1:29" s="198" customFormat="1" ht="15" x14ac:dyDescent="0.25">
      <c r="A1059" s="185" t="s">
        <v>1313</v>
      </c>
      <c r="B1059" s="185" t="s">
        <v>1509</v>
      </c>
      <c r="C1059" s="185" t="s">
        <v>618</v>
      </c>
      <c r="D1059" s="186">
        <v>72.5</v>
      </c>
      <c r="E1059" s="186">
        <v>21.3</v>
      </c>
      <c r="F1059" s="187">
        <v>7.39</v>
      </c>
      <c r="G1059" s="186">
        <v>15.5</v>
      </c>
      <c r="H1059" s="190">
        <v>0.68</v>
      </c>
      <c r="I1059" s="187">
        <v>1.0900000000000001</v>
      </c>
      <c r="J1059" s="187">
        <v>1.69</v>
      </c>
      <c r="K1059" s="187">
        <v>7.11</v>
      </c>
      <c r="L1059" s="185" t="s">
        <v>8</v>
      </c>
      <c r="M1059" s="186">
        <v>62.5</v>
      </c>
      <c r="N1059" s="186">
        <v>20.2</v>
      </c>
      <c r="O1059" s="186">
        <v>10.199999999999999</v>
      </c>
      <c r="P1059" s="187">
        <v>1.71</v>
      </c>
      <c r="Q1059" s="185">
        <v>338</v>
      </c>
      <c r="R1059" s="186">
        <v>66.2</v>
      </c>
      <c r="S1059" s="186">
        <v>43.7</v>
      </c>
      <c r="T1059" s="187">
        <v>3.98</v>
      </c>
      <c r="U1059" s="187">
        <v>7.56</v>
      </c>
      <c r="V1059" s="186">
        <v>36.299999999999997</v>
      </c>
      <c r="W1059" s="185" t="s">
        <v>8</v>
      </c>
      <c r="X1059" s="185" t="s">
        <v>8</v>
      </c>
      <c r="Y1059" s="187">
        <v>4.4000000000000004</v>
      </c>
      <c r="Z1059" s="190">
        <v>0.97099999999999997</v>
      </c>
      <c r="AA1059" s="14" t="str">
        <f t="shared" si="52"/>
        <v>WT</v>
      </c>
      <c r="AB1059" s="14">
        <v>1.29</v>
      </c>
      <c r="AC1059" s="14">
        <v>0.68799999999999994</v>
      </c>
    </row>
    <row r="1060" spans="1:29" s="198" customFormat="1" ht="15" x14ac:dyDescent="0.25">
      <c r="A1060" s="185" t="s">
        <v>1313</v>
      </c>
      <c r="B1060" s="185" t="s">
        <v>1510</v>
      </c>
      <c r="C1060" s="185" t="s">
        <v>618</v>
      </c>
      <c r="D1060" s="186">
        <v>66</v>
      </c>
      <c r="E1060" s="186">
        <v>19.399999999999999</v>
      </c>
      <c r="F1060" s="187">
        <v>7.33</v>
      </c>
      <c r="G1060" s="186">
        <v>14.7</v>
      </c>
      <c r="H1060" s="190">
        <v>0.64500000000000002</v>
      </c>
      <c r="I1060" s="187">
        <v>1.03</v>
      </c>
      <c r="J1060" s="187">
        <v>1.63</v>
      </c>
      <c r="K1060" s="187">
        <v>7.15</v>
      </c>
      <c r="L1060" s="185" t="s">
        <v>8</v>
      </c>
      <c r="M1060" s="186">
        <v>57.8</v>
      </c>
      <c r="N1060" s="186">
        <v>18.600000000000001</v>
      </c>
      <c r="O1060" s="187">
        <v>9.57</v>
      </c>
      <c r="P1060" s="187">
        <v>1.73</v>
      </c>
      <c r="Q1060" s="185">
        <v>274</v>
      </c>
      <c r="R1060" s="186">
        <v>56.5</v>
      </c>
      <c r="S1060" s="186">
        <v>37.200000000000003</v>
      </c>
      <c r="T1060" s="187">
        <v>3.76</v>
      </c>
      <c r="U1060" s="187">
        <v>6.13</v>
      </c>
      <c r="V1060" s="186">
        <v>26.6</v>
      </c>
      <c r="W1060" s="185" t="s">
        <v>8</v>
      </c>
      <c r="X1060" s="185" t="s">
        <v>8</v>
      </c>
      <c r="Y1060" s="187">
        <v>4.21</v>
      </c>
      <c r="Z1060" s="190">
        <v>0.96599999999999997</v>
      </c>
      <c r="AA1060" s="14" t="str">
        <f t="shared" si="52"/>
        <v>WT</v>
      </c>
      <c r="AB1060" s="14">
        <v>1.29</v>
      </c>
      <c r="AC1060" s="14">
        <v>0.65800000000000003</v>
      </c>
    </row>
    <row r="1061" spans="1:29" s="198" customFormat="1" ht="15" x14ac:dyDescent="0.25">
      <c r="A1061" s="185" t="s">
        <v>1313</v>
      </c>
      <c r="B1061" s="185" t="s">
        <v>1511</v>
      </c>
      <c r="C1061" s="185" t="s">
        <v>618</v>
      </c>
      <c r="D1061" s="186">
        <v>60</v>
      </c>
      <c r="E1061" s="186">
        <v>17.7</v>
      </c>
      <c r="F1061" s="187">
        <v>7.24</v>
      </c>
      <c r="G1061" s="186">
        <v>14.7</v>
      </c>
      <c r="H1061" s="190">
        <v>0.59</v>
      </c>
      <c r="I1061" s="190">
        <v>0.94</v>
      </c>
      <c r="J1061" s="187">
        <v>1.54</v>
      </c>
      <c r="K1061" s="187">
        <v>7.8</v>
      </c>
      <c r="L1061" s="185" t="s">
        <v>8</v>
      </c>
      <c r="M1061" s="186">
        <v>51.7</v>
      </c>
      <c r="N1061" s="186">
        <v>16.5</v>
      </c>
      <c r="O1061" s="187">
        <v>8.61</v>
      </c>
      <c r="P1061" s="187">
        <v>1.71</v>
      </c>
      <c r="Q1061" s="185">
        <v>247</v>
      </c>
      <c r="R1061" s="186">
        <v>51.2</v>
      </c>
      <c r="S1061" s="186">
        <v>33.700000000000003</v>
      </c>
      <c r="T1061" s="187">
        <v>3.74</v>
      </c>
      <c r="U1061" s="187">
        <v>4.67</v>
      </c>
      <c r="V1061" s="186">
        <v>20</v>
      </c>
      <c r="W1061" s="185" t="s">
        <v>8</v>
      </c>
      <c r="X1061" s="185" t="s">
        <v>8</v>
      </c>
      <c r="Y1061" s="187">
        <v>4.1900000000000004</v>
      </c>
      <c r="Z1061" s="190">
        <v>0.96599999999999997</v>
      </c>
      <c r="AA1061" s="14" t="str">
        <f t="shared" si="52"/>
        <v>WT</v>
      </c>
      <c r="AB1061" s="14">
        <v>1.24</v>
      </c>
      <c r="AC1061" s="14">
        <v>0.60199999999999998</v>
      </c>
    </row>
    <row r="1062" spans="1:29" s="198" customFormat="1" ht="15" x14ac:dyDescent="0.25">
      <c r="A1062" s="185" t="s">
        <v>1313</v>
      </c>
      <c r="B1062" s="185" t="s">
        <v>1512</v>
      </c>
      <c r="C1062" s="185" t="s">
        <v>618</v>
      </c>
      <c r="D1062" s="186">
        <v>54.5</v>
      </c>
      <c r="E1062" s="186">
        <v>16</v>
      </c>
      <c r="F1062" s="187">
        <v>7.16</v>
      </c>
      <c r="G1062" s="186">
        <v>14.6</v>
      </c>
      <c r="H1062" s="190">
        <v>0.52500000000000002</v>
      </c>
      <c r="I1062" s="190">
        <v>0.86</v>
      </c>
      <c r="J1062" s="187">
        <v>1.46</v>
      </c>
      <c r="K1062" s="187">
        <v>8.49</v>
      </c>
      <c r="L1062" s="185" t="s">
        <v>8</v>
      </c>
      <c r="M1062" s="186">
        <v>45.3</v>
      </c>
      <c r="N1062" s="186">
        <v>14.4</v>
      </c>
      <c r="O1062" s="187">
        <v>7.56</v>
      </c>
      <c r="P1062" s="187">
        <v>1.68</v>
      </c>
      <c r="Q1062" s="185">
        <v>223</v>
      </c>
      <c r="R1062" s="186">
        <v>46.3</v>
      </c>
      <c r="S1062" s="186">
        <v>30.6</v>
      </c>
      <c r="T1062" s="187">
        <v>3.73</v>
      </c>
      <c r="U1062" s="187">
        <v>3.55</v>
      </c>
      <c r="V1062" s="186">
        <v>15</v>
      </c>
      <c r="W1062" s="185" t="s">
        <v>8</v>
      </c>
      <c r="X1062" s="185" t="s">
        <v>8</v>
      </c>
      <c r="Y1062" s="187">
        <v>4.16</v>
      </c>
      <c r="Z1062" s="190">
        <v>0.96799999999999997</v>
      </c>
      <c r="AA1062" s="14" t="str">
        <f t="shared" si="52"/>
        <v>WT</v>
      </c>
      <c r="AB1062" s="14">
        <v>1.17</v>
      </c>
      <c r="AC1062" s="14">
        <v>0.54800000000000004</v>
      </c>
    </row>
    <row r="1063" spans="1:29" s="198" customFormat="1" ht="15" x14ac:dyDescent="0.25">
      <c r="A1063" s="185" t="s">
        <v>1313</v>
      </c>
      <c r="B1063" s="185" t="s">
        <v>1513</v>
      </c>
      <c r="C1063" s="185" t="s">
        <v>618</v>
      </c>
      <c r="D1063" s="186">
        <v>49.5</v>
      </c>
      <c r="E1063" s="186">
        <v>14.6</v>
      </c>
      <c r="F1063" s="187">
        <v>7.08</v>
      </c>
      <c r="G1063" s="186">
        <v>14.6</v>
      </c>
      <c r="H1063" s="190">
        <v>0.48499999999999999</v>
      </c>
      <c r="I1063" s="190">
        <v>0.78</v>
      </c>
      <c r="J1063" s="187">
        <v>1.38</v>
      </c>
      <c r="K1063" s="187">
        <v>9.34</v>
      </c>
      <c r="L1063" s="185" t="s">
        <v>8</v>
      </c>
      <c r="M1063" s="186">
        <v>40.9</v>
      </c>
      <c r="N1063" s="186">
        <v>12.9</v>
      </c>
      <c r="O1063" s="187">
        <v>6.88</v>
      </c>
      <c r="P1063" s="187">
        <v>1.67</v>
      </c>
      <c r="Q1063" s="185">
        <v>201</v>
      </c>
      <c r="R1063" s="186">
        <v>41.8</v>
      </c>
      <c r="S1063" s="186">
        <v>27.6</v>
      </c>
      <c r="T1063" s="187">
        <v>3.71</v>
      </c>
      <c r="U1063" s="187">
        <v>2.68</v>
      </c>
      <c r="V1063" s="186">
        <v>11.1</v>
      </c>
      <c r="W1063" s="185" t="s">
        <v>8</v>
      </c>
      <c r="X1063" s="185" t="s">
        <v>8</v>
      </c>
      <c r="Y1063" s="187">
        <v>4.1399999999999997</v>
      </c>
      <c r="Z1063" s="190">
        <v>0.96699999999999997</v>
      </c>
      <c r="AA1063" s="14" t="str">
        <f t="shared" si="52"/>
        <v>WT</v>
      </c>
      <c r="AB1063" s="14">
        <v>1.1399999999999999</v>
      </c>
      <c r="AC1063" s="14">
        <v>0.5</v>
      </c>
    </row>
    <row r="1064" spans="1:29" s="198" customFormat="1" ht="15" x14ac:dyDescent="0.25">
      <c r="A1064" s="185" t="s">
        <v>1313</v>
      </c>
      <c r="B1064" s="185" t="s">
        <v>1514</v>
      </c>
      <c r="C1064" s="185" t="s">
        <v>618</v>
      </c>
      <c r="D1064" s="186">
        <v>45</v>
      </c>
      <c r="E1064" s="186">
        <v>13.2</v>
      </c>
      <c r="F1064" s="187">
        <v>7.01</v>
      </c>
      <c r="G1064" s="186">
        <v>14.5</v>
      </c>
      <c r="H1064" s="190">
        <v>0.44</v>
      </c>
      <c r="I1064" s="190">
        <v>0.71</v>
      </c>
      <c r="J1064" s="187">
        <v>1.31</v>
      </c>
      <c r="K1064" s="186">
        <v>10.199999999999999</v>
      </c>
      <c r="L1064" s="185" t="s">
        <v>8</v>
      </c>
      <c r="M1064" s="186">
        <v>36.5</v>
      </c>
      <c r="N1064" s="186">
        <v>11.5</v>
      </c>
      <c r="O1064" s="187">
        <v>6.16</v>
      </c>
      <c r="P1064" s="187">
        <v>1.66</v>
      </c>
      <c r="Q1064" s="185">
        <v>181</v>
      </c>
      <c r="R1064" s="186">
        <v>37.799999999999997</v>
      </c>
      <c r="S1064" s="186">
        <v>25</v>
      </c>
      <c r="T1064" s="187">
        <v>3.7</v>
      </c>
      <c r="U1064" s="187">
        <v>2.0299999999999998</v>
      </c>
      <c r="V1064" s="187">
        <v>8.31</v>
      </c>
      <c r="W1064" s="185" t="s">
        <v>8</v>
      </c>
      <c r="X1064" s="185" t="s">
        <v>8</v>
      </c>
      <c r="Y1064" s="187">
        <v>4.12</v>
      </c>
      <c r="Z1064" s="190">
        <v>0.96799999999999997</v>
      </c>
      <c r="AA1064" s="14" t="str">
        <f t="shared" si="52"/>
        <v>WT</v>
      </c>
      <c r="AB1064" s="14">
        <v>1.0900000000000001</v>
      </c>
      <c r="AC1064" s="14">
        <v>0.45600000000000002</v>
      </c>
    </row>
    <row r="1065" spans="1:29" s="198" customFormat="1" ht="15" x14ac:dyDescent="0.25">
      <c r="A1065" s="185" t="s">
        <v>1313</v>
      </c>
      <c r="B1065" s="185" t="s">
        <v>1515</v>
      </c>
      <c r="C1065" s="185" t="s">
        <v>618</v>
      </c>
      <c r="D1065" s="186">
        <v>41</v>
      </c>
      <c r="E1065" s="186">
        <v>12</v>
      </c>
      <c r="F1065" s="187">
        <v>7.16</v>
      </c>
      <c r="G1065" s="186">
        <v>10.1</v>
      </c>
      <c r="H1065" s="190">
        <v>0.51</v>
      </c>
      <c r="I1065" s="190">
        <v>0.85499999999999998</v>
      </c>
      <c r="J1065" s="187">
        <v>1.45</v>
      </c>
      <c r="K1065" s="187">
        <v>5.92</v>
      </c>
      <c r="L1065" s="185" t="s">
        <v>8</v>
      </c>
      <c r="M1065" s="186">
        <v>41.2</v>
      </c>
      <c r="N1065" s="186">
        <v>13.2</v>
      </c>
      <c r="O1065" s="187">
        <v>7.14</v>
      </c>
      <c r="P1065" s="187">
        <v>1.85</v>
      </c>
      <c r="Q1065" s="186">
        <v>74.099999999999994</v>
      </c>
      <c r="R1065" s="186">
        <v>22.4</v>
      </c>
      <c r="S1065" s="186">
        <v>14.6</v>
      </c>
      <c r="T1065" s="187">
        <v>2.48</v>
      </c>
      <c r="U1065" s="187">
        <v>2.5299999999999998</v>
      </c>
      <c r="V1065" s="187">
        <v>5.63</v>
      </c>
      <c r="W1065" s="185" t="s">
        <v>8</v>
      </c>
      <c r="X1065" s="185" t="s">
        <v>8</v>
      </c>
      <c r="Y1065" s="187">
        <v>3.24</v>
      </c>
      <c r="Z1065" s="190">
        <v>0.91200000000000003</v>
      </c>
      <c r="AA1065" s="14" t="str">
        <f t="shared" si="52"/>
        <v>WT</v>
      </c>
      <c r="AB1065" s="14">
        <v>1.39</v>
      </c>
      <c r="AC1065" s="14">
        <v>0.59299999999999997</v>
      </c>
    </row>
    <row r="1066" spans="1:29" s="198" customFormat="1" ht="15" x14ac:dyDescent="0.25">
      <c r="A1066" s="185" t="s">
        <v>1313</v>
      </c>
      <c r="B1066" s="185" t="s">
        <v>1516</v>
      </c>
      <c r="C1066" s="185" t="s">
        <v>618</v>
      </c>
      <c r="D1066" s="186">
        <v>37</v>
      </c>
      <c r="E1066" s="186">
        <v>10.9</v>
      </c>
      <c r="F1066" s="187">
        <v>7.09</v>
      </c>
      <c r="G1066" s="186">
        <v>10.1</v>
      </c>
      <c r="H1066" s="190">
        <v>0.45</v>
      </c>
      <c r="I1066" s="190">
        <v>0.78500000000000003</v>
      </c>
      <c r="J1066" s="187">
        <v>1.38</v>
      </c>
      <c r="K1066" s="187">
        <v>6.41</v>
      </c>
      <c r="L1066" s="185" t="s">
        <v>8</v>
      </c>
      <c r="M1066" s="186">
        <v>36</v>
      </c>
      <c r="N1066" s="186">
        <v>11.5</v>
      </c>
      <c r="O1066" s="187">
        <v>6.25</v>
      </c>
      <c r="P1066" s="187">
        <v>1.82</v>
      </c>
      <c r="Q1066" s="186">
        <v>66.900000000000006</v>
      </c>
      <c r="R1066" s="186">
        <v>20.2</v>
      </c>
      <c r="S1066" s="186">
        <v>13.3</v>
      </c>
      <c r="T1066" s="187">
        <v>2.48</v>
      </c>
      <c r="U1066" s="187">
        <v>1.93</v>
      </c>
      <c r="V1066" s="187">
        <v>4.1900000000000004</v>
      </c>
      <c r="W1066" s="185" t="s">
        <v>8</v>
      </c>
      <c r="X1066" s="185" t="s">
        <v>8</v>
      </c>
      <c r="Y1066" s="187">
        <v>3.21</v>
      </c>
      <c r="Z1066" s="190">
        <v>0.91600000000000004</v>
      </c>
      <c r="AA1066" s="14" t="str">
        <f t="shared" si="52"/>
        <v>WT</v>
      </c>
      <c r="AB1066" s="14">
        <v>1.32</v>
      </c>
      <c r="AC1066" s="14">
        <v>0.54100000000000004</v>
      </c>
    </row>
    <row r="1067" spans="1:29" s="198" customFormat="1" ht="15" x14ac:dyDescent="0.25">
      <c r="A1067" s="185" t="s">
        <v>1313</v>
      </c>
      <c r="B1067" s="185" t="s">
        <v>1517</v>
      </c>
      <c r="C1067" s="185" t="s">
        <v>618</v>
      </c>
      <c r="D1067" s="186">
        <v>34</v>
      </c>
      <c r="E1067" s="186">
        <v>10</v>
      </c>
      <c r="F1067" s="187">
        <v>7.02</v>
      </c>
      <c r="G1067" s="186">
        <v>10</v>
      </c>
      <c r="H1067" s="190">
        <v>0.41499999999999998</v>
      </c>
      <c r="I1067" s="190">
        <v>0.72</v>
      </c>
      <c r="J1067" s="187">
        <v>1.31</v>
      </c>
      <c r="K1067" s="187">
        <v>6.97</v>
      </c>
      <c r="L1067" s="185" t="s">
        <v>8</v>
      </c>
      <c r="M1067" s="186">
        <v>32.6</v>
      </c>
      <c r="N1067" s="186">
        <v>10.4</v>
      </c>
      <c r="O1067" s="187">
        <v>5.69</v>
      </c>
      <c r="P1067" s="187">
        <v>1.81</v>
      </c>
      <c r="Q1067" s="186">
        <v>60.7</v>
      </c>
      <c r="R1067" s="186">
        <v>18.399999999999999</v>
      </c>
      <c r="S1067" s="186">
        <v>12.1</v>
      </c>
      <c r="T1067" s="187">
        <v>2.46</v>
      </c>
      <c r="U1067" s="187">
        <v>1.5</v>
      </c>
      <c r="V1067" s="187">
        <v>3.21</v>
      </c>
      <c r="W1067" s="185" t="s">
        <v>8</v>
      </c>
      <c r="X1067" s="185" t="s">
        <v>8</v>
      </c>
      <c r="Y1067" s="187">
        <v>3.19</v>
      </c>
      <c r="Z1067" s="190">
        <v>0.91600000000000004</v>
      </c>
      <c r="AA1067" s="14" t="str">
        <f t="shared" si="52"/>
        <v>WT</v>
      </c>
      <c r="AB1067" s="14">
        <v>1.29</v>
      </c>
      <c r="AC1067" s="14">
        <v>0.498</v>
      </c>
    </row>
    <row r="1068" spans="1:29" s="198" customFormat="1" ht="15" x14ac:dyDescent="0.25">
      <c r="A1068" s="185" t="s">
        <v>1313</v>
      </c>
      <c r="B1068" s="185" t="s">
        <v>1518</v>
      </c>
      <c r="C1068" s="185" t="s">
        <v>618</v>
      </c>
      <c r="D1068" s="186">
        <v>30.5</v>
      </c>
      <c r="E1068" s="187">
        <v>8.9600000000000009</v>
      </c>
      <c r="F1068" s="187">
        <v>6.95</v>
      </c>
      <c r="G1068" s="186">
        <v>10</v>
      </c>
      <c r="H1068" s="190">
        <v>0.375</v>
      </c>
      <c r="I1068" s="190">
        <v>0.64500000000000002</v>
      </c>
      <c r="J1068" s="187">
        <v>1.24</v>
      </c>
      <c r="K1068" s="187">
        <v>7.75</v>
      </c>
      <c r="L1068" s="185" t="s">
        <v>8</v>
      </c>
      <c r="M1068" s="186">
        <v>28.9</v>
      </c>
      <c r="N1068" s="187">
        <v>9.15</v>
      </c>
      <c r="O1068" s="187">
        <v>5.07</v>
      </c>
      <c r="P1068" s="187">
        <v>1.8</v>
      </c>
      <c r="Q1068" s="186">
        <v>53.7</v>
      </c>
      <c r="R1068" s="186">
        <v>16.399999999999999</v>
      </c>
      <c r="S1068" s="186">
        <v>10.7</v>
      </c>
      <c r="T1068" s="187">
        <v>2.4500000000000002</v>
      </c>
      <c r="U1068" s="187">
        <v>1.0900000000000001</v>
      </c>
      <c r="V1068" s="187">
        <v>2.29</v>
      </c>
      <c r="W1068" s="185" t="s">
        <v>8</v>
      </c>
      <c r="X1068" s="185" t="s">
        <v>8</v>
      </c>
      <c r="Y1068" s="187">
        <v>3.17</v>
      </c>
      <c r="Z1068" s="190">
        <v>0.91500000000000004</v>
      </c>
      <c r="AA1068" s="14" t="str">
        <f t="shared" si="52"/>
        <v>WT</v>
      </c>
      <c r="AB1068" s="14">
        <v>1.25</v>
      </c>
      <c r="AC1068" s="14">
        <v>0.44800000000000001</v>
      </c>
    </row>
    <row r="1069" spans="1:29" s="198" customFormat="1" ht="15" x14ac:dyDescent="0.25">
      <c r="A1069" s="185" t="s">
        <v>1313</v>
      </c>
      <c r="B1069" s="185" t="s">
        <v>1519</v>
      </c>
      <c r="C1069" s="185" t="s">
        <v>618</v>
      </c>
      <c r="D1069" s="186">
        <v>26.5</v>
      </c>
      <c r="E1069" s="187">
        <v>7.8</v>
      </c>
      <c r="F1069" s="187">
        <v>6.96</v>
      </c>
      <c r="G1069" s="187">
        <v>8.06</v>
      </c>
      <c r="H1069" s="190">
        <v>0.37</v>
      </c>
      <c r="I1069" s="190">
        <v>0.66</v>
      </c>
      <c r="J1069" s="187">
        <v>1.25</v>
      </c>
      <c r="K1069" s="187">
        <v>6.11</v>
      </c>
      <c r="L1069" s="185" t="s">
        <v>8</v>
      </c>
      <c r="M1069" s="186">
        <v>27.6</v>
      </c>
      <c r="N1069" s="187">
        <v>8.8699999999999992</v>
      </c>
      <c r="O1069" s="187">
        <v>4.9400000000000004</v>
      </c>
      <c r="P1069" s="187">
        <v>1.88</v>
      </c>
      <c r="Q1069" s="186">
        <v>28.8</v>
      </c>
      <c r="R1069" s="186">
        <v>11</v>
      </c>
      <c r="S1069" s="187">
        <v>7.15</v>
      </c>
      <c r="T1069" s="187">
        <v>1.92</v>
      </c>
      <c r="U1069" s="190">
        <v>0.96699999999999997</v>
      </c>
      <c r="V1069" s="187">
        <v>1.46</v>
      </c>
      <c r="W1069" s="185" t="s">
        <v>8</v>
      </c>
      <c r="X1069" s="185" t="s">
        <v>8</v>
      </c>
      <c r="Y1069" s="187">
        <v>2.89</v>
      </c>
      <c r="Z1069" s="190">
        <v>0.86799999999999999</v>
      </c>
      <c r="AA1069" s="14" t="str">
        <f t="shared" si="52"/>
        <v>WT</v>
      </c>
      <c r="AB1069" s="14">
        <v>1.38</v>
      </c>
      <c r="AC1069" s="14">
        <v>0.48399999999999999</v>
      </c>
    </row>
    <row r="1070" spans="1:29" s="198" customFormat="1" ht="15" x14ac:dyDescent="0.25">
      <c r="A1070" s="185" t="s">
        <v>1313</v>
      </c>
      <c r="B1070" s="185" t="s">
        <v>1520</v>
      </c>
      <c r="C1070" s="185" t="s">
        <v>618</v>
      </c>
      <c r="D1070" s="186">
        <v>24</v>
      </c>
      <c r="E1070" s="187">
        <v>7.07</v>
      </c>
      <c r="F1070" s="187">
        <v>6.9</v>
      </c>
      <c r="G1070" s="187">
        <v>8.0299999999999994</v>
      </c>
      <c r="H1070" s="190">
        <v>0.34</v>
      </c>
      <c r="I1070" s="190">
        <v>0.59499999999999997</v>
      </c>
      <c r="J1070" s="187">
        <v>1.19</v>
      </c>
      <c r="K1070" s="187">
        <v>6.75</v>
      </c>
      <c r="L1070" s="185" t="s">
        <v>8</v>
      </c>
      <c r="M1070" s="186">
        <v>24.9</v>
      </c>
      <c r="N1070" s="187">
        <v>8</v>
      </c>
      <c r="O1070" s="187">
        <v>4.49</v>
      </c>
      <c r="P1070" s="187">
        <v>1.88</v>
      </c>
      <c r="Q1070" s="186">
        <v>25.7</v>
      </c>
      <c r="R1070" s="187">
        <v>9.8000000000000007</v>
      </c>
      <c r="S1070" s="187">
        <v>6.4</v>
      </c>
      <c r="T1070" s="187">
        <v>1.91</v>
      </c>
      <c r="U1070" s="190">
        <v>0.72299999999999998</v>
      </c>
      <c r="V1070" s="187">
        <v>1.07</v>
      </c>
      <c r="W1070" s="185" t="s">
        <v>8</v>
      </c>
      <c r="X1070" s="185" t="s">
        <v>8</v>
      </c>
      <c r="Y1070" s="187">
        <v>2.87</v>
      </c>
      <c r="Z1070" s="190">
        <v>0.86599999999999999</v>
      </c>
      <c r="AA1070" s="14" t="str">
        <f t="shared" si="52"/>
        <v>WT</v>
      </c>
      <c r="AB1070" s="14">
        <v>1.35</v>
      </c>
      <c r="AC1070" s="14">
        <v>0.44</v>
      </c>
    </row>
    <row r="1071" spans="1:29" s="198" customFormat="1" ht="15" x14ac:dyDescent="0.25">
      <c r="A1071" s="185" t="s">
        <v>1313</v>
      </c>
      <c r="B1071" s="185" t="s">
        <v>1521</v>
      </c>
      <c r="C1071" s="185" t="s">
        <v>618</v>
      </c>
      <c r="D1071" s="186">
        <v>21.5</v>
      </c>
      <c r="E1071" s="187">
        <v>6.31</v>
      </c>
      <c r="F1071" s="187">
        <v>6.83</v>
      </c>
      <c r="G1071" s="187">
        <v>8</v>
      </c>
      <c r="H1071" s="190">
        <v>0.30499999999999999</v>
      </c>
      <c r="I1071" s="190">
        <v>0.53</v>
      </c>
      <c r="J1071" s="187">
        <v>1.1200000000000001</v>
      </c>
      <c r="K1071" s="187">
        <v>7.54</v>
      </c>
      <c r="L1071" s="185" t="s">
        <v>8</v>
      </c>
      <c r="M1071" s="186">
        <v>21.9</v>
      </c>
      <c r="N1071" s="187">
        <v>7.05</v>
      </c>
      <c r="O1071" s="187">
        <v>3.98</v>
      </c>
      <c r="P1071" s="187">
        <v>1.86</v>
      </c>
      <c r="Q1071" s="186">
        <v>22.6</v>
      </c>
      <c r="R1071" s="187">
        <v>8.64</v>
      </c>
      <c r="S1071" s="187">
        <v>5.65</v>
      </c>
      <c r="T1071" s="187">
        <v>1.89</v>
      </c>
      <c r="U1071" s="190">
        <v>0.52200000000000002</v>
      </c>
      <c r="V1071" s="190">
        <v>0.751</v>
      </c>
      <c r="W1071" s="185" t="s">
        <v>8</v>
      </c>
      <c r="X1071" s="185" t="s">
        <v>8</v>
      </c>
      <c r="Y1071" s="187">
        <v>2.86</v>
      </c>
      <c r="Z1071" s="190">
        <v>0.86499999999999999</v>
      </c>
      <c r="AA1071" s="14" t="str">
        <f t="shared" si="52"/>
        <v>WT</v>
      </c>
      <c r="AB1071" s="14">
        <v>1.31</v>
      </c>
      <c r="AC1071" s="14">
        <v>0.39500000000000002</v>
      </c>
    </row>
    <row r="1072" spans="1:29" s="198" customFormat="1" ht="15" x14ac:dyDescent="0.25">
      <c r="A1072" s="185" t="s">
        <v>1313</v>
      </c>
      <c r="B1072" s="185" t="s">
        <v>1522</v>
      </c>
      <c r="C1072" s="185" t="s">
        <v>618</v>
      </c>
      <c r="D1072" s="186">
        <v>19</v>
      </c>
      <c r="E1072" s="187">
        <v>5.58</v>
      </c>
      <c r="F1072" s="187">
        <v>7.05</v>
      </c>
      <c r="G1072" s="187">
        <v>6.77</v>
      </c>
      <c r="H1072" s="190">
        <v>0.31</v>
      </c>
      <c r="I1072" s="190">
        <v>0.51500000000000001</v>
      </c>
      <c r="J1072" s="190">
        <v>0.91500000000000004</v>
      </c>
      <c r="K1072" s="187">
        <v>6.57</v>
      </c>
      <c r="L1072" s="185" t="s">
        <v>8</v>
      </c>
      <c r="M1072" s="186">
        <v>23.3</v>
      </c>
      <c r="N1072" s="187">
        <v>7.45</v>
      </c>
      <c r="O1072" s="187">
        <v>4.22</v>
      </c>
      <c r="P1072" s="187">
        <v>2.04</v>
      </c>
      <c r="Q1072" s="186">
        <v>13.3</v>
      </c>
      <c r="R1072" s="187">
        <v>6.07</v>
      </c>
      <c r="S1072" s="187">
        <v>3.94</v>
      </c>
      <c r="T1072" s="187">
        <v>1.55</v>
      </c>
      <c r="U1072" s="190">
        <v>0.39800000000000002</v>
      </c>
      <c r="V1072" s="190">
        <v>0.55400000000000005</v>
      </c>
      <c r="W1072" s="185" t="s">
        <v>8</v>
      </c>
      <c r="X1072" s="185" t="s">
        <v>8</v>
      </c>
      <c r="Y1072" s="187">
        <v>2.86</v>
      </c>
      <c r="Z1072" s="190">
        <v>0.79900000000000004</v>
      </c>
      <c r="AA1072" s="14" t="str">
        <f t="shared" si="52"/>
        <v>WT</v>
      </c>
      <c r="AB1072" s="14">
        <v>1.54</v>
      </c>
      <c r="AC1072" s="14">
        <v>0.41199999999999998</v>
      </c>
    </row>
    <row r="1073" spans="1:29" s="198" customFormat="1" ht="15" x14ac:dyDescent="0.25">
      <c r="A1073" s="185" t="s">
        <v>1313</v>
      </c>
      <c r="B1073" s="185" t="s">
        <v>1523</v>
      </c>
      <c r="C1073" s="185" t="s">
        <v>618</v>
      </c>
      <c r="D1073" s="186">
        <v>17</v>
      </c>
      <c r="E1073" s="187">
        <v>5</v>
      </c>
      <c r="F1073" s="187">
        <v>6.99</v>
      </c>
      <c r="G1073" s="187">
        <v>6.75</v>
      </c>
      <c r="H1073" s="190">
        <v>0.28499999999999998</v>
      </c>
      <c r="I1073" s="190">
        <v>0.45500000000000002</v>
      </c>
      <c r="J1073" s="190">
        <v>0.85499999999999998</v>
      </c>
      <c r="K1073" s="187">
        <v>7.41</v>
      </c>
      <c r="L1073" s="185" t="s">
        <v>8</v>
      </c>
      <c r="M1073" s="186">
        <v>20.9</v>
      </c>
      <c r="N1073" s="187">
        <v>6.74</v>
      </c>
      <c r="O1073" s="187">
        <v>3.83</v>
      </c>
      <c r="P1073" s="187">
        <v>2.04</v>
      </c>
      <c r="Q1073" s="186">
        <v>11.6</v>
      </c>
      <c r="R1073" s="187">
        <v>5.32</v>
      </c>
      <c r="S1073" s="187">
        <v>3.45</v>
      </c>
      <c r="T1073" s="187">
        <v>1.53</v>
      </c>
      <c r="U1073" s="190">
        <v>0.28399999999999997</v>
      </c>
      <c r="V1073" s="190">
        <v>0.4</v>
      </c>
      <c r="W1073" s="185" t="s">
        <v>8</v>
      </c>
      <c r="X1073" s="185" t="s">
        <v>8</v>
      </c>
      <c r="Y1073" s="187">
        <v>2.87</v>
      </c>
      <c r="Z1073" s="190">
        <v>0.79200000000000004</v>
      </c>
      <c r="AA1073" s="14" t="str">
        <f t="shared" si="52"/>
        <v>WT</v>
      </c>
      <c r="AB1073" s="14">
        <v>1.53</v>
      </c>
      <c r="AC1073" s="14">
        <v>0.371</v>
      </c>
    </row>
    <row r="1074" spans="1:29" s="198" customFormat="1" ht="15" x14ac:dyDescent="0.25">
      <c r="A1074" s="185" t="s">
        <v>1313</v>
      </c>
      <c r="B1074" s="185" t="s">
        <v>1524</v>
      </c>
      <c r="C1074" s="185" t="s">
        <v>618</v>
      </c>
      <c r="D1074" s="186">
        <v>15</v>
      </c>
      <c r="E1074" s="187">
        <v>4.42</v>
      </c>
      <c r="F1074" s="187">
        <v>6.92</v>
      </c>
      <c r="G1074" s="187">
        <v>6.73</v>
      </c>
      <c r="H1074" s="190">
        <v>0.27</v>
      </c>
      <c r="I1074" s="190">
        <v>0.38500000000000001</v>
      </c>
      <c r="J1074" s="190">
        <v>0.78500000000000003</v>
      </c>
      <c r="K1074" s="187">
        <v>8.74</v>
      </c>
      <c r="L1074" s="185" t="s">
        <v>8</v>
      </c>
      <c r="M1074" s="186">
        <v>19</v>
      </c>
      <c r="N1074" s="187">
        <v>6.25</v>
      </c>
      <c r="O1074" s="187">
        <v>3.55</v>
      </c>
      <c r="P1074" s="187">
        <v>2.0699999999999998</v>
      </c>
      <c r="Q1074" s="187">
        <v>9.7899999999999991</v>
      </c>
      <c r="R1074" s="187">
        <v>4.49</v>
      </c>
      <c r="S1074" s="187">
        <v>2.91</v>
      </c>
      <c r="T1074" s="187">
        <v>1.49</v>
      </c>
      <c r="U1074" s="190">
        <v>0.19</v>
      </c>
      <c r="V1074" s="190">
        <v>0.28699999999999998</v>
      </c>
      <c r="W1074" s="185" t="s">
        <v>8</v>
      </c>
      <c r="X1074" s="185" t="s">
        <v>8</v>
      </c>
      <c r="Y1074" s="187">
        <v>2.9</v>
      </c>
      <c r="Z1074" s="190">
        <v>0.77200000000000002</v>
      </c>
      <c r="AA1074" s="14" t="str">
        <f t="shared" si="52"/>
        <v>WT</v>
      </c>
      <c r="AB1074" s="14">
        <v>1.58</v>
      </c>
      <c r="AC1074" s="14">
        <v>0.32900000000000001</v>
      </c>
    </row>
    <row r="1075" spans="1:29" s="198" customFormat="1" ht="15" x14ac:dyDescent="0.25">
      <c r="A1075" s="185" t="s">
        <v>1313</v>
      </c>
      <c r="B1075" s="185" t="s">
        <v>1525</v>
      </c>
      <c r="C1075" s="185" t="s">
        <v>618</v>
      </c>
      <c r="D1075" s="186">
        <v>13</v>
      </c>
      <c r="E1075" s="187">
        <v>3.85</v>
      </c>
      <c r="F1075" s="187">
        <v>6.96</v>
      </c>
      <c r="G1075" s="187">
        <v>5.03</v>
      </c>
      <c r="H1075" s="190">
        <v>0.255</v>
      </c>
      <c r="I1075" s="190">
        <v>0.42</v>
      </c>
      <c r="J1075" s="190">
        <v>0.82</v>
      </c>
      <c r="K1075" s="187">
        <v>5.98</v>
      </c>
      <c r="L1075" s="185" t="s">
        <v>8</v>
      </c>
      <c r="M1075" s="186">
        <v>17.3</v>
      </c>
      <c r="N1075" s="187">
        <v>5.89</v>
      </c>
      <c r="O1075" s="187">
        <v>3.31</v>
      </c>
      <c r="P1075" s="187">
        <v>2.12</v>
      </c>
      <c r="Q1075" s="187">
        <v>4.45</v>
      </c>
      <c r="R1075" s="187">
        <v>2.76</v>
      </c>
      <c r="S1075" s="187">
        <v>1.77</v>
      </c>
      <c r="T1075" s="187">
        <v>1.08</v>
      </c>
      <c r="U1075" s="190">
        <v>0.17899999999999999</v>
      </c>
      <c r="V1075" s="190">
        <v>0.20699999999999999</v>
      </c>
      <c r="W1075" s="185" t="s">
        <v>8</v>
      </c>
      <c r="X1075" s="185" t="s">
        <v>8</v>
      </c>
      <c r="Y1075" s="187">
        <v>2.82</v>
      </c>
      <c r="Z1075" s="190">
        <v>0.71199999999999997</v>
      </c>
      <c r="AA1075" s="14" t="str">
        <f t="shared" si="52"/>
        <v>WT</v>
      </c>
      <c r="AB1075" s="14">
        <v>1.72</v>
      </c>
      <c r="AC1075" s="14">
        <v>0.38300000000000001</v>
      </c>
    </row>
    <row r="1076" spans="1:29" s="198" customFormat="1" ht="15" x14ac:dyDescent="0.25">
      <c r="A1076" s="185" t="s">
        <v>1313</v>
      </c>
      <c r="B1076" s="185" t="s">
        <v>1526</v>
      </c>
      <c r="C1076" s="185" t="s">
        <v>618</v>
      </c>
      <c r="D1076" s="186">
        <v>11</v>
      </c>
      <c r="E1076" s="187">
        <v>3.25</v>
      </c>
      <c r="F1076" s="187">
        <v>6.87</v>
      </c>
      <c r="G1076" s="187">
        <v>5</v>
      </c>
      <c r="H1076" s="190">
        <v>0.23</v>
      </c>
      <c r="I1076" s="190">
        <v>0.33500000000000002</v>
      </c>
      <c r="J1076" s="190">
        <v>0.73499999999999999</v>
      </c>
      <c r="K1076" s="187">
        <v>7.46</v>
      </c>
      <c r="L1076" s="185" t="s">
        <v>8</v>
      </c>
      <c r="M1076" s="186">
        <v>14.8</v>
      </c>
      <c r="N1076" s="187">
        <v>5.2</v>
      </c>
      <c r="O1076" s="187">
        <v>2.91</v>
      </c>
      <c r="P1076" s="187">
        <v>2.14</v>
      </c>
      <c r="Q1076" s="187">
        <v>3.5</v>
      </c>
      <c r="R1076" s="187">
        <v>2.19</v>
      </c>
      <c r="S1076" s="187">
        <v>1.4</v>
      </c>
      <c r="T1076" s="187">
        <v>1.04</v>
      </c>
      <c r="U1076" s="190">
        <v>0.104</v>
      </c>
      <c r="V1076" s="190">
        <v>0.13400000000000001</v>
      </c>
      <c r="W1076" s="185" t="s">
        <v>8</v>
      </c>
      <c r="X1076" s="185" t="s">
        <v>8</v>
      </c>
      <c r="Y1076" s="187">
        <v>2.86</v>
      </c>
      <c r="Z1076" s="190">
        <v>0.68899999999999995</v>
      </c>
      <c r="AA1076" s="14" t="str">
        <f t="shared" si="52"/>
        <v>WT</v>
      </c>
      <c r="AB1076" s="14">
        <v>1.76</v>
      </c>
      <c r="AC1076" s="14">
        <v>0.32500000000000001</v>
      </c>
    </row>
    <row r="1077" spans="1:29" s="198" customFormat="1" ht="15" x14ac:dyDescent="0.25">
      <c r="A1077" s="185" t="s">
        <v>1313</v>
      </c>
      <c r="B1077" s="185" t="s">
        <v>1527</v>
      </c>
      <c r="C1077" s="185" t="s">
        <v>618</v>
      </c>
      <c r="D1077" s="185">
        <v>168</v>
      </c>
      <c r="E1077" s="186">
        <v>49.5</v>
      </c>
      <c r="F1077" s="187">
        <v>8.41</v>
      </c>
      <c r="G1077" s="186">
        <v>13.4</v>
      </c>
      <c r="H1077" s="187">
        <v>1.78</v>
      </c>
      <c r="I1077" s="187">
        <v>2.96</v>
      </c>
      <c r="J1077" s="187">
        <v>3.55</v>
      </c>
      <c r="K1077" s="187">
        <v>2.2599999999999998</v>
      </c>
      <c r="L1077" s="185" t="s">
        <v>8</v>
      </c>
      <c r="M1077" s="185">
        <v>190</v>
      </c>
      <c r="N1077" s="186">
        <v>68.400000000000006</v>
      </c>
      <c r="O1077" s="186">
        <v>31.2</v>
      </c>
      <c r="P1077" s="187">
        <v>1.96</v>
      </c>
      <c r="Q1077" s="185">
        <v>593</v>
      </c>
      <c r="R1077" s="185">
        <v>137</v>
      </c>
      <c r="S1077" s="186">
        <v>88.6</v>
      </c>
      <c r="T1077" s="187">
        <v>3.47</v>
      </c>
      <c r="U1077" s="185">
        <v>120</v>
      </c>
      <c r="V1077" s="185">
        <v>481</v>
      </c>
      <c r="W1077" s="185" t="s">
        <v>8</v>
      </c>
      <c r="X1077" s="185" t="s">
        <v>8</v>
      </c>
      <c r="Y1077" s="187">
        <v>4.07</v>
      </c>
      <c r="Z1077" s="190">
        <v>0.95799999999999996</v>
      </c>
      <c r="AA1077" s="14" t="str">
        <f t="shared" si="52"/>
        <v>WT</v>
      </c>
      <c r="AB1077" s="14">
        <v>2.31</v>
      </c>
      <c r="AC1077" s="14">
        <v>1.84</v>
      </c>
    </row>
    <row r="1078" spans="1:29" s="198" customFormat="1" ht="15" x14ac:dyDescent="0.25">
      <c r="A1078" s="185" t="s">
        <v>1313</v>
      </c>
      <c r="B1078" s="185" t="s">
        <v>1528</v>
      </c>
      <c r="C1078" s="185" t="s">
        <v>618</v>
      </c>
      <c r="D1078" s="185">
        <v>152.5</v>
      </c>
      <c r="E1078" s="186">
        <v>44.7</v>
      </c>
      <c r="F1078" s="187">
        <v>8.16</v>
      </c>
      <c r="G1078" s="186">
        <v>13.2</v>
      </c>
      <c r="H1078" s="187">
        <v>1.63</v>
      </c>
      <c r="I1078" s="187">
        <v>2.71</v>
      </c>
      <c r="J1078" s="187">
        <v>3.3</v>
      </c>
      <c r="K1078" s="187">
        <v>2.4500000000000002</v>
      </c>
      <c r="L1078" s="185" t="s">
        <v>8</v>
      </c>
      <c r="M1078" s="185">
        <v>162</v>
      </c>
      <c r="N1078" s="186">
        <v>59.1</v>
      </c>
      <c r="O1078" s="186">
        <v>27</v>
      </c>
      <c r="P1078" s="187">
        <v>1.9</v>
      </c>
      <c r="Q1078" s="185">
        <v>525</v>
      </c>
      <c r="R1078" s="185">
        <v>122</v>
      </c>
      <c r="S1078" s="186">
        <v>79.3</v>
      </c>
      <c r="T1078" s="187">
        <v>3.42</v>
      </c>
      <c r="U1078" s="186">
        <v>92</v>
      </c>
      <c r="V1078" s="185">
        <v>356</v>
      </c>
      <c r="W1078" s="185" t="s">
        <v>8</v>
      </c>
      <c r="X1078" s="185" t="s">
        <v>8</v>
      </c>
      <c r="Y1078" s="187">
        <v>4</v>
      </c>
      <c r="Z1078" s="190">
        <v>0.95899999999999996</v>
      </c>
      <c r="AA1078" s="14" t="str">
        <f t="shared" si="52"/>
        <v>WT</v>
      </c>
      <c r="AB1078" s="14">
        <v>2.16</v>
      </c>
      <c r="AC1078" s="14">
        <v>1.69</v>
      </c>
    </row>
    <row r="1079" spans="1:29" s="198" customFormat="1" ht="15" x14ac:dyDescent="0.25">
      <c r="A1079" s="185" t="s">
        <v>1313</v>
      </c>
      <c r="B1079" s="185" t="s">
        <v>1529</v>
      </c>
      <c r="C1079" s="185" t="s">
        <v>618</v>
      </c>
      <c r="D1079" s="185">
        <v>139.5</v>
      </c>
      <c r="E1079" s="186">
        <v>41</v>
      </c>
      <c r="F1079" s="187">
        <v>7.93</v>
      </c>
      <c r="G1079" s="186">
        <v>13.1</v>
      </c>
      <c r="H1079" s="187">
        <v>1.53</v>
      </c>
      <c r="I1079" s="187">
        <v>2.4700000000000002</v>
      </c>
      <c r="J1079" s="187">
        <v>3.07</v>
      </c>
      <c r="K1079" s="187">
        <v>2.66</v>
      </c>
      <c r="L1079" s="185" t="s">
        <v>8</v>
      </c>
      <c r="M1079" s="185">
        <v>141</v>
      </c>
      <c r="N1079" s="186">
        <v>51.9</v>
      </c>
      <c r="O1079" s="186">
        <v>24.1</v>
      </c>
      <c r="P1079" s="187">
        <v>1.86</v>
      </c>
      <c r="Q1079" s="185">
        <v>469</v>
      </c>
      <c r="R1079" s="185">
        <v>110</v>
      </c>
      <c r="S1079" s="186">
        <v>71.3</v>
      </c>
      <c r="T1079" s="187">
        <v>3.38</v>
      </c>
      <c r="U1079" s="186">
        <v>70.900000000000006</v>
      </c>
      <c r="V1079" s="185">
        <v>267</v>
      </c>
      <c r="W1079" s="185" t="s">
        <v>8</v>
      </c>
      <c r="X1079" s="185" t="s">
        <v>8</v>
      </c>
      <c r="Y1079" s="187">
        <v>3.94</v>
      </c>
      <c r="Z1079" s="190">
        <v>0.95799999999999996</v>
      </c>
      <c r="AA1079" s="14" t="str">
        <f t="shared" si="52"/>
        <v>WT</v>
      </c>
      <c r="AB1079" s="14">
        <v>2.0499999999999998</v>
      </c>
      <c r="AC1079" s="14">
        <v>1.56</v>
      </c>
    </row>
    <row r="1080" spans="1:29" s="198" customFormat="1" ht="15" x14ac:dyDescent="0.25">
      <c r="A1080" s="185" t="s">
        <v>1313</v>
      </c>
      <c r="B1080" s="185" t="s">
        <v>1530</v>
      </c>
      <c r="C1080" s="185" t="s">
        <v>618</v>
      </c>
      <c r="D1080" s="185">
        <v>126</v>
      </c>
      <c r="E1080" s="186">
        <v>37.1</v>
      </c>
      <c r="F1080" s="187">
        <v>7.71</v>
      </c>
      <c r="G1080" s="186">
        <v>13</v>
      </c>
      <c r="H1080" s="187">
        <v>1.4</v>
      </c>
      <c r="I1080" s="187">
        <v>2.25</v>
      </c>
      <c r="J1080" s="187">
        <v>2.85</v>
      </c>
      <c r="K1080" s="187">
        <v>2.89</v>
      </c>
      <c r="L1080" s="185" t="s">
        <v>8</v>
      </c>
      <c r="M1080" s="185">
        <v>121</v>
      </c>
      <c r="N1080" s="186">
        <v>44.8</v>
      </c>
      <c r="O1080" s="186">
        <v>20.9</v>
      </c>
      <c r="P1080" s="187">
        <v>1.81</v>
      </c>
      <c r="Q1080" s="185">
        <v>414</v>
      </c>
      <c r="R1080" s="186">
        <v>97.9</v>
      </c>
      <c r="S1080" s="186">
        <v>63.6</v>
      </c>
      <c r="T1080" s="187">
        <v>3.34</v>
      </c>
      <c r="U1080" s="186">
        <v>53.5</v>
      </c>
      <c r="V1080" s="185">
        <v>195</v>
      </c>
      <c r="W1080" s="185" t="s">
        <v>8</v>
      </c>
      <c r="X1080" s="185" t="s">
        <v>8</v>
      </c>
      <c r="Y1080" s="187">
        <v>3.88</v>
      </c>
      <c r="Z1080" s="190">
        <v>0.95799999999999996</v>
      </c>
      <c r="AA1080" s="14" t="str">
        <f t="shared" si="52"/>
        <v>WT</v>
      </c>
      <c r="AB1080" s="14">
        <v>1.92</v>
      </c>
      <c r="AC1080" s="14">
        <v>1.42</v>
      </c>
    </row>
    <row r="1081" spans="1:29" s="198" customFormat="1" ht="15" x14ac:dyDescent="0.25">
      <c r="A1081" s="185" t="s">
        <v>1313</v>
      </c>
      <c r="B1081" s="185" t="s">
        <v>1531</v>
      </c>
      <c r="C1081" s="185" t="s">
        <v>618</v>
      </c>
      <c r="D1081" s="185">
        <v>115</v>
      </c>
      <c r="E1081" s="186">
        <v>33.799999999999997</v>
      </c>
      <c r="F1081" s="187">
        <v>7.53</v>
      </c>
      <c r="G1081" s="186">
        <v>12.9</v>
      </c>
      <c r="H1081" s="187">
        <v>1.29</v>
      </c>
      <c r="I1081" s="187">
        <v>2.0699999999999998</v>
      </c>
      <c r="J1081" s="187">
        <v>2.67</v>
      </c>
      <c r="K1081" s="187">
        <v>3.11</v>
      </c>
      <c r="L1081" s="185" t="s">
        <v>8</v>
      </c>
      <c r="M1081" s="185">
        <v>106</v>
      </c>
      <c r="N1081" s="186">
        <v>39.4</v>
      </c>
      <c r="O1081" s="186">
        <v>18.5</v>
      </c>
      <c r="P1081" s="187">
        <v>1.77</v>
      </c>
      <c r="Q1081" s="185">
        <v>371</v>
      </c>
      <c r="R1081" s="186">
        <v>88.4</v>
      </c>
      <c r="S1081" s="186">
        <v>57.5</v>
      </c>
      <c r="T1081" s="187">
        <v>3.31</v>
      </c>
      <c r="U1081" s="186">
        <v>41.6</v>
      </c>
      <c r="V1081" s="185">
        <v>148</v>
      </c>
      <c r="W1081" s="185" t="s">
        <v>8</v>
      </c>
      <c r="X1081" s="185" t="s">
        <v>8</v>
      </c>
      <c r="Y1081" s="187">
        <v>3.83</v>
      </c>
      <c r="Z1081" s="190">
        <v>0.95799999999999996</v>
      </c>
      <c r="AA1081" s="14" t="str">
        <f t="shared" si="52"/>
        <v>WT</v>
      </c>
      <c r="AB1081" s="14">
        <v>1.82</v>
      </c>
      <c r="AC1081" s="14">
        <v>1.31</v>
      </c>
    </row>
    <row r="1082" spans="1:29" s="198" customFormat="1" ht="15" x14ac:dyDescent="0.25">
      <c r="A1082" s="185" t="s">
        <v>1313</v>
      </c>
      <c r="B1082" s="185" t="s">
        <v>1532</v>
      </c>
      <c r="C1082" s="185" t="s">
        <v>618</v>
      </c>
      <c r="D1082" s="185">
        <v>105</v>
      </c>
      <c r="E1082" s="186">
        <v>30.9</v>
      </c>
      <c r="F1082" s="187">
        <v>7.36</v>
      </c>
      <c r="G1082" s="186">
        <v>12.8</v>
      </c>
      <c r="H1082" s="187">
        <v>1.18</v>
      </c>
      <c r="I1082" s="187">
        <v>1.9</v>
      </c>
      <c r="J1082" s="187">
        <v>2.5</v>
      </c>
      <c r="K1082" s="187">
        <v>3.37</v>
      </c>
      <c r="L1082" s="185" t="s">
        <v>8</v>
      </c>
      <c r="M1082" s="186">
        <v>92.1</v>
      </c>
      <c r="N1082" s="186">
        <v>34.5</v>
      </c>
      <c r="O1082" s="186">
        <v>16.399999999999999</v>
      </c>
      <c r="P1082" s="187">
        <v>1.73</v>
      </c>
      <c r="Q1082" s="185">
        <v>332</v>
      </c>
      <c r="R1082" s="186">
        <v>79.7</v>
      </c>
      <c r="S1082" s="186">
        <v>51.9</v>
      </c>
      <c r="T1082" s="187">
        <v>3.28</v>
      </c>
      <c r="U1082" s="186">
        <v>32.1</v>
      </c>
      <c r="V1082" s="185">
        <v>112</v>
      </c>
      <c r="W1082" s="185" t="s">
        <v>8</v>
      </c>
      <c r="X1082" s="185" t="s">
        <v>8</v>
      </c>
      <c r="Y1082" s="187">
        <v>3.79</v>
      </c>
      <c r="Z1082" s="190">
        <v>0.95799999999999996</v>
      </c>
      <c r="AA1082" s="14" t="str">
        <f t="shared" si="52"/>
        <v>WT</v>
      </c>
      <c r="AB1082" s="14">
        <v>1.72</v>
      </c>
      <c r="AC1082" s="14">
        <v>1.21</v>
      </c>
    </row>
    <row r="1083" spans="1:29" s="198" customFormat="1" ht="15" x14ac:dyDescent="0.25">
      <c r="A1083" s="185" t="s">
        <v>1313</v>
      </c>
      <c r="B1083" s="185" t="s">
        <v>1533</v>
      </c>
      <c r="C1083" s="185" t="s">
        <v>618</v>
      </c>
      <c r="D1083" s="186">
        <v>95</v>
      </c>
      <c r="E1083" s="186">
        <v>28</v>
      </c>
      <c r="F1083" s="187">
        <v>7.19</v>
      </c>
      <c r="G1083" s="186">
        <v>12.7</v>
      </c>
      <c r="H1083" s="187">
        <v>1.06</v>
      </c>
      <c r="I1083" s="187">
        <v>1.74</v>
      </c>
      <c r="J1083" s="187">
        <v>2.33</v>
      </c>
      <c r="K1083" s="187">
        <v>3.65</v>
      </c>
      <c r="L1083" s="185" t="s">
        <v>8</v>
      </c>
      <c r="M1083" s="186">
        <v>79</v>
      </c>
      <c r="N1083" s="186">
        <v>29.8</v>
      </c>
      <c r="O1083" s="186">
        <v>14.2</v>
      </c>
      <c r="P1083" s="187">
        <v>1.68</v>
      </c>
      <c r="Q1083" s="185">
        <v>295</v>
      </c>
      <c r="R1083" s="186">
        <v>71.2</v>
      </c>
      <c r="S1083" s="186">
        <v>46.5</v>
      </c>
      <c r="T1083" s="187">
        <v>3.25</v>
      </c>
      <c r="U1083" s="186">
        <v>24.3</v>
      </c>
      <c r="V1083" s="186">
        <v>82.1</v>
      </c>
      <c r="W1083" s="185" t="s">
        <v>8</v>
      </c>
      <c r="X1083" s="185" t="s">
        <v>8</v>
      </c>
      <c r="Y1083" s="187">
        <v>3.73</v>
      </c>
      <c r="Z1083" s="190">
        <v>0.96</v>
      </c>
      <c r="AA1083" s="14" t="str">
        <f t="shared" si="52"/>
        <v>WT</v>
      </c>
      <c r="AB1083" s="14">
        <v>1.62</v>
      </c>
      <c r="AC1083" s="14">
        <v>1.1000000000000001</v>
      </c>
    </row>
    <row r="1084" spans="1:29" s="198" customFormat="1" ht="15" x14ac:dyDescent="0.25">
      <c r="A1084" s="185" t="s">
        <v>1313</v>
      </c>
      <c r="B1084" s="185" t="s">
        <v>1534</v>
      </c>
      <c r="C1084" s="185" t="s">
        <v>618</v>
      </c>
      <c r="D1084" s="186">
        <v>85</v>
      </c>
      <c r="E1084" s="186">
        <v>25</v>
      </c>
      <c r="F1084" s="187">
        <v>7.02</v>
      </c>
      <c r="G1084" s="186">
        <v>12.6</v>
      </c>
      <c r="H1084" s="190">
        <v>0.96</v>
      </c>
      <c r="I1084" s="187">
        <v>1.56</v>
      </c>
      <c r="J1084" s="187">
        <v>2.16</v>
      </c>
      <c r="K1084" s="187">
        <v>4.03</v>
      </c>
      <c r="L1084" s="185" t="s">
        <v>8</v>
      </c>
      <c r="M1084" s="186">
        <v>67.8</v>
      </c>
      <c r="N1084" s="186">
        <v>25.6</v>
      </c>
      <c r="O1084" s="186">
        <v>12.3</v>
      </c>
      <c r="P1084" s="187">
        <v>1.65</v>
      </c>
      <c r="Q1084" s="185">
        <v>259</v>
      </c>
      <c r="R1084" s="186">
        <v>62.9</v>
      </c>
      <c r="S1084" s="186">
        <v>41.2</v>
      </c>
      <c r="T1084" s="187">
        <v>3.22</v>
      </c>
      <c r="U1084" s="186">
        <v>17.7</v>
      </c>
      <c r="V1084" s="186">
        <v>58.3</v>
      </c>
      <c r="W1084" s="185" t="s">
        <v>8</v>
      </c>
      <c r="X1084" s="185" t="s">
        <v>8</v>
      </c>
      <c r="Y1084" s="187">
        <v>3.69</v>
      </c>
      <c r="Z1084" s="190">
        <v>0.96</v>
      </c>
      <c r="AA1084" s="14" t="str">
        <f t="shared" si="52"/>
        <v>WT</v>
      </c>
      <c r="AB1084" s="14">
        <v>1.52</v>
      </c>
      <c r="AC1084" s="14">
        <v>0.99399999999999999</v>
      </c>
    </row>
    <row r="1085" spans="1:29" s="198" customFormat="1" ht="15" x14ac:dyDescent="0.25">
      <c r="A1085" s="185" t="s">
        <v>1313</v>
      </c>
      <c r="B1085" s="185" t="s">
        <v>1535</v>
      </c>
      <c r="C1085" s="185" t="s">
        <v>618</v>
      </c>
      <c r="D1085" s="186">
        <v>76</v>
      </c>
      <c r="E1085" s="186">
        <v>22.4</v>
      </c>
      <c r="F1085" s="187">
        <v>6.86</v>
      </c>
      <c r="G1085" s="186">
        <v>12.5</v>
      </c>
      <c r="H1085" s="190">
        <v>0.87</v>
      </c>
      <c r="I1085" s="187">
        <v>1.4</v>
      </c>
      <c r="J1085" s="187">
        <v>2</v>
      </c>
      <c r="K1085" s="187">
        <v>4.46</v>
      </c>
      <c r="L1085" s="185" t="s">
        <v>8</v>
      </c>
      <c r="M1085" s="186">
        <v>58.5</v>
      </c>
      <c r="N1085" s="186">
        <v>22</v>
      </c>
      <c r="O1085" s="186">
        <v>10.8</v>
      </c>
      <c r="P1085" s="187">
        <v>1.62</v>
      </c>
      <c r="Q1085" s="185">
        <v>227</v>
      </c>
      <c r="R1085" s="186">
        <v>55.6</v>
      </c>
      <c r="S1085" s="186">
        <v>36.4</v>
      </c>
      <c r="T1085" s="187">
        <v>3.19</v>
      </c>
      <c r="U1085" s="186">
        <v>12.8</v>
      </c>
      <c r="V1085" s="186">
        <v>41.3</v>
      </c>
      <c r="W1085" s="185" t="s">
        <v>8</v>
      </c>
      <c r="X1085" s="185" t="s">
        <v>8</v>
      </c>
      <c r="Y1085" s="187">
        <v>3.65</v>
      </c>
      <c r="Z1085" s="190">
        <v>0.96</v>
      </c>
      <c r="AA1085" s="14" t="str">
        <f t="shared" si="52"/>
        <v>WT</v>
      </c>
      <c r="AB1085" s="14">
        <v>1.43</v>
      </c>
      <c r="AC1085" s="14">
        <v>0.89600000000000002</v>
      </c>
    </row>
    <row r="1086" spans="1:29" s="198" customFormat="1" ht="15" x14ac:dyDescent="0.25">
      <c r="A1086" s="185" t="s">
        <v>1313</v>
      </c>
      <c r="B1086" s="185" t="s">
        <v>1536</v>
      </c>
      <c r="C1086" s="185" t="s">
        <v>618</v>
      </c>
      <c r="D1086" s="186">
        <v>68</v>
      </c>
      <c r="E1086" s="186">
        <v>20</v>
      </c>
      <c r="F1086" s="187">
        <v>6.71</v>
      </c>
      <c r="G1086" s="186">
        <v>12.4</v>
      </c>
      <c r="H1086" s="190">
        <v>0.79</v>
      </c>
      <c r="I1086" s="187">
        <v>1.25</v>
      </c>
      <c r="J1086" s="187">
        <v>1.85</v>
      </c>
      <c r="K1086" s="187">
        <v>4.96</v>
      </c>
      <c r="L1086" s="185" t="s">
        <v>8</v>
      </c>
      <c r="M1086" s="186">
        <v>50.6</v>
      </c>
      <c r="N1086" s="186">
        <v>19</v>
      </c>
      <c r="O1086" s="187">
        <v>9.4600000000000009</v>
      </c>
      <c r="P1086" s="187">
        <v>1.59</v>
      </c>
      <c r="Q1086" s="185">
        <v>199</v>
      </c>
      <c r="R1086" s="186">
        <v>48.9</v>
      </c>
      <c r="S1086" s="186">
        <v>32.1</v>
      </c>
      <c r="T1086" s="187">
        <v>3.16</v>
      </c>
      <c r="U1086" s="187">
        <v>9.2100000000000009</v>
      </c>
      <c r="V1086" s="186">
        <v>28.9</v>
      </c>
      <c r="W1086" s="185" t="s">
        <v>8</v>
      </c>
      <c r="X1086" s="185" t="s">
        <v>8</v>
      </c>
      <c r="Y1086" s="187">
        <v>3.61</v>
      </c>
      <c r="Z1086" s="190">
        <v>0.95899999999999996</v>
      </c>
      <c r="AA1086" s="14" t="str">
        <f t="shared" si="52"/>
        <v>WT</v>
      </c>
      <c r="AB1086" s="14">
        <v>1.35</v>
      </c>
      <c r="AC1086" s="14">
        <v>0.80500000000000005</v>
      </c>
    </row>
    <row r="1087" spans="1:29" s="198" customFormat="1" ht="15" x14ac:dyDescent="0.25">
      <c r="A1087" s="185" t="s">
        <v>1313</v>
      </c>
      <c r="B1087" s="185" t="s">
        <v>1537</v>
      </c>
      <c r="C1087" s="185" t="s">
        <v>618</v>
      </c>
      <c r="D1087" s="186">
        <v>60</v>
      </c>
      <c r="E1087" s="186">
        <v>17.600000000000001</v>
      </c>
      <c r="F1087" s="187">
        <v>6.56</v>
      </c>
      <c r="G1087" s="186">
        <v>12.3</v>
      </c>
      <c r="H1087" s="190">
        <v>0.71</v>
      </c>
      <c r="I1087" s="187">
        <v>1.1100000000000001</v>
      </c>
      <c r="J1087" s="187">
        <v>1.7</v>
      </c>
      <c r="K1087" s="187">
        <v>5.57</v>
      </c>
      <c r="L1087" s="185" t="s">
        <v>8</v>
      </c>
      <c r="M1087" s="186">
        <v>43.4</v>
      </c>
      <c r="N1087" s="186">
        <v>16.2</v>
      </c>
      <c r="O1087" s="187">
        <v>8.2200000000000006</v>
      </c>
      <c r="P1087" s="187">
        <v>1.57</v>
      </c>
      <c r="Q1087" s="185">
        <v>172</v>
      </c>
      <c r="R1087" s="186">
        <v>42.7</v>
      </c>
      <c r="S1087" s="186">
        <v>28</v>
      </c>
      <c r="T1087" s="187">
        <v>3.13</v>
      </c>
      <c r="U1087" s="187">
        <v>6.42</v>
      </c>
      <c r="V1087" s="186">
        <v>19.7</v>
      </c>
      <c r="W1087" s="185" t="s">
        <v>8</v>
      </c>
      <c r="X1087" s="185" t="s">
        <v>8</v>
      </c>
      <c r="Y1087" s="187">
        <v>3.57</v>
      </c>
      <c r="Z1087" s="190">
        <v>0.95899999999999996</v>
      </c>
      <c r="AA1087" s="14" t="str">
        <f t="shared" si="52"/>
        <v>WT</v>
      </c>
      <c r="AB1087" s="14">
        <v>1.28</v>
      </c>
      <c r="AC1087" s="14">
        <v>0.71599999999999997</v>
      </c>
    </row>
    <row r="1088" spans="1:29" s="198" customFormat="1" ht="15" x14ac:dyDescent="0.25">
      <c r="A1088" s="185" t="s">
        <v>1313</v>
      </c>
      <c r="B1088" s="185" t="s">
        <v>1538</v>
      </c>
      <c r="C1088" s="185" t="s">
        <v>618</v>
      </c>
      <c r="D1088" s="186">
        <v>53</v>
      </c>
      <c r="E1088" s="186">
        <v>15.6</v>
      </c>
      <c r="F1088" s="187">
        <v>6.45</v>
      </c>
      <c r="G1088" s="186">
        <v>12.2</v>
      </c>
      <c r="H1088" s="190">
        <v>0.61</v>
      </c>
      <c r="I1088" s="190">
        <v>0.99</v>
      </c>
      <c r="J1088" s="187">
        <v>1.59</v>
      </c>
      <c r="K1088" s="187">
        <v>6.17</v>
      </c>
      <c r="L1088" s="185" t="s">
        <v>8</v>
      </c>
      <c r="M1088" s="186">
        <v>36.299999999999997</v>
      </c>
      <c r="N1088" s="186">
        <v>13.6</v>
      </c>
      <c r="O1088" s="187">
        <v>6.92</v>
      </c>
      <c r="P1088" s="187">
        <v>1.53</v>
      </c>
      <c r="Q1088" s="185">
        <v>151</v>
      </c>
      <c r="R1088" s="186">
        <v>37.5</v>
      </c>
      <c r="S1088" s="186">
        <v>24.7</v>
      </c>
      <c r="T1088" s="187">
        <v>3.11</v>
      </c>
      <c r="U1088" s="187">
        <v>4.55</v>
      </c>
      <c r="V1088" s="186">
        <v>13.6</v>
      </c>
      <c r="W1088" s="185" t="s">
        <v>8</v>
      </c>
      <c r="X1088" s="185" t="s">
        <v>8</v>
      </c>
      <c r="Y1088" s="187">
        <v>3.53</v>
      </c>
      <c r="Z1088" s="190">
        <v>0.96099999999999997</v>
      </c>
      <c r="AA1088" s="14" t="str">
        <f t="shared" si="52"/>
        <v>WT</v>
      </c>
      <c r="AB1088" s="14">
        <v>1.19</v>
      </c>
      <c r="AC1088" s="14">
        <v>0.63700000000000001</v>
      </c>
    </row>
    <row r="1089" spans="1:29" s="198" customFormat="1" ht="15" x14ac:dyDescent="0.25">
      <c r="A1089" s="185" t="s">
        <v>1313</v>
      </c>
      <c r="B1089" s="185" t="s">
        <v>1539</v>
      </c>
      <c r="C1089" s="185" t="s">
        <v>618</v>
      </c>
      <c r="D1089" s="186">
        <v>48</v>
      </c>
      <c r="E1089" s="186">
        <v>14.1</v>
      </c>
      <c r="F1089" s="187">
        <v>6.36</v>
      </c>
      <c r="G1089" s="186">
        <v>12.2</v>
      </c>
      <c r="H1089" s="190">
        <v>0.55000000000000004</v>
      </c>
      <c r="I1089" s="190">
        <v>0.9</v>
      </c>
      <c r="J1089" s="187">
        <v>1.5</v>
      </c>
      <c r="K1089" s="187">
        <v>6.76</v>
      </c>
      <c r="L1089" s="185" t="s">
        <v>8</v>
      </c>
      <c r="M1089" s="186">
        <v>32</v>
      </c>
      <c r="N1089" s="186">
        <v>11.9</v>
      </c>
      <c r="O1089" s="187">
        <v>6.12</v>
      </c>
      <c r="P1089" s="187">
        <v>1.51</v>
      </c>
      <c r="Q1089" s="185">
        <v>135</v>
      </c>
      <c r="R1089" s="186">
        <v>33.700000000000003</v>
      </c>
      <c r="S1089" s="186">
        <v>22.2</v>
      </c>
      <c r="T1089" s="187">
        <v>3.09</v>
      </c>
      <c r="U1089" s="187">
        <v>3.42</v>
      </c>
      <c r="V1089" s="186">
        <v>10.1</v>
      </c>
      <c r="W1089" s="185" t="s">
        <v>8</v>
      </c>
      <c r="X1089" s="185" t="s">
        <v>8</v>
      </c>
      <c r="Y1089" s="187">
        <v>3.51</v>
      </c>
      <c r="Z1089" s="190">
        <v>0.96199999999999997</v>
      </c>
      <c r="AA1089" s="14" t="str">
        <f t="shared" si="52"/>
        <v>WT</v>
      </c>
      <c r="AB1089" s="14">
        <v>1.1299999999999999</v>
      </c>
      <c r="AC1089" s="14">
        <v>0.57999999999999996</v>
      </c>
    </row>
    <row r="1090" spans="1:29" s="198" customFormat="1" ht="15" x14ac:dyDescent="0.25">
      <c r="A1090" s="185" t="s">
        <v>1313</v>
      </c>
      <c r="B1090" s="185" t="s">
        <v>1540</v>
      </c>
      <c r="C1090" s="185" t="s">
        <v>618</v>
      </c>
      <c r="D1090" s="186">
        <v>43.5</v>
      </c>
      <c r="E1090" s="186">
        <v>12.8</v>
      </c>
      <c r="F1090" s="187">
        <v>6.27</v>
      </c>
      <c r="G1090" s="186">
        <v>12.1</v>
      </c>
      <c r="H1090" s="190">
        <v>0.51500000000000001</v>
      </c>
      <c r="I1090" s="190">
        <v>0.81</v>
      </c>
      <c r="J1090" s="187">
        <v>1.41</v>
      </c>
      <c r="K1090" s="187">
        <v>7.48</v>
      </c>
      <c r="L1090" s="185" t="s">
        <v>8</v>
      </c>
      <c r="M1090" s="186">
        <v>28.9</v>
      </c>
      <c r="N1090" s="186">
        <v>10.7</v>
      </c>
      <c r="O1090" s="187">
        <v>5.6</v>
      </c>
      <c r="P1090" s="187">
        <v>1.5</v>
      </c>
      <c r="Q1090" s="185">
        <v>120</v>
      </c>
      <c r="R1090" s="186">
        <v>30.2</v>
      </c>
      <c r="S1090" s="186">
        <v>19.899999999999999</v>
      </c>
      <c r="T1090" s="187">
        <v>3.07</v>
      </c>
      <c r="U1090" s="187">
        <v>2.54</v>
      </c>
      <c r="V1090" s="187">
        <v>7.34</v>
      </c>
      <c r="W1090" s="185" t="s">
        <v>8</v>
      </c>
      <c r="X1090" s="185" t="s">
        <v>8</v>
      </c>
      <c r="Y1090" s="187">
        <v>3.49</v>
      </c>
      <c r="Z1090" s="190">
        <v>0.96</v>
      </c>
      <c r="AA1090" s="14" t="str">
        <f t="shared" si="52"/>
        <v>WT</v>
      </c>
      <c r="AB1090" s="14">
        <v>1.1000000000000001</v>
      </c>
      <c r="AC1090" s="14">
        <v>0.52700000000000002</v>
      </c>
    </row>
    <row r="1091" spans="1:29" s="198" customFormat="1" ht="15" x14ac:dyDescent="0.25">
      <c r="A1091" s="185" t="s">
        <v>1313</v>
      </c>
      <c r="B1091" s="185" t="s">
        <v>1541</v>
      </c>
      <c r="C1091" s="185" t="s">
        <v>618</v>
      </c>
      <c r="D1091" s="186">
        <v>39.5</v>
      </c>
      <c r="E1091" s="186">
        <v>11.6</v>
      </c>
      <c r="F1091" s="187">
        <v>6.19</v>
      </c>
      <c r="G1091" s="186">
        <v>12.1</v>
      </c>
      <c r="H1091" s="190">
        <v>0.47</v>
      </c>
      <c r="I1091" s="190">
        <v>0.73499999999999999</v>
      </c>
      <c r="J1091" s="187">
        <v>1.33</v>
      </c>
      <c r="K1091" s="187">
        <v>8.2200000000000006</v>
      </c>
      <c r="L1091" s="185" t="s">
        <v>8</v>
      </c>
      <c r="M1091" s="186">
        <v>25.8</v>
      </c>
      <c r="N1091" s="187">
        <v>9.49</v>
      </c>
      <c r="O1091" s="187">
        <v>5.03</v>
      </c>
      <c r="P1091" s="187">
        <v>1.49</v>
      </c>
      <c r="Q1091" s="185">
        <v>108</v>
      </c>
      <c r="R1091" s="186">
        <v>27.1</v>
      </c>
      <c r="S1091" s="186">
        <v>17.899999999999999</v>
      </c>
      <c r="T1091" s="187">
        <v>3.05</v>
      </c>
      <c r="U1091" s="187">
        <v>1.91</v>
      </c>
      <c r="V1091" s="187">
        <v>5.43</v>
      </c>
      <c r="W1091" s="185" t="s">
        <v>8</v>
      </c>
      <c r="X1091" s="185" t="s">
        <v>8</v>
      </c>
      <c r="Y1091" s="187">
        <v>3.47</v>
      </c>
      <c r="Z1091" s="190">
        <v>0.96</v>
      </c>
      <c r="AA1091" s="14" t="str">
        <f t="shared" si="52"/>
        <v>WT</v>
      </c>
      <c r="AB1091" s="14">
        <v>1.06</v>
      </c>
      <c r="AC1091" s="14">
        <v>0.48</v>
      </c>
    </row>
    <row r="1092" spans="1:29" s="198" customFormat="1" ht="15" x14ac:dyDescent="0.25">
      <c r="A1092" s="185" t="s">
        <v>1313</v>
      </c>
      <c r="B1092" s="185" t="s">
        <v>1542</v>
      </c>
      <c r="C1092" s="185" t="s">
        <v>618</v>
      </c>
      <c r="D1092" s="186">
        <v>36</v>
      </c>
      <c r="E1092" s="186">
        <v>10.6</v>
      </c>
      <c r="F1092" s="187">
        <v>6.13</v>
      </c>
      <c r="G1092" s="186">
        <v>12</v>
      </c>
      <c r="H1092" s="190">
        <v>0.43</v>
      </c>
      <c r="I1092" s="190">
        <v>0.67</v>
      </c>
      <c r="J1092" s="187">
        <v>1.27</v>
      </c>
      <c r="K1092" s="187">
        <v>8.99</v>
      </c>
      <c r="L1092" s="185" t="s">
        <v>8</v>
      </c>
      <c r="M1092" s="186">
        <v>23.2</v>
      </c>
      <c r="N1092" s="187">
        <v>8.48</v>
      </c>
      <c r="O1092" s="187">
        <v>4.54</v>
      </c>
      <c r="P1092" s="187">
        <v>1.48</v>
      </c>
      <c r="Q1092" s="186">
        <v>97.5</v>
      </c>
      <c r="R1092" s="186">
        <v>24.6</v>
      </c>
      <c r="S1092" s="186">
        <v>16.2</v>
      </c>
      <c r="T1092" s="187">
        <v>3.04</v>
      </c>
      <c r="U1092" s="187">
        <v>1.46</v>
      </c>
      <c r="V1092" s="187">
        <v>4.07</v>
      </c>
      <c r="W1092" s="185" t="s">
        <v>8</v>
      </c>
      <c r="X1092" s="185" t="s">
        <v>8</v>
      </c>
      <c r="Y1092" s="187">
        <v>3.45</v>
      </c>
      <c r="Z1092" s="190">
        <v>0.96</v>
      </c>
      <c r="AA1092" s="14" t="str">
        <f t="shared" si="52"/>
        <v>WT</v>
      </c>
      <c r="AB1092" s="14">
        <v>1.02</v>
      </c>
      <c r="AC1092" s="14">
        <v>0.439</v>
      </c>
    </row>
    <row r="1093" spans="1:29" s="198" customFormat="1" ht="15" x14ac:dyDescent="0.25">
      <c r="A1093" s="185" t="s">
        <v>1313</v>
      </c>
      <c r="B1093" s="185" t="s">
        <v>1543</v>
      </c>
      <c r="C1093" s="185" t="s">
        <v>618</v>
      </c>
      <c r="D1093" s="186">
        <v>32.5</v>
      </c>
      <c r="E1093" s="187">
        <v>9.5399999999999991</v>
      </c>
      <c r="F1093" s="187">
        <v>6.06</v>
      </c>
      <c r="G1093" s="186">
        <v>12</v>
      </c>
      <c r="H1093" s="190">
        <v>0.39</v>
      </c>
      <c r="I1093" s="190">
        <v>0.60499999999999998</v>
      </c>
      <c r="J1093" s="187">
        <v>1.2</v>
      </c>
      <c r="K1093" s="187">
        <v>9.92</v>
      </c>
      <c r="L1093" s="185" t="s">
        <v>8</v>
      </c>
      <c r="M1093" s="186">
        <v>20.6</v>
      </c>
      <c r="N1093" s="187">
        <v>7.5</v>
      </c>
      <c r="O1093" s="187">
        <v>4.0599999999999996</v>
      </c>
      <c r="P1093" s="187">
        <v>1.47</v>
      </c>
      <c r="Q1093" s="186">
        <v>87.2</v>
      </c>
      <c r="R1093" s="186">
        <v>22</v>
      </c>
      <c r="S1093" s="186">
        <v>14.5</v>
      </c>
      <c r="T1093" s="187">
        <v>3.02</v>
      </c>
      <c r="U1093" s="187">
        <v>1.0900000000000001</v>
      </c>
      <c r="V1093" s="187">
        <v>2.97</v>
      </c>
      <c r="W1093" s="185" t="s">
        <v>8</v>
      </c>
      <c r="X1093" s="185" t="s">
        <v>8</v>
      </c>
      <c r="Y1093" s="187">
        <v>3.43</v>
      </c>
      <c r="Z1093" s="190">
        <v>0.96</v>
      </c>
      <c r="AA1093" s="14" t="str">
        <f t="shared" si="52"/>
        <v>WT</v>
      </c>
      <c r="AB1093" s="14">
        <v>0.98499999999999999</v>
      </c>
      <c r="AC1093" s="14">
        <v>0.39800000000000002</v>
      </c>
    </row>
    <row r="1094" spans="1:29" s="198" customFormat="1" ht="15" x14ac:dyDescent="0.25">
      <c r="A1094" s="185" t="s">
        <v>1313</v>
      </c>
      <c r="B1094" s="185" t="s">
        <v>1544</v>
      </c>
      <c r="C1094" s="185" t="s">
        <v>618</v>
      </c>
      <c r="D1094" s="186">
        <v>29</v>
      </c>
      <c r="E1094" s="187">
        <v>8.52</v>
      </c>
      <c r="F1094" s="187">
        <v>6.1</v>
      </c>
      <c r="G1094" s="186">
        <v>10</v>
      </c>
      <c r="H1094" s="190">
        <v>0.36</v>
      </c>
      <c r="I1094" s="190">
        <v>0.64</v>
      </c>
      <c r="J1094" s="187">
        <v>1.24</v>
      </c>
      <c r="K1094" s="187">
        <v>7.82</v>
      </c>
      <c r="L1094" s="185" t="s">
        <v>8</v>
      </c>
      <c r="M1094" s="186">
        <v>19.100000000000001</v>
      </c>
      <c r="N1094" s="187">
        <v>6.97</v>
      </c>
      <c r="O1094" s="187">
        <v>3.76</v>
      </c>
      <c r="P1094" s="187">
        <v>1.5</v>
      </c>
      <c r="Q1094" s="186">
        <v>53.5</v>
      </c>
      <c r="R1094" s="186">
        <v>16.2</v>
      </c>
      <c r="S1094" s="186">
        <v>10.7</v>
      </c>
      <c r="T1094" s="187">
        <v>2.5099999999999998</v>
      </c>
      <c r="U1094" s="187">
        <v>1.05</v>
      </c>
      <c r="V1094" s="187">
        <v>2.08</v>
      </c>
      <c r="W1094" s="185" t="s">
        <v>8</v>
      </c>
      <c r="X1094" s="185" t="s">
        <v>8</v>
      </c>
      <c r="Y1094" s="187">
        <v>3</v>
      </c>
      <c r="Z1094" s="190">
        <v>0.94399999999999995</v>
      </c>
      <c r="AA1094" s="14" t="str">
        <f t="shared" si="52"/>
        <v>WT</v>
      </c>
      <c r="AB1094" s="14">
        <v>1.03</v>
      </c>
      <c r="AC1094" s="14">
        <v>0.42599999999999999</v>
      </c>
    </row>
    <row r="1095" spans="1:29" s="198" customFormat="1" ht="15" x14ac:dyDescent="0.25">
      <c r="A1095" s="185" t="s">
        <v>1313</v>
      </c>
      <c r="B1095" s="185" t="s">
        <v>1545</v>
      </c>
      <c r="C1095" s="185" t="s">
        <v>618</v>
      </c>
      <c r="D1095" s="186">
        <v>26.5</v>
      </c>
      <c r="E1095" s="187">
        <v>7.78</v>
      </c>
      <c r="F1095" s="187">
        <v>6.03</v>
      </c>
      <c r="G1095" s="186">
        <v>10</v>
      </c>
      <c r="H1095" s="190">
        <v>0.34499999999999997</v>
      </c>
      <c r="I1095" s="190">
        <v>0.57499999999999996</v>
      </c>
      <c r="J1095" s="187">
        <v>1.18</v>
      </c>
      <c r="K1095" s="187">
        <v>8.69</v>
      </c>
      <c r="L1095" s="185" t="s">
        <v>8</v>
      </c>
      <c r="M1095" s="186">
        <v>17.7</v>
      </c>
      <c r="N1095" s="187">
        <v>6.46</v>
      </c>
      <c r="O1095" s="187">
        <v>3.54</v>
      </c>
      <c r="P1095" s="187">
        <v>1.51</v>
      </c>
      <c r="Q1095" s="186">
        <v>47.9</v>
      </c>
      <c r="R1095" s="186">
        <v>14.5</v>
      </c>
      <c r="S1095" s="187">
        <v>9.58</v>
      </c>
      <c r="T1095" s="187">
        <v>2.48</v>
      </c>
      <c r="U1095" s="190">
        <v>0.78800000000000003</v>
      </c>
      <c r="V1095" s="187">
        <v>1.53</v>
      </c>
      <c r="W1095" s="185" t="s">
        <v>8</v>
      </c>
      <c r="X1095" s="185" t="s">
        <v>8</v>
      </c>
      <c r="Y1095" s="187">
        <v>3</v>
      </c>
      <c r="Z1095" s="190">
        <v>0.93899999999999995</v>
      </c>
      <c r="AA1095" s="14" t="str">
        <f t="shared" si="52"/>
        <v>WT</v>
      </c>
      <c r="AB1095" s="14">
        <v>1.02</v>
      </c>
      <c r="AC1095" s="14">
        <v>0.38900000000000001</v>
      </c>
    </row>
    <row r="1096" spans="1:29" s="198" customFormat="1" ht="15" x14ac:dyDescent="0.25">
      <c r="A1096" s="185" t="s">
        <v>1313</v>
      </c>
      <c r="B1096" s="185" t="s">
        <v>1546</v>
      </c>
      <c r="C1096" s="185" t="s">
        <v>618</v>
      </c>
      <c r="D1096" s="186">
        <v>25</v>
      </c>
      <c r="E1096" s="187">
        <v>7.3</v>
      </c>
      <c r="F1096" s="187">
        <v>6.1</v>
      </c>
      <c r="G1096" s="187">
        <v>8.08</v>
      </c>
      <c r="H1096" s="190">
        <v>0.37</v>
      </c>
      <c r="I1096" s="190">
        <v>0.64</v>
      </c>
      <c r="J1096" s="187">
        <v>1.1399999999999999</v>
      </c>
      <c r="K1096" s="187">
        <v>6.31</v>
      </c>
      <c r="L1096" s="185" t="s">
        <v>8</v>
      </c>
      <c r="M1096" s="186">
        <v>18.7</v>
      </c>
      <c r="N1096" s="187">
        <v>6.88</v>
      </c>
      <c r="O1096" s="187">
        <v>3.79</v>
      </c>
      <c r="P1096" s="187">
        <v>1.6</v>
      </c>
      <c r="Q1096" s="186">
        <v>28.2</v>
      </c>
      <c r="R1096" s="186">
        <v>10.6</v>
      </c>
      <c r="S1096" s="187">
        <v>6.97</v>
      </c>
      <c r="T1096" s="187">
        <v>1.96</v>
      </c>
      <c r="U1096" s="190">
        <v>0.85499999999999998</v>
      </c>
      <c r="V1096" s="187">
        <v>1.23</v>
      </c>
      <c r="W1096" s="185" t="s">
        <v>8</v>
      </c>
      <c r="X1096" s="185" t="s">
        <v>8</v>
      </c>
      <c r="Y1096" s="187">
        <v>2.67</v>
      </c>
      <c r="Z1096" s="190">
        <v>0.89900000000000002</v>
      </c>
      <c r="AA1096" s="14" t="str">
        <f t="shared" si="52"/>
        <v>WT</v>
      </c>
      <c r="AB1096" s="14">
        <v>1.17</v>
      </c>
      <c r="AC1096" s="14">
        <v>0.45200000000000001</v>
      </c>
    </row>
    <row r="1097" spans="1:29" s="198" customFormat="1" ht="15" x14ac:dyDescent="0.25">
      <c r="A1097" s="185" t="s">
        <v>1313</v>
      </c>
      <c r="B1097" s="185" t="s">
        <v>1547</v>
      </c>
      <c r="C1097" s="185" t="s">
        <v>618</v>
      </c>
      <c r="D1097" s="186">
        <v>22.5</v>
      </c>
      <c r="E1097" s="187">
        <v>6.56</v>
      </c>
      <c r="F1097" s="187">
        <v>6.03</v>
      </c>
      <c r="G1097" s="187">
        <v>8.0500000000000007</v>
      </c>
      <c r="H1097" s="190">
        <v>0.33500000000000002</v>
      </c>
      <c r="I1097" s="190">
        <v>0.57499999999999996</v>
      </c>
      <c r="J1097" s="187">
        <v>1.08</v>
      </c>
      <c r="K1097" s="187">
        <v>7</v>
      </c>
      <c r="L1097" s="185" t="s">
        <v>8</v>
      </c>
      <c r="M1097" s="186">
        <v>16.600000000000001</v>
      </c>
      <c r="N1097" s="187">
        <v>6.1</v>
      </c>
      <c r="O1097" s="187">
        <v>3.39</v>
      </c>
      <c r="P1097" s="187">
        <v>1.59</v>
      </c>
      <c r="Q1097" s="186">
        <v>25</v>
      </c>
      <c r="R1097" s="187">
        <v>9.4700000000000006</v>
      </c>
      <c r="S1097" s="187">
        <v>6.21</v>
      </c>
      <c r="T1097" s="187">
        <v>1.95</v>
      </c>
      <c r="U1097" s="190">
        <v>0.627</v>
      </c>
      <c r="V1097" s="190">
        <v>0.88500000000000001</v>
      </c>
      <c r="W1097" s="185" t="s">
        <v>8</v>
      </c>
      <c r="X1097" s="185" t="s">
        <v>8</v>
      </c>
      <c r="Y1097" s="187">
        <v>2.66</v>
      </c>
      <c r="Z1097" s="190">
        <v>0.89800000000000002</v>
      </c>
      <c r="AA1097" s="14" t="str">
        <f t="shared" si="52"/>
        <v>WT</v>
      </c>
      <c r="AB1097" s="14">
        <v>1.1299999999999999</v>
      </c>
      <c r="AC1097" s="14">
        <v>0.40799999999999997</v>
      </c>
    </row>
    <row r="1098" spans="1:29" s="198" customFormat="1" ht="15" x14ac:dyDescent="0.25">
      <c r="A1098" s="185" t="s">
        <v>1313</v>
      </c>
      <c r="B1098" s="185" t="s">
        <v>1548</v>
      </c>
      <c r="C1098" s="185" t="s">
        <v>618</v>
      </c>
      <c r="D1098" s="186">
        <v>20</v>
      </c>
      <c r="E1098" s="187">
        <v>5.84</v>
      </c>
      <c r="F1098" s="187">
        <v>5.97</v>
      </c>
      <c r="G1098" s="187">
        <v>8.01</v>
      </c>
      <c r="H1098" s="190">
        <v>0.29499999999999998</v>
      </c>
      <c r="I1098" s="190">
        <v>0.51500000000000001</v>
      </c>
      <c r="J1098" s="187">
        <v>1.02</v>
      </c>
      <c r="K1098" s="187">
        <v>7.77</v>
      </c>
      <c r="L1098" s="185" t="s">
        <v>8</v>
      </c>
      <c r="M1098" s="186">
        <v>14.4</v>
      </c>
      <c r="N1098" s="187">
        <v>5.28</v>
      </c>
      <c r="O1098" s="187">
        <v>2.95</v>
      </c>
      <c r="P1098" s="187">
        <v>1.57</v>
      </c>
      <c r="Q1098" s="186">
        <v>22</v>
      </c>
      <c r="R1098" s="187">
        <v>8.3800000000000008</v>
      </c>
      <c r="S1098" s="187">
        <v>5.5</v>
      </c>
      <c r="T1098" s="187">
        <v>1.94</v>
      </c>
      <c r="U1098" s="190">
        <v>0.45200000000000001</v>
      </c>
      <c r="V1098" s="190">
        <v>0.62</v>
      </c>
      <c r="W1098" s="185" t="s">
        <v>8</v>
      </c>
      <c r="X1098" s="185" t="s">
        <v>8</v>
      </c>
      <c r="Y1098" s="187">
        <v>2.63</v>
      </c>
      <c r="Z1098" s="190">
        <v>0.90100000000000002</v>
      </c>
      <c r="AA1098" s="14" t="str">
        <f t="shared" si="52"/>
        <v>WT</v>
      </c>
      <c r="AB1098" s="14">
        <v>1.0900000000000001</v>
      </c>
      <c r="AC1098" s="14">
        <v>0.36499999999999999</v>
      </c>
    </row>
    <row r="1099" spans="1:29" s="198" customFormat="1" ht="15" x14ac:dyDescent="0.25">
      <c r="A1099" s="185" t="s">
        <v>1313</v>
      </c>
      <c r="B1099" s="185" t="s">
        <v>1549</v>
      </c>
      <c r="C1099" s="185" t="s">
        <v>618</v>
      </c>
      <c r="D1099" s="186">
        <v>17.5</v>
      </c>
      <c r="E1099" s="187">
        <v>5.17</v>
      </c>
      <c r="F1099" s="187">
        <v>6.25</v>
      </c>
      <c r="G1099" s="187">
        <v>6.56</v>
      </c>
      <c r="H1099" s="190">
        <v>0.3</v>
      </c>
      <c r="I1099" s="190">
        <v>0.52</v>
      </c>
      <c r="J1099" s="190">
        <v>0.82</v>
      </c>
      <c r="K1099" s="187">
        <v>6.31</v>
      </c>
      <c r="L1099" s="185" t="s">
        <v>8</v>
      </c>
      <c r="M1099" s="186">
        <v>16</v>
      </c>
      <c r="N1099" s="187">
        <v>5.71</v>
      </c>
      <c r="O1099" s="187">
        <v>3.23</v>
      </c>
      <c r="P1099" s="187">
        <v>1.76</v>
      </c>
      <c r="Q1099" s="186">
        <v>12.2</v>
      </c>
      <c r="R1099" s="187">
        <v>5.73</v>
      </c>
      <c r="S1099" s="187">
        <v>3.73</v>
      </c>
      <c r="T1099" s="187">
        <v>1.54</v>
      </c>
      <c r="U1099" s="190">
        <v>0.36899999999999999</v>
      </c>
      <c r="V1099" s="190">
        <v>0.437</v>
      </c>
      <c r="W1099" s="185" t="s">
        <v>8</v>
      </c>
      <c r="X1099" s="185" t="s">
        <v>8</v>
      </c>
      <c r="Y1099" s="187">
        <v>2.56</v>
      </c>
      <c r="Z1099" s="190">
        <v>0.83399999999999996</v>
      </c>
      <c r="AA1099" s="14" t="str">
        <f t="shared" si="52"/>
        <v>WT</v>
      </c>
      <c r="AB1099" s="14">
        <v>1.3</v>
      </c>
      <c r="AC1099" s="14">
        <v>0.39400000000000002</v>
      </c>
    </row>
    <row r="1100" spans="1:29" s="198" customFormat="1" ht="15" x14ac:dyDescent="0.25">
      <c r="A1100" s="185" t="s">
        <v>1313</v>
      </c>
      <c r="B1100" s="185" t="s">
        <v>1550</v>
      </c>
      <c r="C1100" s="185" t="s">
        <v>618</v>
      </c>
      <c r="D1100" s="186">
        <v>15</v>
      </c>
      <c r="E1100" s="187">
        <v>4.4000000000000004</v>
      </c>
      <c r="F1100" s="187">
        <v>6.17</v>
      </c>
      <c r="G1100" s="187">
        <v>6.52</v>
      </c>
      <c r="H1100" s="190">
        <v>0.26</v>
      </c>
      <c r="I1100" s="190">
        <v>0.44</v>
      </c>
      <c r="J1100" s="190">
        <v>0.74</v>
      </c>
      <c r="K1100" s="187">
        <v>7.41</v>
      </c>
      <c r="L1100" s="185" t="s">
        <v>8</v>
      </c>
      <c r="M1100" s="186">
        <v>13.5</v>
      </c>
      <c r="N1100" s="187">
        <v>4.83</v>
      </c>
      <c r="O1100" s="187">
        <v>2.75</v>
      </c>
      <c r="P1100" s="187">
        <v>1.75</v>
      </c>
      <c r="Q1100" s="186">
        <v>10.199999999999999</v>
      </c>
      <c r="R1100" s="187">
        <v>4.78</v>
      </c>
      <c r="S1100" s="187">
        <v>3.12</v>
      </c>
      <c r="T1100" s="187">
        <v>1.52</v>
      </c>
      <c r="U1100" s="190">
        <v>0.22800000000000001</v>
      </c>
      <c r="V1100" s="190">
        <v>0.26700000000000002</v>
      </c>
      <c r="W1100" s="185" t="s">
        <v>8</v>
      </c>
      <c r="X1100" s="185" t="s">
        <v>8</v>
      </c>
      <c r="Y1100" s="187">
        <v>2.54</v>
      </c>
      <c r="Z1100" s="190">
        <v>0.83</v>
      </c>
      <c r="AA1100" s="14" t="str">
        <f t="shared" si="52"/>
        <v>WT</v>
      </c>
      <c r="AB1100" s="14">
        <v>1.27</v>
      </c>
      <c r="AC1100" s="14">
        <v>0.33700000000000002</v>
      </c>
    </row>
    <row r="1101" spans="1:29" s="198" customFormat="1" ht="15" x14ac:dyDescent="0.25">
      <c r="A1101" s="185" t="s">
        <v>1313</v>
      </c>
      <c r="B1101" s="185" t="s">
        <v>1551</v>
      </c>
      <c r="C1101" s="185" t="s">
        <v>618</v>
      </c>
      <c r="D1101" s="186">
        <v>13</v>
      </c>
      <c r="E1101" s="187">
        <v>3.82</v>
      </c>
      <c r="F1101" s="187">
        <v>6.11</v>
      </c>
      <c r="G1101" s="187">
        <v>6.49</v>
      </c>
      <c r="H1101" s="190">
        <v>0.23</v>
      </c>
      <c r="I1101" s="190">
        <v>0.38</v>
      </c>
      <c r="J1101" s="190">
        <v>0.68</v>
      </c>
      <c r="K1101" s="187">
        <v>8.5399999999999991</v>
      </c>
      <c r="L1101" s="185" t="s">
        <v>8</v>
      </c>
      <c r="M1101" s="186">
        <v>11.7</v>
      </c>
      <c r="N1101" s="187">
        <v>4.2</v>
      </c>
      <c r="O1101" s="187">
        <v>2.4</v>
      </c>
      <c r="P1101" s="187">
        <v>1.75</v>
      </c>
      <c r="Q1101" s="187">
        <v>8.66</v>
      </c>
      <c r="R1101" s="187">
        <v>4.08</v>
      </c>
      <c r="S1101" s="187">
        <v>2.67</v>
      </c>
      <c r="T1101" s="187">
        <v>1.51</v>
      </c>
      <c r="U1101" s="190">
        <v>0.15</v>
      </c>
      <c r="V1101" s="190">
        <v>0.17399999999999999</v>
      </c>
      <c r="W1101" s="185" t="s">
        <v>8</v>
      </c>
      <c r="X1101" s="185" t="s">
        <v>8</v>
      </c>
      <c r="Y1101" s="187">
        <v>2.54</v>
      </c>
      <c r="Z1101" s="190">
        <v>0.82699999999999996</v>
      </c>
      <c r="AA1101" s="14" t="str">
        <f t="shared" si="52"/>
        <v>WT</v>
      </c>
      <c r="AB1101" s="14">
        <v>1.25</v>
      </c>
      <c r="AC1101" s="14">
        <v>0.29499999999999998</v>
      </c>
    </row>
    <row r="1102" spans="1:29" s="198" customFormat="1" ht="15" x14ac:dyDescent="0.25">
      <c r="A1102" s="185" t="s">
        <v>1313</v>
      </c>
      <c r="B1102" s="185" t="s">
        <v>1552</v>
      </c>
      <c r="C1102" s="185" t="s">
        <v>618</v>
      </c>
      <c r="D1102" s="186">
        <v>11</v>
      </c>
      <c r="E1102" s="187">
        <v>3.24</v>
      </c>
      <c r="F1102" s="187">
        <v>6.16</v>
      </c>
      <c r="G1102" s="187">
        <v>4.03</v>
      </c>
      <c r="H1102" s="190">
        <v>0.26</v>
      </c>
      <c r="I1102" s="190">
        <v>0.42499999999999999</v>
      </c>
      <c r="J1102" s="190">
        <v>0.72499999999999998</v>
      </c>
      <c r="K1102" s="187">
        <v>4.74</v>
      </c>
      <c r="L1102" s="185" t="s">
        <v>8</v>
      </c>
      <c r="M1102" s="186">
        <v>11.7</v>
      </c>
      <c r="N1102" s="187">
        <v>4.63</v>
      </c>
      <c r="O1102" s="187">
        <v>2.59</v>
      </c>
      <c r="P1102" s="187">
        <v>1.9</v>
      </c>
      <c r="Q1102" s="187">
        <v>2.33</v>
      </c>
      <c r="R1102" s="187">
        <v>1.83</v>
      </c>
      <c r="S1102" s="187">
        <v>1.1499999999999999</v>
      </c>
      <c r="T1102" s="190">
        <v>0.84699999999999998</v>
      </c>
      <c r="U1102" s="190">
        <v>0.14599999999999999</v>
      </c>
      <c r="V1102" s="190">
        <v>0.13700000000000001</v>
      </c>
      <c r="W1102" s="185" t="s">
        <v>8</v>
      </c>
      <c r="X1102" s="185" t="s">
        <v>8</v>
      </c>
      <c r="Y1102" s="187">
        <v>2.52</v>
      </c>
      <c r="Z1102" s="190">
        <v>0.68300000000000005</v>
      </c>
      <c r="AA1102" s="14" t="str">
        <f t="shared" ref="AA1102:AA1146" si="53">A1102</f>
        <v>WT</v>
      </c>
      <c r="AB1102" s="14">
        <v>1.63</v>
      </c>
      <c r="AC1102" s="14">
        <v>0.40200000000000002</v>
      </c>
    </row>
    <row r="1103" spans="1:29" s="198" customFormat="1" ht="15" x14ac:dyDescent="0.25">
      <c r="A1103" s="185" t="s">
        <v>1313</v>
      </c>
      <c r="B1103" s="185" t="s">
        <v>1553</v>
      </c>
      <c r="C1103" s="185" t="s">
        <v>618</v>
      </c>
      <c r="D1103" s="187">
        <v>9.5</v>
      </c>
      <c r="E1103" s="187">
        <v>2.79</v>
      </c>
      <c r="F1103" s="187">
        <v>6.08</v>
      </c>
      <c r="G1103" s="187">
        <v>4.01</v>
      </c>
      <c r="H1103" s="190">
        <v>0.23499999999999999</v>
      </c>
      <c r="I1103" s="190">
        <v>0.35</v>
      </c>
      <c r="J1103" s="190">
        <v>0.65</v>
      </c>
      <c r="K1103" s="187">
        <v>5.72</v>
      </c>
      <c r="L1103" s="185" t="s">
        <v>8</v>
      </c>
      <c r="M1103" s="186">
        <v>10.1</v>
      </c>
      <c r="N1103" s="187">
        <v>4.1100000000000003</v>
      </c>
      <c r="O1103" s="187">
        <v>2.2799999999999998</v>
      </c>
      <c r="P1103" s="187">
        <v>1.9</v>
      </c>
      <c r="Q1103" s="187">
        <v>1.88</v>
      </c>
      <c r="R1103" s="187">
        <v>1.49</v>
      </c>
      <c r="S1103" s="190">
        <v>0.93899999999999995</v>
      </c>
      <c r="T1103" s="190">
        <v>0.82099999999999995</v>
      </c>
      <c r="U1103" s="193">
        <v>8.9899999999999994E-2</v>
      </c>
      <c r="V1103" s="193">
        <v>9.3399999999999997E-2</v>
      </c>
      <c r="W1103" s="185" t="s">
        <v>8</v>
      </c>
      <c r="X1103" s="185" t="s">
        <v>8</v>
      </c>
      <c r="Y1103" s="187">
        <v>2.54</v>
      </c>
      <c r="Z1103" s="190">
        <v>0.66500000000000004</v>
      </c>
      <c r="AA1103" s="14" t="str">
        <f t="shared" si="53"/>
        <v>WT</v>
      </c>
      <c r="AB1103" s="14">
        <v>1.65</v>
      </c>
      <c r="AC1103" s="14">
        <v>0.34799999999999998</v>
      </c>
    </row>
    <row r="1104" spans="1:29" s="198" customFormat="1" ht="15" x14ac:dyDescent="0.25">
      <c r="A1104" s="185" t="s">
        <v>1313</v>
      </c>
      <c r="B1104" s="185" t="s">
        <v>1554</v>
      </c>
      <c r="C1104" s="185" t="s">
        <v>618</v>
      </c>
      <c r="D1104" s="187">
        <v>8</v>
      </c>
      <c r="E1104" s="187">
        <v>2.36</v>
      </c>
      <c r="F1104" s="187">
        <v>6</v>
      </c>
      <c r="G1104" s="187">
        <v>3.99</v>
      </c>
      <c r="H1104" s="190">
        <v>0.22</v>
      </c>
      <c r="I1104" s="190">
        <v>0.26500000000000001</v>
      </c>
      <c r="J1104" s="190">
        <v>0.56499999999999995</v>
      </c>
      <c r="K1104" s="187">
        <v>7.53</v>
      </c>
      <c r="L1104" s="185" t="s">
        <v>8</v>
      </c>
      <c r="M1104" s="187">
        <v>8.6999999999999993</v>
      </c>
      <c r="N1104" s="187">
        <v>3.72</v>
      </c>
      <c r="O1104" s="187">
        <v>2.04</v>
      </c>
      <c r="P1104" s="187">
        <v>1.92</v>
      </c>
      <c r="Q1104" s="187">
        <v>1.41</v>
      </c>
      <c r="R1104" s="187">
        <v>1.1299999999999999</v>
      </c>
      <c r="S1104" s="190">
        <v>0.70599999999999996</v>
      </c>
      <c r="T1104" s="190">
        <v>0.77300000000000002</v>
      </c>
      <c r="U1104" s="193">
        <v>5.11E-2</v>
      </c>
      <c r="V1104" s="193">
        <v>6.7799999999999999E-2</v>
      </c>
      <c r="W1104" s="185" t="s">
        <v>8</v>
      </c>
      <c r="X1104" s="185" t="s">
        <v>8</v>
      </c>
      <c r="Y1104" s="187">
        <v>2.62</v>
      </c>
      <c r="Z1104" s="190">
        <v>0.624</v>
      </c>
      <c r="AA1104" s="14" t="str">
        <f t="shared" si="53"/>
        <v>WT</v>
      </c>
      <c r="AB1104" s="14">
        <v>1.74</v>
      </c>
      <c r="AC1104" s="14">
        <v>0.63900000000000001</v>
      </c>
    </row>
    <row r="1105" spans="1:29" s="198" customFormat="1" ht="15" x14ac:dyDescent="0.25">
      <c r="A1105" s="185" t="s">
        <v>1313</v>
      </c>
      <c r="B1105" s="185" t="s">
        <v>1555</v>
      </c>
      <c r="C1105" s="185" t="s">
        <v>618</v>
      </c>
      <c r="D1105" s="187">
        <v>7</v>
      </c>
      <c r="E1105" s="187">
        <v>2.08</v>
      </c>
      <c r="F1105" s="187">
        <v>5.96</v>
      </c>
      <c r="G1105" s="187">
        <v>3.97</v>
      </c>
      <c r="H1105" s="190">
        <v>0.2</v>
      </c>
      <c r="I1105" s="190">
        <v>0.22500000000000001</v>
      </c>
      <c r="J1105" s="190">
        <v>0.52500000000000002</v>
      </c>
      <c r="K1105" s="187">
        <v>8.82</v>
      </c>
      <c r="L1105" s="185" t="s">
        <v>8</v>
      </c>
      <c r="M1105" s="187">
        <v>7.67</v>
      </c>
      <c r="N1105" s="187">
        <v>3.32</v>
      </c>
      <c r="O1105" s="187">
        <v>1.83</v>
      </c>
      <c r="P1105" s="187">
        <v>1.92</v>
      </c>
      <c r="Q1105" s="187">
        <v>1.18</v>
      </c>
      <c r="R1105" s="190">
        <v>0.94699999999999995</v>
      </c>
      <c r="S1105" s="190">
        <v>0.59299999999999997</v>
      </c>
      <c r="T1105" s="190">
        <v>0.753</v>
      </c>
      <c r="U1105" s="193">
        <v>3.5000000000000003E-2</v>
      </c>
      <c r="V1105" s="193">
        <v>4.9299999999999997E-2</v>
      </c>
      <c r="W1105" s="185" t="s">
        <v>8</v>
      </c>
      <c r="X1105" s="185" t="s">
        <v>8</v>
      </c>
      <c r="Y1105" s="187">
        <v>2.64</v>
      </c>
      <c r="Z1105" s="190">
        <v>0.61099999999999999</v>
      </c>
      <c r="AA1105" s="14" t="str">
        <f t="shared" si="53"/>
        <v>WT</v>
      </c>
      <c r="AB1105" s="14">
        <v>1.76</v>
      </c>
      <c r="AC1105" s="14">
        <v>0.76</v>
      </c>
    </row>
    <row r="1106" spans="1:29" s="198" customFormat="1" ht="15" x14ac:dyDescent="0.25">
      <c r="A1106" s="185" t="s">
        <v>1313</v>
      </c>
      <c r="B1106" s="185" t="s">
        <v>1556</v>
      </c>
      <c r="C1106" s="185" t="s">
        <v>618</v>
      </c>
      <c r="D1106" s="186">
        <v>56</v>
      </c>
      <c r="E1106" s="186">
        <v>16.5</v>
      </c>
      <c r="F1106" s="187">
        <v>5.68</v>
      </c>
      <c r="G1106" s="186">
        <v>10.4</v>
      </c>
      <c r="H1106" s="190">
        <v>0.755</v>
      </c>
      <c r="I1106" s="187">
        <v>1.25</v>
      </c>
      <c r="J1106" s="187">
        <v>1.75</v>
      </c>
      <c r="K1106" s="187">
        <v>4.17</v>
      </c>
      <c r="L1106" s="185" t="s">
        <v>8</v>
      </c>
      <c r="M1106" s="186">
        <v>28.6</v>
      </c>
      <c r="N1106" s="186">
        <v>13.4</v>
      </c>
      <c r="O1106" s="187">
        <v>6.4</v>
      </c>
      <c r="P1106" s="187">
        <v>1.32</v>
      </c>
      <c r="Q1106" s="185">
        <v>118</v>
      </c>
      <c r="R1106" s="186">
        <v>34.6</v>
      </c>
      <c r="S1106" s="186">
        <v>22.6</v>
      </c>
      <c r="T1106" s="187">
        <v>2.67</v>
      </c>
      <c r="U1106" s="187">
        <v>7.5</v>
      </c>
      <c r="V1106" s="186">
        <v>16.899999999999999</v>
      </c>
      <c r="W1106" s="185" t="s">
        <v>8</v>
      </c>
      <c r="X1106" s="185" t="s">
        <v>8</v>
      </c>
      <c r="Y1106" s="187">
        <v>3.04</v>
      </c>
      <c r="Z1106" s="190">
        <v>0.96299999999999997</v>
      </c>
      <c r="AA1106" s="14" t="str">
        <f t="shared" si="53"/>
        <v>WT</v>
      </c>
      <c r="AB1106" s="14">
        <v>1.21</v>
      </c>
      <c r="AC1106" s="14">
        <v>0.79100000000000004</v>
      </c>
    </row>
    <row r="1107" spans="1:29" s="198" customFormat="1" ht="15" x14ac:dyDescent="0.25">
      <c r="A1107" s="185" t="s">
        <v>1313</v>
      </c>
      <c r="B1107" s="185" t="s">
        <v>1557</v>
      </c>
      <c r="C1107" s="185" t="s">
        <v>618</v>
      </c>
      <c r="D1107" s="186">
        <v>50</v>
      </c>
      <c r="E1107" s="186">
        <v>14.7</v>
      </c>
      <c r="F1107" s="187">
        <v>5.55</v>
      </c>
      <c r="G1107" s="186">
        <v>10.3</v>
      </c>
      <c r="H1107" s="190">
        <v>0.68</v>
      </c>
      <c r="I1107" s="187">
        <v>1.1200000000000001</v>
      </c>
      <c r="J1107" s="187">
        <v>1.62</v>
      </c>
      <c r="K1107" s="187">
        <v>4.62</v>
      </c>
      <c r="L1107" s="185" t="s">
        <v>8</v>
      </c>
      <c r="M1107" s="186">
        <v>24.5</v>
      </c>
      <c r="N1107" s="186">
        <v>11.4</v>
      </c>
      <c r="O1107" s="187">
        <v>5.56</v>
      </c>
      <c r="P1107" s="187">
        <v>1.29</v>
      </c>
      <c r="Q1107" s="185">
        <v>103</v>
      </c>
      <c r="R1107" s="186">
        <v>30.5</v>
      </c>
      <c r="S1107" s="186">
        <v>20</v>
      </c>
      <c r="T1107" s="187">
        <v>2.65</v>
      </c>
      <c r="U1107" s="187">
        <v>5.41</v>
      </c>
      <c r="V1107" s="186">
        <v>11.9</v>
      </c>
      <c r="W1107" s="185" t="s">
        <v>8</v>
      </c>
      <c r="X1107" s="185" t="s">
        <v>8</v>
      </c>
      <c r="Y1107" s="187">
        <v>3</v>
      </c>
      <c r="Z1107" s="190">
        <v>0.96399999999999997</v>
      </c>
      <c r="AA1107" s="14" t="str">
        <f t="shared" si="53"/>
        <v>WT</v>
      </c>
      <c r="AB1107" s="14">
        <v>1.1299999999999999</v>
      </c>
      <c r="AC1107" s="14">
        <v>0.71099999999999997</v>
      </c>
    </row>
    <row r="1108" spans="1:29" s="198" customFormat="1" ht="15" x14ac:dyDescent="0.25">
      <c r="A1108" s="185" t="s">
        <v>1313</v>
      </c>
      <c r="B1108" s="185" t="s">
        <v>1558</v>
      </c>
      <c r="C1108" s="185" t="s">
        <v>618</v>
      </c>
      <c r="D1108" s="186">
        <v>44</v>
      </c>
      <c r="E1108" s="186">
        <v>13</v>
      </c>
      <c r="F1108" s="187">
        <v>5.42</v>
      </c>
      <c r="G1108" s="186">
        <v>10.3</v>
      </c>
      <c r="H1108" s="190">
        <v>0.60499999999999998</v>
      </c>
      <c r="I1108" s="190">
        <v>0.99</v>
      </c>
      <c r="J1108" s="187">
        <v>1.49</v>
      </c>
      <c r="K1108" s="187">
        <v>5.18</v>
      </c>
      <c r="L1108" s="185" t="s">
        <v>8</v>
      </c>
      <c r="M1108" s="186">
        <v>20.8</v>
      </c>
      <c r="N1108" s="187">
        <v>9.65</v>
      </c>
      <c r="O1108" s="187">
        <v>4.7699999999999996</v>
      </c>
      <c r="P1108" s="187">
        <v>1.27</v>
      </c>
      <c r="Q1108" s="186">
        <v>89.3</v>
      </c>
      <c r="R1108" s="186">
        <v>26.5</v>
      </c>
      <c r="S1108" s="186">
        <v>17.399999999999999</v>
      </c>
      <c r="T1108" s="187">
        <v>2.63</v>
      </c>
      <c r="U1108" s="187">
        <v>3.75</v>
      </c>
      <c r="V1108" s="187">
        <v>8.02</v>
      </c>
      <c r="W1108" s="185" t="s">
        <v>8</v>
      </c>
      <c r="X1108" s="185" t="s">
        <v>8</v>
      </c>
      <c r="Y1108" s="187">
        <v>2.97</v>
      </c>
      <c r="Z1108" s="190">
        <v>0.96399999999999997</v>
      </c>
      <c r="AA1108" s="14" t="str">
        <f t="shared" si="53"/>
        <v>WT</v>
      </c>
      <c r="AB1108" s="14">
        <v>1.06</v>
      </c>
      <c r="AC1108" s="14">
        <v>0.63100000000000001</v>
      </c>
    </row>
    <row r="1109" spans="1:29" s="198" customFormat="1" ht="15" x14ac:dyDescent="0.25">
      <c r="A1109" s="185" t="s">
        <v>1313</v>
      </c>
      <c r="B1109" s="185" t="s">
        <v>1559</v>
      </c>
      <c r="C1109" s="185" t="s">
        <v>618</v>
      </c>
      <c r="D1109" s="186">
        <v>38.5</v>
      </c>
      <c r="E1109" s="186">
        <v>11.3</v>
      </c>
      <c r="F1109" s="187">
        <v>5.3</v>
      </c>
      <c r="G1109" s="186">
        <v>10.199999999999999</v>
      </c>
      <c r="H1109" s="190">
        <v>0.53</v>
      </c>
      <c r="I1109" s="190">
        <v>0.87</v>
      </c>
      <c r="J1109" s="187">
        <v>1.37</v>
      </c>
      <c r="K1109" s="187">
        <v>5.86</v>
      </c>
      <c r="L1109" s="185" t="s">
        <v>8</v>
      </c>
      <c r="M1109" s="186">
        <v>17.399999999999999</v>
      </c>
      <c r="N1109" s="187">
        <v>8.06</v>
      </c>
      <c r="O1109" s="187">
        <v>4.05</v>
      </c>
      <c r="P1109" s="187">
        <v>1.24</v>
      </c>
      <c r="Q1109" s="186">
        <v>76.8</v>
      </c>
      <c r="R1109" s="186">
        <v>22.9</v>
      </c>
      <c r="S1109" s="186">
        <v>15.1</v>
      </c>
      <c r="T1109" s="187">
        <v>2.6</v>
      </c>
      <c r="U1109" s="187">
        <v>2.5499999999999998</v>
      </c>
      <c r="V1109" s="187">
        <v>5.31</v>
      </c>
      <c r="W1109" s="185" t="s">
        <v>8</v>
      </c>
      <c r="X1109" s="185" t="s">
        <v>8</v>
      </c>
      <c r="Y1109" s="187">
        <v>2.94</v>
      </c>
      <c r="Z1109" s="190">
        <v>0.96399999999999997</v>
      </c>
      <c r="AA1109" s="14" t="str">
        <f t="shared" si="53"/>
        <v>WT</v>
      </c>
      <c r="AB1109" s="14">
        <v>0.99</v>
      </c>
      <c r="AC1109" s="14">
        <v>0.55500000000000005</v>
      </c>
    </row>
    <row r="1110" spans="1:29" s="198" customFormat="1" ht="15" x14ac:dyDescent="0.25">
      <c r="A1110" s="185" t="s">
        <v>1313</v>
      </c>
      <c r="B1110" s="185" t="s">
        <v>1560</v>
      </c>
      <c r="C1110" s="185" t="s">
        <v>618</v>
      </c>
      <c r="D1110" s="186">
        <v>34</v>
      </c>
      <c r="E1110" s="186">
        <v>10</v>
      </c>
      <c r="F1110" s="187">
        <v>5.2</v>
      </c>
      <c r="G1110" s="186">
        <v>10.1</v>
      </c>
      <c r="H1110" s="190">
        <v>0.47</v>
      </c>
      <c r="I1110" s="190">
        <v>0.77</v>
      </c>
      <c r="J1110" s="187">
        <v>1.27</v>
      </c>
      <c r="K1110" s="187">
        <v>6.58</v>
      </c>
      <c r="L1110" s="185" t="s">
        <v>8</v>
      </c>
      <c r="M1110" s="186">
        <v>14.9</v>
      </c>
      <c r="N1110" s="187">
        <v>6.85</v>
      </c>
      <c r="O1110" s="187">
        <v>3.49</v>
      </c>
      <c r="P1110" s="187">
        <v>1.22</v>
      </c>
      <c r="Q1110" s="186">
        <v>66.7</v>
      </c>
      <c r="R1110" s="186">
        <v>20</v>
      </c>
      <c r="S1110" s="186">
        <v>13.2</v>
      </c>
      <c r="T1110" s="187">
        <v>2.58</v>
      </c>
      <c r="U1110" s="187">
        <v>1.78</v>
      </c>
      <c r="V1110" s="187">
        <v>3.62</v>
      </c>
      <c r="W1110" s="185" t="s">
        <v>8</v>
      </c>
      <c r="X1110" s="185" t="s">
        <v>8</v>
      </c>
      <c r="Y1110" s="187">
        <v>2.91</v>
      </c>
      <c r="Z1110" s="190">
        <v>0.96499999999999997</v>
      </c>
      <c r="AA1110" s="14" t="str">
        <f t="shared" si="53"/>
        <v>WT</v>
      </c>
      <c r="AB1110" s="14">
        <v>0.93200000000000005</v>
      </c>
      <c r="AC1110" s="14">
        <v>0.49299999999999999</v>
      </c>
    </row>
    <row r="1111" spans="1:29" s="198" customFormat="1" ht="15" x14ac:dyDescent="0.25">
      <c r="A1111" s="185" t="s">
        <v>1313</v>
      </c>
      <c r="B1111" s="185" t="s">
        <v>1561</v>
      </c>
      <c r="C1111" s="185" t="s">
        <v>618</v>
      </c>
      <c r="D1111" s="186">
        <v>30</v>
      </c>
      <c r="E1111" s="187">
        <v>8.84</v>
      </c>
      <c r="F1111" s="187">
        <v>5.1100000000000003</v>
      </c>
      <c r="G1111" s="186">
        <v>10.1</v>
      </c>
      <c r="H1111" s="190">
        <v>0.42</v>
      </c>
      <c r="I1111" s="190">
        <v>0.68</v>
      </c>
      <c r="J1111" s="187">
        <v>1.18</v>
      </c>
      <c r="K1111" s="187">
        <v>7.41</v>
      </c>
      <c r="L1111" s="185" t="s">
        <v>8</v>
      </c>
      <c r="M1111" s="186">
        <v>12.9</v>
      </c>
      <c r="N1111" s="187">
        <v>5.87</v>
      </c>
      <c r="O1111" s="187">
        <v>3.04</v>
      </c>
      <c r="P1111" s="187">
        <v>1.21</v>
      </c>
      <c r="Q1111" s="186">
        <v>58.1</v>
      </c>
      <c r="R1111" s="186">
        <v>17.5</v>
      </c>
      <c r="S1111" s="186">
        <v>11.5</v>
      </c>
      <c r="T1111" s="187">
        <v>2.57</v>
      </c>
      <c r="U1111" s="187">
        <v>1.23</v>
      </c>
      <c r="V1111" s="187">
        <v>2.46</v>
      </c>
      <c r="W1111" s="185" t="s">
        <v>8</v>
      </c>
      <c r="X1111" s="185" t="s">
        <v>8</v>
      </c>
      <c r="Y1111" s="187">
        <v>2.89</v>
      </c>
      <c r="Z1111" s="190">
        <v>0.96399999999999997</v>
      </c>
      <c r="AA1111" s="14" t="str">
        <f t="shared" si="53"/>
        <v>WT</v>
      </c>
      <c r="AB1111" s="14">
        <v>0.88400000000000001</v>
      </c>
      <c r="AC1111" s="14">
        <v>0.438</v>
      </c>
    </row>
    <row r="1112" spans="1:29" s="198" customFormat="1" ht="15" x14ac:dyDescent="0.25">
      <c r="A1112" s="185" t="s">
        <v>1313</v>
      </c>
      <c r="B1112" s="185" t="s">
        <v>1562</v>
      </c>
      <c r="C1112" s="185" t="s">
        <v>618</v>
      </c>
      <c r="D1112" s="186">
        <v>27</v>
      </c>
      <c r="E1112" s="187">
        <v>7.9</v>
      </c>
      <c r="F1112" s="187">
        <v>5.05</v>
      </c>
      <c r="G1112" s="186">
        <v>10</v>
      </c>
      <c r="H1112" s="190">
        <v>0.37</v>
      </c>
      <c r="I1112" s="190">
        <v>0.61499999999999999</v>
      </c>
      <c r="J1112" s="187">
        <v>1.1200000000000001</v>
      </c>
      <c r="K1112" s="187">
        <v>8.15</v>
      </c>
      <c r="L1112" s="185" t="s">
        <v>8</v>
      </c>
      <c r="M1112" s="186">
        <v>11.1</v>
      </c>
      <c r="N1112" s="187">
        <v>5.05</v>
      </c>
      <c r="O1112" s="187">
        <v>2.64</v>
      </c>
      <c r="P1112" s="187">
        <v>1.19</v>
      </c>
      <c r="Q1112" s="186">
        <v>51.7</v>
      </c>
      <c r="R1112" s="186">
        <v>15.6</v>
      </c>
      <c r="S1112" s="186">
        <v>10.3</v>
      </c>
      <c r="T1112" s="187">
        <v>2.56</v>
      </c>
      <c r="U1112" s="190">
        <v>0.90900000000000003</v>
      </c>
      <c r="V1112" s="187">
        <v>1.78</v>
      </c>
      <c r="W1112" s="185" t="s">
        <v>8</v>
      </c>
      <c r="X1112" s="185" t="s">
        <v>8</v>
      </c>
      <c r="Y1112" s="187">
        <v>2.87</v>
      </c>
      <c r="Z1112" s="190">
        <v>0.96599999999999997</v>
      </c>
      <c r="AA1112" s="14" t="str">
        <f t="shared" si="53"/>
        <v>WT</v>
      </c>
      <c r="AB1112" s="14">
        <v>0.83599999999999997</v>
      </c>
      <c r="AC1112" s="14">
        <v>0.39500000000000002</v>
      </c>
    </row>
    <row r="1113" spans="1:29" s="198" customFormat="1" ht="15" x14ac:dyDescent="0.25">
      <c r="A1113" s="185" t="s">
        <v>1313</v>
      </c>
      <c r="B1113" s="185" t="s">
        <v>1563</v>
      </c>
      <c r="C1113" s="185" t="s">
        <v>618</v>
      </c>
      <c r="D1113" s="186">
        <v>24.5</v>
      </c>
      <c r="E1113" s="187">
        <v>7.21</v>
      </c>
      <c r="F1113" s="187">
        <v>4.99</v>
      </c>
      <c r="G1113" s="186">
        <v>10</v>
      </c>
      <c r="H1113" s="190">
        <v>0.34</v>
      </c>
      <c r="I1113" s="190">
        <v>0.56000000000000005</v>
      </c>
      <c r="J1113" s="187">
        <v>1.06</v>
      </c>
      <c r="K1113" s="187">
        <v>8.93</v>
      </c>
      <c r="L1113" s="185" t="s">
        <v>8</v>
      </c>
      <c r="M1113" s="186">
        <v>10</v>
      </c>
      <c r="N1113" s="187">
        <v>4.5199999999999996</v>
      </c>
      <c r="O1113" s="187">
        <v>2.39</v>
      </c>
      <c r="P1113" s="187">
        <v>1.18</v>
      </c>
      <c r="Q1113" s="186">
        <v>46.7</v>
      </c>
      <c r="R1113" s="186">
        <v>14.1</v>
      </c>
      <c r="S1113" s="187">
        <v>9.34</v>
      </c>
      <c r="T1113" s="187">
        <v>2.54</v>
      </c>
      <c r="U1113" s="190">
        <v>0.69299999999999995</v>
      </c>
      <c r="V1113" s="187">
        <v>1.33</v>
      </c>
      <c r="W1113" s="185" t="s">
        <v>8</v>
      </c>
      <c r="X1113" s="185" t="s">
        <v>8</v>
      </c>
      <c r="Y1113" s="187">
        <v>2.85</v>
      </c>
      <c r="Z1113" s="190">
        <v>0.96599999999999997</v>
      </c>
      <c r="AA1113" s="14" t="str">
        <f t="shared" si="53"/>
        <v>WT</v>
      </c>
      <c r="AB1113" s="14">
        <v>0.80700000000000005</v>
      </c>
      <c r="AC1113" s="14">
        <v>0.36099999999999999</v>
      </c>
    </row>
    <row r="1114" spans="1:29" s="198" customFormat="1" ht="15" x14ac:dyDescent="0.25">
      <c r="A1114" s="185" t="s">
        <v>1313</v>
      </c>
      <c r="B1114" s="185" t="s">
        <v>1564</v>
      </c>
      <c r="C1114" s="185" t="s">
        <v>618</v>
      </c>
      <c r="D1114" s="186">
        <v>22.5</v>
      </c>
      <c r="E1114" s="187">
        <v>6.63</v>
      </c>
      <c r="F1114" s="187">
        <v>5.05</v>
      </c>
      <c r="G1114" s="187">
        <v>8.02</v>
      </c>
      <c r="H1114" s="190">
        <v>0.35</v>
      </c>
      <c r="I1114" s="190">
        <v>0.62</v>
      </c>
      <c r="J1114" s="187">
        <v>1.1200000000000001</v>
      </c>
      <c r="K1114" s="187">
        <v>6.47</v>
      </c>
      <c r="L1114" s="185" t="s">
        <v>8</v>
      </c>
      <c r="M1114" s="186">
        <v>10.199999999999999</v>
      </c>
      <c r="N1114" s="187">
        <v>4.6500000000000004</v>
      </c>
      <c r="O1114" s="187">
        <v>2.4700000000000002</v>
      </c>
      <c r="P1114" s="187">
        <v>1.24</v>
      </c>
      <c r="Q1114" s="186">
        <v>26.7</v>
      </c>
      <c r="R1114" s="186">
        <v>10.1</v>
      </c>
      <c r="S1114" s="187">
        <v>6.65</v>
      </c>
      <c r="T1114" s="187">
        <v>2.0099999999999998</v>
      </c>
      <c r="U1114" s="190">
        <v>0.753</v>
      </c>
      <c r="V1114" s="190">
        <v>0.98099999999999998</v>
      </c>
      <c r="W1114" s="185" t="s">
        <v>8</v>
      </c>
      <c r="X1114" s="185" t="s">
        <v>8</v>
      </c>
      <c r="Y1114" s="187">
        <v>2.4300000000000002</v>
      </c>
      <c r="Z1114" s="190">
        <v>0.94</v>
      </c>
      <c r="AA1114" s="14" t="str">
        <f t="shared" si="53"/>
        <v>WT</v>
      </c>
      <c r="AB1114" s="14">
        <v>0.90700000000000003</v>
      </c>
      <c r="AC1114" s="14">
        <v>0.41299999999999998</v>
      </c>
    </row>
    <row r="1115" spans="1:29" s="198" customFormat="1" ht="15" x14ac:dyDescent="0.25">
      <c r="A1115" s="185" t="s">
        <v>1313</v>
      </c>
      <c r="B1115" s="185" t="s">
        <v>1565</v>
      </c>
      <c r="C1115" s="185" t="s">
        <v>618</v>
      </c>
      <c r="D1115" s="186">
        <v>19.5</v>
      </c>
      <c r="E1115" s="187">
        <v>5.73</v>
      </c>
      <c r="F1115" s="187">
        <v>4.96</v>
      </c>
      <c r="G1115" s="187">
        <v>7.99</v>
      </c>
      <c r="H1115" s="190">
        <v>0.315</v>
      </c>
      <c r="I1115" s="190">
        <v>0.53</v>
      </c>
      <c r="J1115" s="187">
        <v>1.03</v>
      </c>
      <c r="K1115" s="187">
        <v>7.53</v>
      </c>
      <c r="L1115" s="185" t="s">
        <v>8</v>
      </c>
      <c r="M1115" s="187">
        <v>8.84</v>
      </c>
      <c r="N1115" s="187">
        <v>3.99</v>
      </c>
      <c r="O1115" s="187">
        <v>2.16</v>
      </c>
      <c r="P1115" s="187">
        <v>1.24</v>
      </c>
      <c r="Q1115" s="186">
        <v>22.5</v>
      </c>
      <c r="R1115" s="187">
        <v>8.57</v>
      </c>
      <c r="S1115" s="187">
        <v>5.64</v>
      </c>
      <c r="T1115" s="187">
        <v>1.98</v>
      </c>
      <c r="U1115" s="190">
        <v>0.48699999999999999</v>
      </c>
      <c r="V1115" s="190">
        <v>0.61599999999999999</v>
      </c>
      <c r="W1115" s="185" t="s">
        <v>8</v>
      </c>
      <c r="X1115" s="185" t="s">
        <v>8</v>
      </c>
      <c r="Y1115" s="187">
        <v>2.42</v>
      </c>
      <c r="Z1115" s="190">
        <v>0.93600000000000005</v>
      </c>
      <c r="AA1115" s="14" t="str">
        <f t="shared" si="53"/>
        <v>WT</v>
      </c>
      <c r="AB1115" s="14">
        <v>0.876</v>
      </c>
      <c r="AC1115" s="14">
        <v>0.35899999999999999</v>
      </c>
    </row>
    <row r="1116" spans="1:29" s="198" customFormat="1" ht="15" x14ac:dyDescent="0.25">
      <c r="A1116" s="185" t="s">
        <v>1313</v>
      </c>
      <c r="B1116" s="185" t="s">
        <v>1566</v>
      </c>
      <c r="C1116" s="185" t="s">
        <v>618</v>
      </c>
      <c r="D1116" s="186">
        <v>16.5</v>
      </c>
      <c r="E1116" s="187">
        <v>4.8499999999999996</v>
      </c>
      <c r="F1116" s="187">
        <v>4.87</v>
      </c>
      <c r="G1116" s="187">
        <v>7.96</v>
      </c>
      <c r="H1116" s="190">
        <v>0.28999999999999998</v>
      </c>
      <c r="I1116" s="190">
        <v>0.435</v>
      </c>
      <c r="J1116" s="190">
        <v>0.93500000000000005</v>
      </c>
      <c r="K1116" s="187">
        <v>9.15</v>
      </c>
      <c r="L1116" s="185" t="s">
        <v>8</v>
      </c>
      <c r="M1116" s="187">
        <v>7.71</v>
      </c>
      <c r="N1116" s="187">
        <v>3.48</v>
      </c>
      <c r="O1116" s="187">
        <v>1.93</v>
      </c>
      <c r="P1116" s="187">
        <v>1.26</v>
      </c>
      <c r="Q1116" s="186">
        <v>18.3</v>
      </c>
      <c r="R1116" s="187">
        <v>7</v>
      </c>
      <c r="S1116" s="187">
        <v>4.5999999999999996</v>
      </c>
      <c r="T1116" s="187">
        <v>1.94</v>
      </c>
      <c r="U1116" s="190">
        <v>0.29099999999999998</v>
      </c>
      <c r="V1116" s="190">
        <v>0.35599999999999998</v>
      </c>
      <c r="W1116" s="185" t="s">
        <v>8</v>
      </c>
      <c r="X1116" s="185" t="s">
        <v>8</v>
      </c>
      <c r="Y1116" s="187">
        <v>2.4</v>
      </c>
      <c r="Z1116" s="190">
        <v>0.92700000000000005</v>
      </c>
      <c r="AA1116" s="14" t="str">
        <f t="shared" si="53"/>
        <v>WT</v>
      </c>
      <c r="AB1116" s="14">
        <v>0.86899999999999999</v>
      </c>
      <c r="AC1116" s="14">
        <v>0.30499999999999999</v>
      </c>
    </row>
    <row r="1117" spans="1:29" s="198" customFormat="1" ht="15" x14ac:dyDescent="0.25">
      <c r="A1117" s="185" t="s">
        <v>1313</v>
      </c>
      <c r="B1117" s="185" t="s">
        <v>1567</v>
      </c>
      <c r="C1117" s="185" t="s">
        <v>618</v>
      </c>
      <c r="D1117" s="186">
        <v>15</v>
      </c>
      <c r="E1117" s="187">
        <v>4.42</v>
      </c>
      <c r="F1117" s="187">
        <v>5.24</v>
      </c>
      <c r="G1117" s="187">
        <v>5.81</v>
      </c>
      <c r="H1117" s="190">
        <v>0.3</v>
      </c>
      <c r="I1117" s="190">
        <v>0.51</v>
      </c>
      <c r="J1117" s="190">
        <v>0.81</v>
      </c>
      <c r="K1117" s="187">
        <v>5.7</v>
      </c>
      <c r="L1117" s="185" t="s">
        <v>8</v>
      </c>
      <c r="M1117" s="187">
        <v>9.2799999999999994</v>
      </c>
      <c r="N1117" s="187">
        <v>4.01</v>
      </c>
      <c r="O1117" s="187">
        <v>2.2400000000000002</v>
      </c>
      <c r="P1117" s="187">
        <v>1.45</v>
      </c>
      <c r="Q1117" s="187">
        <v>8.35</v>
      </c>
      <c r="R1117" s="187">
        <v>4.41</v>
      </c>
      <c r="S1117" s="187">
        <v>2.87</v>
      </c>
      <c r="T1117" s="187">
        <v>1.37</v>
      </c>
      <c r="U1117" s="190">
        <v>0.31</v>
      </c>
      <c r="V1117" s="190">
        <v>0.27300000000000002</v>
      </c>
      <c r="W1117" s="185" t="s">
        <v>8</v>
      </c>
      <c r="X1117" s="185" t="s">
        <v>8</v>
      </c>
      <c r="Y1117" s="187">
        <v>2.17</v>
      </c>
      <c r="Z1117" s="190">
        <v>0.84899999999999998</v>
      </c>
      <c r="AA1117" s="14" t="str">
        <f t="shared" si="53"/>
        <v>WT</v>
      </c>
      <c r="AB1117" s="14">
        <v>1.1000000000000001</v>
      </c>
      <c r="AC1117" s="14">
        <v>0.38</v>
      </c>
    </row>
    <row r="1118" spans="1:29" s="198" customFormat="1" ht="15" x14ac:dyDescent="0.25">
      <c r="A1118" s="185" t="s">
        <v>1313</v>
      </c>
      <c r="B1118" s="185" t="s">
        <v>1568</v>
      </c>
      <c r="C1118" s="185" t="s">
        <v>618</v>
      </c>
      <c r="D1118" s="186">
        <v>13</v>
      </c>
      <c r="E1118" s="187">
        <v>3.81</v>
      </c>
      <c r="F1118" s="187">
        <v>5.17</v>
      </c>
      <c r="G1118" s="187">
        <v>5.77</v>
      </c>
      <c r="H1118" s="190">
        <v>0.26</v>
      </c>
      <c r="I1118" s="190">
        <v>0.44</v>
      </c>
      <c r="J1118" s="190">
        <v>0.74</v>
      </c>
      <c r="K1118" s="187">
        <v>6.56</v>
      </c>
      <c r="L1118" s="185" t="s">
        <v>8</v>
      </c>
      <c r="M1118" s="187">
        <v>7.86</v>
      </c>
      <c r="N1118" s="187">
        <v>3.39</v>
      </c>
      <c r="O1118" s="187">
        <v>1.91</v>
      </c>
      <c r="P1118" s="187">
        <v>1.44</v>
      </c>
      <c r="Q1118" s="187">
        <v>7.05</v>
      </c>
      <c r="R1118" s="187">
        <v>3.75</v>
      </c>
      <c r="S1118" s="187">
        <v>2.44</v>
      </c>
      <c r="T1118" s="187">
        <v>1.36</v>
      </c>
      <c r="U1118" s="190">
        <v>0.20100000000000001</v>
      </c>
      <c r="V1118" s="190">
        <v>0.17299999999999999</v>
      </c>
      <c r="W1118" s="185" t="s">
        <v>8</v>
      </c>
      <c r="X1118" s="185" t="s">
        <v>8</v>
      </c>
      <c r="Y1118" s="187">
        <v>2.15</v>
      </c>
      <c r="Z1118" s="190">
        <v>0.84799999999999998</v>
      </c>
      <c r="AA1118" s="14" t="str">
        <f t="shared" si="53"/>
        <v>WT</v>
      </c>
      <c r="AB1118" s="14">
        <v>1.06</v>
      </c>
      <c r="AC1118" s="14">
        <v>0.33</v>
      </c>
    </row>
    <row r="1119" spans="1:29" s="198" customFormat="1" ht="15" x14ac:dyDescent="0.25">
      <c r="A1119" s="185" t="s">
        <v>1313</v>
      </c>
      <c r="B1119" s="185" t="s">
        <v>1569</v>
      </c>
      <c r="C1119" s="185" t="s">
        <v>618</v>
      </c>
      <c r="D1119" s="186">
        <v>11</v>
      </c>
      <c r="E1119" s="187">
        <v>3.24</v>
      </c>
      <c r="F1119" s="187">
        <v>5.09</v>
      </c>
      <c r="G1119" s="187">
        <v>5.75</v>
      </c>
      <c r="H1119" s="190">
        <v>0.24</v>
      </c>
      <c r="I1119" s="190">
        <v>0.36</v>
      </c>
      <c r="J1119" s="190">
        <v>0.66</v>
      </c>
      <c r="K1119" s="187">
        <v>7.99</v>
      </c>
      <c r="L1119" s="185" t="s">
        <v>8</v>
      </c>
      <c r="M1119" s="187">
        <v>6.88</v>
      </c>
      <c r="N1119" s="187">
        <v>3.02</v>
      </c>
      <c r="O1119" s="187">
        <v>1.72</v>
      </c>
      <c r="P1119" s="187">
        <v>1.46</v>
      </c>
      <c r="Q1119" s="187">
        <v>5.71</v>
      </c>
      <c r="R1119" s="187">
        <v>3.05</v>
      </c>
      <c r="S1119" s="187">
        <v>1.99</v>
      </c>
      <c r="T1119" s="187">
        <v>1.33</v>
      </c>
      <c r="U1119" s="190">
        <v>0.11899999999999999</v>
      </c>
      <c r="V1119" s="190">
        <v>0.107</v>
      </c>
      <c r="W1119" s="185" t="s">
        <v>8</v>
      </c>
      <c r="X1119" s="185" t="s">
        <v>8</v>
      </c>
      <c r="Y1119" s="187">
        <v>2.16</v>
      </c>
      <c r="Z1119" s="190">
        <v>0.83</v>
      </c>
      <c r="AA1119" s="14" t="str">
        <f t="shared" si="53"/>
        <v>WT</v>
      </c>
      <c r="AB1119" s="14">
        <v>1.07</v>
      </c>
      <c r="AC1119" s="14">
        <v>0.28199999999999997</v>
      </c>
    </row>
    <row r="1120" spans="1:29" s="198" customFormat="1" ht="15" x14ac:dyDescent="0.25">
      <c r="A1120" s="185" t="s">
        <v>1313</v>
      </c>
      <c r="B1120" s="185" t="s">
        <v>1570</v>
      </c>
      <c r="C1120" s="185" t="s">
        <v>618</v>
      </c>
      <c r="D1120" s="187">
        <v>9.5</v>
      </c>
      <c r="E1120" s="187">
        <v>2.81</v>
      </c>
      <c r="F1120" s="187">
        <v>5.12</v>
      </c>
      <c r="G1120" s="187">
        <v>4.0199999999999996</v>
      </c>
      <c r="H1120" s="190">
        <v>0.25</v>
      </c>
      <c r="I1120" s="190">
        <v>0.39500000000000002</v>
      </c>
      <c r="J1120" s="190">
        <v>0.69499999999999995</v>
      </c>
      <c r="K1120" s="187">
        <v>5.09</v>
      </c>
      <c r="L1120" s="185" t="s">
        <v>8</v>
      </c>
      <c r="M1120" s="187">
        <v>6.68</v>
      </c>
      <c r="N1120" s="187">
        <v>3.1</v>
      </c>
      <c r="O1120" s="187">
        <v>1.74</v>
      </c>
      <c r="P1120" s="187">
        <v>1.54</v>
      </c>
      <c r="Q1120" s="187">
        <v>2.15</v>
      </c>
      <c r="R1120" s="187">
        <v>1.67</v>
      </c>
      <c r="S1120" s="187">
        <v>1.07</v>
      </c>
      <c r="T1120" s="190">
        <v>0.874</v>
      </c>
      <c r="U1120" s="190">
        <v>0.11600000000000001</v>
      </c>
      <c r="V1120" s="193">
        <v>7.9600000000000004E-2</v>
      </c>
      <c r="W1120" s="185" t="s">
        <v>8</v>
      </c>
      <c r="X1120" s="185" t="s">
        <v>8</v>
      </c>
      <c r="Y1120" s="187">
        <v>2.08</v>
      </c>
      <c r="Z1120" s="190">
        <v>0.72899999999999998</v>
      </c>
      <c r="AA1120" s="14" t="str">
        <f t="shared" si="53"/>
        <v>WT</v>
      </c>
      <c r="AB1120" s="14">
        <v>1.28</v>
      </c>
      <c r="AC1120" s="14">
        <v>0.34899999999999998</v>
      </c>
    </row>
    <row r="1121" spans="1:29" s="198" customFormat="1" ht="15" x14ac:dyDescent="0.25">
      <c r="A1121" s="185" t="s">
        <v>1313</v>
      </c>
      <c r="B1121" s="185" t="s">
        <v>1571</v>
      </c>
      <c r="C1121" s="185" t="s">
        <v>618</v>
      </c>
      <c r="D1121" s="187">
        <v>8.5</v>
      </c>
      <c r="E1121" s="187">
        <v>2.5</v>
      </c>
      <c r="F1121" s="187">
        <v>5.0599999999999996</v>
      </c>
      <c r="G1121" s="187">
        <v>4.01</v>
      </c>
      <c r="H1121" s="190">
        <v>0.24</v>
      </c>
      <c r="I1121" s="190">
        <v>0.33</v>
      </c>
      <c r="J1121" s="190">
        <v>0.63</v>
      </c>
      <c r="K1121" s="187">
        <v>6.08</v>
      </c>
      <c r="L1121" s="185" t="s">
        <v>8</v>
      </c>
      <c r="M1121" s="187">
        <v>6.06</v>
      </c>
      <c r="N1121" s="187">
        <v>2.9</v>
      </c>
      <c r="O1121" s="187">
        <v>1.62</v>
      </c>
      <c r="P1121" s="187">
        <v>1.56</v>
      </c>
      <c r="Q1121" s="187">
        <v>1.78</v>
      </c>
      <c r="R1121" s="187">
        <v>1.4</v>
      </c>
      <c r="S1121" s="190">
        <v>0.88700000000000001</v>
      </c>
      <c r="T1121" s="190">
        <v>0.84399999999999997</v>
      </c>
      <c r="U1121" s="193">
        <v>7.7600000000000002E-2</v>
      </c>
      <c r="V1121" s="193">
        <v>6.0999999999999999E-2</v>
      </c>
      <c r="W1121" s="185" t="s">
        <v>8</v>
      </c>
      <c r="X1121" s="185" t="s">
        <v>8</v>
      </c>
      <c r="Y1121" s="187">
        <v>2.11</v>
      </c>
      <c r="Z1121" s="190">
        <v>0.70299999999999996</v>
      </c>
      <c r="AA1121" s="14" t="str">
        <f t="shared" si="53"/>
        <v>WT</v>
      </c>
      <c r="AB1121" s="14">
        <v>1.32</v>
      </c>
      <c r="AC1121" s="14">
        <v>0.311</v>
      </c>
    </row>
    <row r="1122" spans="1:29" s="198" customFormat="1" ht="15" x14ac:dyDescent="0.25">
      <c r="A1122" s="185" t="s">
        <v>1313</v>
      </c>
      <c r="B1122" s="185" t="s">
        <v>1572</v>
      </c>
      <c r="C1122" s="185" t="s">
        <v>618</v>
      </c>
      <c r="D1122" s="187">
        <v>7.5</v>
      </c>
      <c r="E1122" s="187">
        <v>2.21</v>
      </c>
      <c r="F1122" s="187">
        <v>5</v>
      </c>
      <c r="G1122" s="187">
        <v>4</v>
      </c>
      <c r="H1122" s="190">
        <v>0.23</v>
      </c>
      <c r="I1122" s="190">
        <v>0.27</v>
      </c>
      <c r="J1122" s="190">
        <v>0.56999999999999995</v>
      </c>
      <c r="K1122" s="187">
        <v>7.41</v>
      </c>
      <c r="L1122" s="185" t="s">
        <v>8</v>
      </c>
      <c r="M1122" s="187">
        <v>5.45</v>
      </c>
      <c r="N1122" s="187">
        <v>2.71</v>
      </c>
      <c r="O1122" s="187">
        <v>1.5</v>
      </c>
      <c r="P1122" s="187">
        <v>1.57</v>
      </c>
      <c r="Q1122" s="187">
        <v>1.45</v>
      </c>
      <c r="R1122" s="187">
        <v>1.1499999999999999</v>
      </c>
      <c r="S1122" s="190">
        <v>0.72299999999999998</v>
      </c>
      <c r="T1122" s="190">
        <v>0.81</v>
      </c>
      <c r="U1122" s="193">
        <v>5.1799999999999999E-2</v>
      </c>
      <c r="V1122" s="193">
        <v>4.7500000000000001E-2</v>
      </c>
      <c r="W1122" s="185" t="s">
        <v>8</v>
      </c>
      <c r="X1122" s="185" t="s">
        <v>8</v>
      </c>
      <c r="Y1122" s="187">
        <v>2.16</v>
      </c>
      <c r="Z1122" s="190">
        <v>0.67200000000000004</v>
      </c>
      <c r="AA1122" s="14" t="str">
        <f t="shared" si="53"/>
        <v>WT</v>
      </c>
      <c r="AB1122" s="14">
        <v>1.37</v>
      </c>
      <c r="AC1122" s="14">
        <v>0.30499999999999999</v>
      </c>
    </row>
    <row r="1123" spans="1:29" s="198" customFormat="1" ht="15" x14ac:dyDescent="0.25">
      <c r="A1123" s="185" t="s">
        <v>1313</v>
      </c>
      <c r="B1123" s="185" t="s">
        <v>1573</v>
      </c>
      <c r="C1123" s="185" t="s">
        <v>618</v>
      </c>
      <c r="D1123" s="187">
        <v>6</v>
      </c>
      <c r="E1123" s="187">
        <v>1.77</v>
      </c>
      <c r="F1123" s="187">
        <v>4.9400000000000004</v>
      </c>
      <c r="G1123" s="187">
        <v>3.96</v>
      </c>
      <c r="H1123" s="190">
        <v>0.19</v>
      </c>
      <c r="I1123" s="190">
        <v>0.21</v>
      </c>
      <c r="J1123" s="190">
        <v>0.51</v>
      </c>
      <c r="K1123" s="187">
        <v>9.43</v>
      </c>
      <c r="L1123" s="185" t="s">
        <v>8</v>
      </c>
      <c r="M1123" s="187">
        <v>4.3499999999999996</v>
      </c>
      <c r="N1123" s="187">
        <v>2.2000000000000002</v>
      </c>
      <c r="O1123" s="187">
        <v>1.22</v>
      </c>
      <c r="P1123" s="187">
        <v>1.57</v>
      </c>
      <c r="Q1123" s="187">
        <v>1.0900000000000001</v>
      </c>
      <c r="R1123" s="190">
        <v>0.86899999999999999</v>
      </c>
      <c r="S1123" s="190">
        <v>0.55100000000000005</v>
      </c>
      <c r="T1123" s="190">
        <v>0.78500000000000003</v>
      </c>
      <c r="U1123" s="193">
        <v>2.7199999999999998E-2</v>
      </c>
      <c r="V1123" s="193">
        <v>2.5499999999999998E-2</v>
      </c>
      <c r="W1123" s="185" t="s">
        <v>8</v>
      </c>
      <c r="X1123" s="185" t="s">
        <v>8</v>
      </c>
      <c r="Y1123" s="187">
        <v>2.16</v>
      </c>
      <c r="Z1123" s="190">
        <v>0.66100000000000003</v>
      </c>
      <c r="AA1123" s="14" t="str">
        <f t="shared" si="53"/>
        <v>WT</v>
      </c>
      <c r="AB1123" s="14">
        <v>1.36</v>
      </c>
      <c r="AC1123" s="14">
        <v>0.32200000000000001</v>
      </c>
    </row>
    <row r="1124" spans="1:29" s="198" customFormat="1" ht="15" x14ac:dyDescent="0.25">
      <c r="A1124" s="185" t="s">
        <v>1313</v>
      </c>
      <c r="B1124" s="185" t="s">
        <v>1574</v>
      </c>
      <c r="C1124" s="185" t="s">
        <v>618</v>
      </c>
      <c r="D1124" s="186">
        <v>33.5</v>
      </c>
      <c r="E1124" s="187">
        <v>9.84</v>
      </c>
      <c r="F1124" s="187">
        <v>4.5</v>
      </c>
      <c r="G1124" s="187">
        <v>8.2799999999999994</v>
      </c>
      <c r="H1124" s="190">
        <v>0.56999999999999995</v>
      </c>
      <c r="I1124" s="190">
        <v>0.93500000000000005</v>
      </c>
      <c r="J1124" s="187">
        <v>1.33</v>
      </c>
      <c r="K1124" s="187">
        <v>4.43</v>
      </c>
      <c r="L1124" s="185" t="s">
        <v>8</v>
      </c>
      <c r="M1124" s="186">
        <v>10.9</v>
      </c>
      <c r="N1124" s="187">
        <v>6.29</v>
      </c>
      <c r="O1124" s="187">
        <v>3.05</v>
      </c>
      <c r="P1124" s="187">
        <v>1.05</v>
      </c>
      <c r="Q1124" s="186">
        <v>44.3</v>
      </c>
      <c r="R1124" s="186">
        <v>16.3</v>
      </c>
      <c r="S1124" s="186">
        <v>10.7</v>
      </c>
      <c r="T1124" s="187">
        <v>2.12</v>
      </c>
      <c r="U1124" s="187">
        <v>2.5099999999999998</v>
      </c>
      <c r="V1124" s="187">
        <v>3.56</v>
      </c>
      <c r="W1124" s="185" t="s">
        <v>8</v>
      </c>
      <c r="X1124" s="185" t="s">
        <v>8</v>
      </c>
      <c r="Y1124" s="187">
        <v>2.41</v>
      </c>
      <c r="Z1124" s="190">
        <v>0.96199999999999997</v>
      </c>
      <c r="AA1124" s="14" t="str">
        <f t="shared" si="53"/>
        <v>WT</v>
      </c>
      <c r="AB1124" s="14">
        <v>0.93600000000000005</v>
      </c>
      <c r="AC1124" s="14">
        <v>0.59399999999999997</v>
      </c>
    </row>
    <row r="1125" spans="1:29" s="198" customFormat="1" ht="15" x14ac:dyDescent="0.25">
      <c r="A1125" s="185" t="s">
        <v>1313</v>
      </c>
      <c r="B1125" s="185" t="s">
        <v>1575</v>
      </c>
      <c r="C1125" s="185" t="s">
        <v>618</v>
      </c>
      <c r="D1125" s="186">
        <v>29</v>
      </c>
      <c r="E1125" s="187">
        <v>8.5399999999999991</v>
      </c>
      <c r="F1125" s="187">
        <v>4.38</v>
      </c>
      <c r="G1125" s="187">
        <v>8.2200000000000006</v>
      </c>
      <c r="H1125" s="190">
        <v>0.51</v>
      </c>
      <c r="I1125" s="190">
        <v>0.81</v>
      </c>
      <c r="J1125" s="187">
        <v>1.2</v>
      </c>
      <c r="K1125" s="187">
        <v>5.07</v>
      </c>
      <c r="L1125" s="185" t="s">
        <v>8</v>
      </c>
      <c r="M1125" s="187">
        <v>9.1199999999999992</v>
      </c>
      <c r="N1125" s="187">
        <v>5.25</v>
      </c>
      <c r="O1125" s="187">
        <v>2.61</v>
      </c>
      <c r="P1125" s="187">
        <v>1.03</v>
      </c>
      <c r="Q1125" s="186">
        <v>37.5</v>
      </c>
      <c r="R1125" s="186">
        <v>13.9</v>
      </c>
      <c r="S1125" s="187">
        <v>9.1300000000000008</v>
      </c>
      <c r="T1125" s="187">
        <v>2.1</v>
      </c>
      <c r="U1125" s="187">
        <v>1.66</v>
      </c>
      <c r="V1125" s="187">
        <v>2.2799999999999998</v>
      </c>
      <c r="W1125" s="185" t="s">
        <v>8</v>
      </c>
      <c r="X1125" s="185" t="s">
        <v>8</v>
      </c>
      <c r="Y1125" s="187">
        <v>2.38</v>
      </c>
      <c r="Z1125" s="190">
        <v>0.96099999999999997</v>
      </c>
      <c r="AA1125" s="14" t="str">
        <f t="shared" si="53"/>
        <v>WT</v>
      </c>
      <c r="AB1125" s="14">
        <v>0.874</v>
      </c>
      <c r="AC1125" s="14">
        <v>0.52</v>
      </c>
    </row>
    <row r="1126" spans="1:29" s="198" customFormat="1" ht="15" x14ac:dyDescent="0.25">
      <c r="A1126" s="185" t="s">
        <v>1313</v>
      </c>
      <c r="B1126" s="185" t="s">
        <v>1576</v>
      </c>
      <c r="C1126" s="185" t="s">
        <v>618</v>
      </c>
      <c r="D1126" s="186">
        <v>24</v>
      </c>
      <c r="E1126" s="187">
        <v>7.05</v>
      </c>
      <c r="F1126" s="187">
        <v>4.25</v>
      </c>
      <c r="G1126" s="187">
        <v>8.11</v>
      </c>
      <c r="H1126" s="190">
        <v>0.4</v>
      </c>
      <c r="I1126" s="190">
        <v>0.68500000000000005</v>
      </c>
      <c r="J1126" s="187">
        <v>1.08</v>
      </c>
      <c r="K1126" s="187">
        <v>5.92</v>
      </c>
      <c r="L1126" s="185" t="s">
        <v>8</v>
      </c>
      <c r="M1126" s="187">
        <v>6.85</v>
      </c>
      <c r="N1126" s="187">
        <v>3.94</v>
      </c>
      <c r="O1126" s="187">
        <v>1.97</v>
      </c>
      <c r="P1126" s="190">
        <v>0.98599999999999999</v>
      </c>
      <c r="Q1126" s="186">
        <v>30.5</v>
      </c>
      <c r="R1126" s="186">
        <v>11.4</v>
      </c>
      <c r="S1126" s="187">
        <v>7.51</v>
      </c>
      <c r="T1126" s="187">
        <v>2.08</v>
      </c>
      <c r="U1126" s="190">
        <v>0.97699999999999998</v>
      </c>
      <c r="V1126" s="187">
        <v>1.3</v>
      </c>
      <c r="W1126" s="185" t="s">
        <v>8</v>
      </c>
      <c r="X1126" s="185" t="s">
        <v>8</v>
      </c>
      <c r="Y1126" s="187">
        <v>2.34</v>
      </c>
      <c r="Z1126" s="190">
        <v>0.96599999999999997</v>
      </c>
      <c r="AA1126" s="14" t="str">
        <f t="shared" si="53"/>
        <v>WT</v>
      </c>
      <c r="AB1126" s="14">
        <v>0.77700000000000002</v>
      </c>
      <c r="AC1126" s="14">
        <v>0.435</v>
      </c>
    </row>
    <row r="1127" spans="1:29" s="198" customFormat="1" ht="15" x14ac:dyDescent="0.25">
      <c r="A1127" s="185" t="s">
        <v>1313</v>
      </c>
      <c r="B1127" s="185" t="s">
        <v>1577</v>
      </c>
      <c r="C1127" s="185" t="s">
        <v>618</v>
      </c>
      <c r="D1127" s="186">
        <v>20</v>
      </c>
      <c r="E1127" s="187">
        <v>5.87</v>
      </c>
      <c r="F1127" s="187">
        <v>4.13</v>
      </c>
      <c r="G1127" s="187">
        <v>8.07</v>
      </c>
      <c r="H1127" s="190">
        <v>0.36</v>
      </c>
      <c r="I1127" s="190">
        <v>0.56000000000000005</v>
      </c>
      <c r="J1127" s="190">
        <v>0.95399999999999996</v>
      </c>
      <c r="K1127" s="187">
        <v>7.21</v>
      </c>
      <c r="L1127" s="185" t="s">
        <v>8</v>
      </c>
      <c r="M1127" s="187">
        <v>5.73</v>
      </c>
      <c r="N1127" s="187">
        <v>3.25</v>
      </c>
      <c r="O1127" s="187">
        <v>1.69</v>
      </c>
      <c r="P1127" s="190">
        <v>0.98799999999999999</v>
      </c>
      <c r="Q1127" s="186">
        <v>24.5</v>
      </c>
      <c r="R1127" s="187">
        <v>9.24</v>
      </c>
      <c r="S1127" s="187">
        <v>6.08</v>
      </c>
      <c r="T1127" s="187">
        <v>2.04</v>
      </c>
      <c r="U1127" s="190">
        <v>0.55800000000000005</v>
      </c>
      <c r="V1127" s="190">
        <v>0.71499999999999997</v>
      </c>
      <c r="W1127" s="185" t="s">
        <v>8</v>
      </c>
      <c r="X1127" s="185" t="s">
        <v>8</v>
      </c>
      <c r="Y1127" s="187">
        <v>2.3199999999999998</v>
      </c>
      <c r="Z1127" s="190">
        <v>0.96099999999999997</v>
      </c>
      <c r="AA1127" s="14" t="str">
        <f t="shared" si="53"/>
        <v>WT</v>
      </c>
      <c r="AB1127" s="14">
        <v>0.73499999999999999</v>
      </c>
      <c r="AC1127" s="14">
        <v>0.36399999999999999</v>
      </c>
    </row>
    <row r="1128" spans="1:29" s="198" customFormat="1" ht="15" x14ac:dyDescent="0.25">
      <c r="A1128" s="185" t="s">
        <v>1313</v>
      </c>
      <c r="B1128" s="185" t="s">
        <v>1578</v>
      </c>
      <c r="C1128" s="185" t="s">
        <v>618</v>
      </c>
      <c r="D1128" s="186">
        <v>17.5</v>
      </c>
      <c r="E1128" s="187">
        <v>5.14</v>
      </c>
      <c r="F1128" s="187">
        <v>4.0599999999999996</v>
      </c>
      <c r="G1128" s="187">
        <v>8.02</v>
      </c>
      <c r="H1128" s="190">
        <v>0.31</v>
      </c>
      <c r="I1128" s="190">
        <v>0.495</v>
      </c>
      <c r="J1128" s="190">
        <v>0.88900000000000001</v>
      </c>
      <c r="K1128" s="187">
        <v>8.1</v>
      </c>
      <c r="L1128" s="185" t="s">
        <v>8</v>
      </c>
      <c r="M1128" s="187">
        <v>4.82</v>
      </c>
      <c r="N1128" s="187">
        <v>2.71</v>
      </c>
      <c r="O1128" s="187">
        <v>1.43</v>
      </c>
      <c r="P1128" s="190">
        <v>0.96799999999999997</v>
      </c>
      <c r="Q1128" s="186">
        <v>21.3</v>
      </c>
      <c r="R1128" s="187">
        <v>8.0500000000000007</v>
      </c>
      <c r="S1128" s="187">
        <v>5.31</v>
      </c>
      <c r="T1128" s="187">
        <v>2.0299999999999998</v>
      </c>
      <c r="U1128" s="190">
        <v>0.38400000000000001</v>
      </c>
      <c r="V1128" s="190">
        <v>0.48</v>
      </c>
      <c r="W1128" s="185" t="s">
        <v>8</v>
      </c>
      <c r="X1128" s="185" t="s">
        <v>8</v>
      </c>
      <c r="Y1128" s="187">
        <v>2.2999999999999998</v>
      </c>
      <c r="Z1128" s="190">
        <v>0.96299999999999997</v>
      </c>
      <c r="AA1128" s="14" t="str">
        <f t="shared" si="53"/>
        <v>WT</v>
      </c>
      <c r="AB1128" s="14">
        <v>0.68799999999999994</v>
      </c>
      <c r="AC1128" s="14">
        <v>0.32100000000000001</v>
      </c>
    </row>
    <row r="1129" spans="1:29" s="198" customFormat="1" ht="15" x14ac:dyDescent="0.25">
      <c r="A1129" s="185" t="s">
        <v>1313</v>
      </c>
      <c r="B1129" s="185" t="s">
        <v>1579</v>
      </c>
      <c r="C1129" s="185" t="s">
        <v>618</v>
      </c>
      <c r="D1129" s="186">
        <v>15.5</v>
      </c>
      <c r="E1129" s="187">
        <v>4.5599999999999996</v>
      </c>
      <c r="F1129" s="187">
        <v>4</v>
      </c>
      <c r="G1129" s="187">
        <v>8</v>
      </c>
      <c r="H1129" s="190">
        <v>0.28499999999999998</v>
      </c>
      <c r="I1129" s="190">
        <v>0.435</v>
      </c>
      <c r="J1129" s="190">
        <v>0.82899999999999996</v>
      </c>
      <c r="K1129" s="187">
        <v>9.19</v>
      </c>
      <c r="L1129" s="185" t="s">
        <v>8</v>
      </c>
      <c r="M1129" s="187">
        <v>4.28</v>
      </c>
      <c r="N1129" s="187">
        <v>2.39</v>
      </c>
      <c r="O1129" s="187">
        <v>1.28</v>
      </c>
      <c r="P1129" s="190">
        <v>0.96899999999999997</v>
      </c>
      <c r="Q1129" s="186">
        <v>18.5</v>
      </c>
      <c r="R1129" s="187">
        <v>7.03</v>
      </c>
      <c r="S1129" s="187">
        <v>4.6399999999999997</v>
      </c>
      <c r="T1129" s="187">
        <v>2.02</v>
      </c>
      <c r="U1129" s="190">
        <v>0.26700000000000002</v>
      </c>
      <c r="V1129" s="190">
        <v>0.32700000000000001</v>
      </c>
      <c r="W1129" s="185" t="s">
        <v>8</v>
      </c>
      <c r="X1129" s="185" t="s">
        <v>8</v>
      </c>
      <c r="Y1129" s="187">
        <v>2.2799999999999998</v>
      </c>
      <c r="Z1129" s="190">
        <v>0.96099999999999997</v>
      </c>
      <c r="AA1129" s="14" t="str">
        <f t="shared" si="53"/>
        <v>WT</v>
      </c>
      <c r="AB1129" s="14">
        <v>0.66800000000000004</v>
      </c>
      <c r="AC1129" s="14">
        <v>0.28499999999999998</v>
      </c>
    </row>
    <row r="1130" spans="1:29" s="198" customFormat="1" ht="15" x14ac:dyDescent="0.25">
      <c r="A1130" s="185" t="s">
        <v>1313</v>
      </c>
      <c r="B1130" s="185" t="s">
        <v>1580</v>
      </c>
      <c r="C1130" s="185" t="s">
        <v>618</v>
      </c>
      <c r="D1130" s="186">
        <v>14</v>
      </c>
      <c r="E1130" s="187">
        <v>4.12</v>
      </c>
      <c r="F1130" s="187">
        <v>4.03</v>
      </c>
      <c r="G1130" s="187">
        <v>6.54</v>
      </c>
      <c r="H1130" s="190">
        <v>0.28499999999999998</v>
      </c>
      <c r="I1130" s="190">
        <v>0.46500000000000002</v>
      </c>
      <c r="J1130" s="190">
        <v>0.85899999999999999</v>
      </c>
      <c r="K1130" s="187">
        <v>7.03</v>
      </c>
      <c r="L1130" s="185" t="s">
        <v>8</v>
      </c>
      <c r="M1130" s="187">
        <v>4.2300000000000004</v>
      </c>
      <c r="N1130" s="187">
        <v>2.38</v>
      </c>
      <c r="O1130" s="187">
        <v>1.28</v>
      </c>
      <c r="P1130" s="187">
        <v>1.01</v>
      </c>
      <c r="Q1130" s="186">
        <v>10.8</v>
      </c>
      <c r="R1130" s="187">
        <v>5.04</v>
      </c>
      <c r="S1130" s="187">
        <v>3.31</v>
      </c>
      <c r="T1130" s="187">
        <v>1.62</v>
      </c>
      <c r="U1130" s="190">
        <v>0.26800000000000002</v>
      </c>
      <c r="V1130" s="190">
        <v>0.23</v>
      </c>
      <c r="W1130" s="185" t="s">
        <v>8</v>
      </c>
      <c r="X1130" s="185" t="s">
        <v>8</v>
      </c>
      <c r="Y1130" s="187">
        <v>1.98</v>
      </c>
      <c r="Z1130" s="190">
        <v>0.93500000000000005</v>
      </c>
      <c r="AA1130" s="14" t="str">
        <f t="shared" si="53"/>
        <v>WT</v>
      </c>
      <c r="AB1130" s="14">
        <v>0.73399999999999999</v>
      </c>
      <c r="AC1130" s="14">
        <v>0.315</v>
      </c>
    </row>
    <row r="1131" spans="1:29" s="198" customFormat="1" ht="15" x14ac:dyDescent="0.25">
      <c r="A1131" s="185" t="s">
        <v>1313</v>
      </c>
      <c r="B1131" s="185" t="s">
        <v>1581</v>
      </c>
      <c r="C1131" s="185" t="s">
        <v>618</v>
      </c>
      <c r="D1131" s="186">
        <v>12</v>
      </c>
      <c r="E1131" s="187">
        <v>3.54</v>
      </c>
      <c r="F1131" s="187">
        <v>3.97</v>
      </c>
      <c r="G1131" s="187">
        <v>6.5</v>
      </c>
      <c r="H1131" s="190">
        <v>0.245</v>
      </c>
      <c r="I1131" s="190">
        <v>0.4</v>
      </c>
      <c r="J1131" s="190">
        <v>0.79400000000000004</v>
      </c>
      <c r="K1131" s="187">
        <v>8.1199999999999992</v>
      </c>
      <c r="L1131" s="185" t="s">
        <v>8</v>
      </c>
      <c r="M1131" s="187">
        <v>3.53</v>
      </c>
      <c r="N1131" s="187">
        <v>1.98</v>
      </c>
      <c r="O1131" s="187">
        <v>1.08</v>
      </c>
      <c r="P1131" s="190">
        <v>0.999</v>
      </c>
      <c r="Q1131" s="187">
        <v>9.14</v>
      </c>
      <c r="R1131" s="187">
        <v>4.28</v>
      </c>
      <c r="S1131" s="187">
        <v>2.81</v>
      </c>
      <c r="T1131" s="187">
        <v>1.61</v>
      </c>
      <c r="U1131" s="190">
        <v>0.17299999999999999</v>
      </c>
      <c r="V1131" s="190">
        <v>0.14399999999999999</v>
      </c>
      <c r="W1131" s="185" t="s">
        <v>8</v>
      </c>
      <c r="X1131" s="185" t="s">
        <v>8</v>
      </c>
      <c r="Y1131" s="187">
        <v>1.96</v>
      </c>
      <c r="Z1131" s="190">
        <v>0.93600000000000005</v>
      </c>
      <c r="AA1131" s="14" t="str">
        <f t="shared" si="53"/>
        <v>WT</v>
      </c>
      <c r="AB1131" s="14">
        <v>0.69499999999999995</v>
      </c>
      <c r="AC1131" s="14">
        <v>0.27200000000000002</v>
      </c>
    </row>
    <row r="1132" spans="1:29" s="198" customFormat="1" ht="15" x14ac:dyDescent="0.25">
      <c r="A1132" s="185" t="s">
        <v>1313</v>
      </c>
      <c r="B1132" s="185" t="s">
        <v>1582</v>
      </c>
      <c r="C1132" s="185" t="s">
        <v>618</v>
      </c>
      <c r="D1132" s="186">
        <v>10.5</v>
      </c>
      <c r="E1132" s="187">
        <v>3.08</v>
      </c>
      <c r="F1132" s="187">
        <v>4.1399999999999997</v>
      </c>
      <c r="G1132" s="187">
        <v>5.27</v>
      </c>
      <c r="H1132" s="190">
        <v>0.25</v>
      </c>
      <c r="I1132" s="190">
        <v>0.4</v>
      </c>
      <c r="J1132" s="190">
        <v>0.7</v>
      </c>
      <c r="K1132" s="187">
        <v>6.59</v>
      </c>
      <c r="L1132" s="185" t="s">
        <v>8</v>
      </c>
      <c r="M1132" s="187">
        <v>3.9</v>
      </c>
      <c r="N1132" s="187">
        <v>2.11</v>
      </c>
      <c r="O1132" s="187">
        <v>1.18</v>
      </c>
      <c r="P1132" s="187">
        <v>1.1200000000000001</v>
      </c>
      <c r="Q1132" s="187">
        <v>4.88</v>
      </c>
      <c r="R1132" s="187">
        <v>2.84</v>
      </c>
      <c r="S1132" s="187">
        <v>1.85</v>
      </c>
      <c r="T1132" s="187">
        <v>1.26</v>
      </c>
      <c r="U1132" s="190">
        <v>0.14099999999999999</v>
      </c>
      <c r="V1132" s="193">
        <v>9.1600000000000001E-2</v>
      </c>
      <c r="W1132" s="185" t="s">
        <v>8</v>
      </c>
      <c r="X1132" s="185" t="s">
        <v>8</v>
      </c>
      <c r="Y1132" s="187">
        <v>1.8</v>
      </c>
      <c r="Z1132" s="190">
        <v>0.877</v>
      </c>
      <c r="AA1132" s="14" t="str">
        <f t="shared" si="53"/>
        <v>WT</v>
      </c>
      <c r="AB1132" s="14">
        <v>0.83099999999999996</v>
      </c>
      <c r="AC1132" s="14">
        <v>0.29199999999999998</v>
      </c>
    </row>
    <row r="1133" spans="1:29" s="198" customFormat="1" ht="15" x14ac:dyDescent="0.25">
      <c r="A1133" s="185" t="s">
        <v>1313</v>
      </c>
      <c r="B1133" s="185" t="s">
        <v>1583</v>
      </c>
      <c r="C1133" s="185" t="s">
        <v>618</v>
      </c>
      <c r="D1133" s="187">
        <v>9</v>
      </c>
      <c r="E1133" s="187">
        <v>2.63</v>
      </c>
      <c r="F1133" s="187">
        <v>4.07</v>
      </c>
      <c r="G1133" s="187">
        <v>5.25</v>
      </c>
      <c r="H1133" s="190">
        <v>0.23</v>
      </c>
      <c r="I1133" s="190">
        <v>0.33</v>
      </c>
      <c r="J1133" s="190">
        <v>0.63</v>
      </c>
      <c r="K1133" s="187">
        <v>7.95</v>
      </c>
      <c r="L1133" s="185" t="s">
        <v>8</v>
      </c>
      <c r="M1133" s="187">
        <v>3.41</v>
      </c>
      <c r="N1133" s="187">
        <v>1.86</v>
      </c>
      <c r="O1133" s="187">
        <v>1.05</v>
      </c>
      <c r="P1133" s="187">
        <v>1.1399999999999999</v>
      </c>
      <c r="Q1133" s="187">
        <v>3.98</v>
      </c>
      <c r="R1133" s="187">
        <v>2.33</v>
      </c>
      <c r="S1133" s="187">
        <v>1.52</v>
      </c>
      <c r="T1133" s="187">
        <v>1.23</v>
      </c>
      <c r="U1133" s="193">
        <v>8.5500000000000007E-2</v>
      </c>
      <c r="V1133" s="193">
        <v>5.62E-2</v>
      </c>
      <c r="W1133" s="185" t="s">
        <v>8</v>
      </c>
      <c r="X1133" s="185" t="s">
        <v>8</v>
      </c>
      <c r="Y1133" s="187">
        <v>1.8</v>
      </c>
      <c r="Z1133" s="190">
        <v>0.86299999999999999</v>
      </c>
      <c r="AA1133" s="14" t="str">
        <f t="shared" si="53"/>
        <v>WT</v>
      </c>
      <c r="AB1133" s="14">
        <v>0.83399999999999996</v>
      </c>
      <c r="AC1133" s="14">
        <v>0.251</v>
      </c>
    </row>
    <row r="1134" spans="1:29" s="198" customFormat="1" ht="15" x14ac:dyDescent="0.25">
      <c r="A1134" s="185" t="s">
        <v>1313</v>
      </c>
      <c r="B1134" s="185" t="s">
        <v>1584</v>
      </c>
      <c r="C1134" s="185" t="s">
        <v>618</v>
      </c>
      <c r="D1134" s="187">
        <v>7.5</v>
      </c>
      <c r="E1134" s="187">
        <v>2.2200000000000002</v>
      </c>
      <c r="F1134" s="187">
        <v>4.0599999999999996</v>
      </c>
      <c r="G1134" s="187">
        <v>4.0199999999999996</v>
      </c>
      <c r="H1134" s="190">
        <v>0.245</v>
      </c>
      <c r="I1134" s="190">
        <v>0.315</v>
      </c>
      <c r="J1134" s="190">
        <v>0.61499999999999999</v>
      </c>
      <c r="K1134" s="187">
        <v>6.37</v>
      </c>
      <c r="L1134" s="185" t="s">
        <v>8</v>
      </c>
      <c r="M1134" s="187">
        <v>3.28</v>
      </c>
      <c r="N1134" s="187">
        <v>1.91</v>
      </c>
      <c r="O1134" s="187">
        <v>1.07</v>
      </c>
      <c r="P1134" s="187">
        <v>1.22</v>
      </c>
      <c r="Q1134" s="187">
        <v>1.7</v>
      </c>
      <c r="R1134" s="187">
        <v>1.33</v>
      </c>
      <c r="S1134" s="190">
        <v>0.84899999999999998</v>
      </c>
      <c r="T1134" s="190">
        <v>0.876</v>
      </c>
      <c r="U1134" s="193">
        <v>6.7900000000000002E-2</v>
      </c>
      <c r="V1134" s="193">
        <v>3.8199999999999998E-2</v>
      </c>
      <c r="W1134" s="185" t="s">
        <v>8</v>
      </c>
      <c r="X1134" s="185" t="s">
        <v>8</v>
      </c>
      <c r="Y1134" s="187">
        <v>1.72</v>
      </c>
      <c r="Z1134" s="190">
        <v>0.76</v>
      </c>
      <c r="AA1134" s="14" t="str">
        <f t="shared" si="53"/>
        <v>WT</v>
      </c>
      <c r="AB1134" s="14">
        <v>0.998</v>
      </c>
      <c r="AC1134" s="14">
        <v>0.27600000000000002</v>
      </c>
    </row>
    <row r="1135" spans="1:29" s="198" customFormat="1" ht="15" x14ac:dyDescent="0.25">
      <c r="A1135" s="185" t="s">
        <v>1313</v>
      </c>
      <c r="B1135" s="185" t="s">
        <v>1585</v>
      </c>
      <c r="C1135" s="185" t="s">
        <v>618</v>
      </c>
      <c r="D1135" s="187">
        <v>6.5</v>
      </c>
      <c r="E1135" s="187">
        <v>1.92</v>
      </c>
      <c r="F1135" s="187">
        <v>4</v>
      </c>
      <c r="G1135" s="187">
        <v>4</v>
      </c>
      <c r="H1135" s="190">
        <v>0.23</v>
      </c>
      <c r="I1135" s="190">
        <v>0.255</v>
      </c>
      <c r="J1135" s="190">
        <v>0.55500000000000005</v>
      </c>
      <c r="K1135" s="187">
        <v>7.84</v>
      </c>
      <c r="L1135" s="185" t="s">
        <v>8</v>
      </c>
      <c r="M1135" s="187">
        <v>2.89</v>
      </c>
      <c r="N1135" s="187">
        <v>1.74</v>
      </c>
      <c r="O1135" s="190">
        <v>0.97399999999999998</v>
      </c>
      <c r="P1135" s="187">
        <v>1.23</v>
      </c>
      <c r="Q1135" s="187">
        <v>1.36</v>
      </c>
      <c r="R1135" s="187">
        <v>1.07</v>
      </c>
      <c r="S1135" s="190">
        <v>0.68200000000000005</v>
      </c>
      <c r="T1135" s="190">
        <v>0.84299999999999997</v>
      </c>
      <c r="U1135" s="193">
        <v>4.3299999999999998E-2</v>
      </c>
      <c r="V1135" s="193">
        <v>2.69E-2</v>
      </c>
      <c r="W1135" s="185" t="s">
        <v>8</v>
      </c>
      <c r="X1135" s="185" t="s">
        <v>8</v>
      </c>
      <c r="Y1135" s="187">
        <v>1.74</v>
      </c>
      <c r="Z1135" s="190">
        <v>0.73299999999999998</v>
      </c>
      <c r="AA1135" s="14" t="str">
        <f t="shared" si="53"/>
        <v>WT</v>
      </c>
      <c r="AB1135" s="14">
        <v>1.03</v>
      </c>
      <c r="AC1135" s="14">
        <v>0.24</v>
      </c>
    </row>
    <row r="1136" spans="1:29" s="198" customFormat="1" ht="15" x14ac:dyDescent="0.25">
      <c r="A1136" s="185" t="s">
        <v>1313</v>
      </c>
      <c r="B1136" s="185" t="s">
        <v>1586</v>
      </c>
      <c r="C1136" s="185" t="s">
        <v>618</v>
      </c>
      <c r="D1136" s="187">
        <v>5</v>
      </c>
      <c r="E1136" s="187">
        <v>1.48</v>
      </c>
      <c r="F1136" s="187">
        <v>3.95</v>
      </c>
      <c r="G1136" s="187">
        <v>3.94</v>
      </c>
      <c r="H1136" s="190">
        <v>0.17</v>
      </c>
      <c r="I1136" s="190">
        <v>0.20499999999999999</v>
      </c>
      <c r="J1136" s="190">
        <v>0.505</v>
      </c>
      <c r="K1136" s="187">
        <v>9.61</v>
      </c>
      <c r="L1136" s="185" t="s">
        <v>8</v>
      </c>
      <c r="M1136" s="187">
        <v>2.15</v>
      </c>
      <c r="N1136" s="187">
        <v>1.27</v>
      </c>
      <c r="O1136" s="190">
        <v>0.71699999999999997</v>
      </c>
      <c r="P1136" s="187">
        <v>1.2</v>
      </c>
      <c r="Q1136" s="187">
        <v>1.05</v>
      </c>
      <c r="R1136" s="190">
        <v>0.82599999999999996</v>
      </c>
      <c r="S1136" s="190">
        <v>0.53100000000000003</v>
      </c>
      <c r="T1136" s="190">
        <v>0.84</v>
      </c>
      <c r="U1136" s="193">
        <v>2.12E-2</v>
      </c>
      <c r="V1136" s="193">
        <v>1.14E-2</v>
      </c>
      <c r="W1136" s="185" t="s">
        <v>8</v>
      </c>
      <c r="X1136" s="185" t="s">
        <v>8</v>
      </c>
      <c r="Y1136" s="187">
        <v>1.7</v>
      </c>
      <c r="Z1136" s="190">
        <v>0.749</v>
      </c>
      <c r="AA1136" s="14" t="str">
        <f t="shared" si="53"/>
        <v>WT</v>
      </c>
      <c r="AB1136" s="14">
        <v>0.95299999999999996</v>
      </c>
      <c r="AC1136" s="14">
        <v>0.188</v>
      </c>
    </row>
    <row r="1137" spans="1:29" s="198" customFormat="1" ht="15" x14ac:dyDescent="0.25">
      <c r="A1137" s="185" t="s">
        <v>1313</v>
      </c>
      <c r="B1137" s="185" t="s">
        <v>1587</v>
      </c>
      <c r="C1137" s="185" t="s">
        <v>618</v>
      </c>
      <c r="D1137" s="186">
        <v>12.5</v>
      </c>
      <c r="E1137" s="187">
        <v>3.67</v>
      </c>
      <c r="F1137" s="187">
        <v>3.19</v>
      </c>
      <c r="G1137" s="187">
        <v>6.08</v>
      </c>
      <c r="H1137" s="190">
        <v>0.32</v>
      </c>
      <c r="I1137" s="190">
        <v>0.45500000000000002</v>
      </c>
      <c r="J1137" s="190">
        <v>0.70499999999999996</v>
      </c>
      <c r="K1137" s="187">
        <v>6.68</v>
      </c>
      <c r="L1137" s="185" t="s">
        <v>8</v>
      </c>
      <c r="M1137" s="187">
        <v>2.29</v>
      </c>
      <c r="N1137" s="187">
        <v>1.68</v>
      </c>
      <c r="O1137" s="190">
        <v>0.88600000000000001</v>
      </c>
      <c r="P1137" s="190">
        <v>0.78900000000000003</v>
      </c>
      <c r="Q1137" s="187">
        <v>8.5299999999999994</v>
      </c>
      <c r="R1137" s="187">
        <v>4.28</v>
      </c>
      <c r="S1137" s="187">
        <v>2.81</v>
      </c>
      <c r="T1137" s="187">
        <v>1.52</v>
      </c>
      <c r="U1137" s="190">
        <v>0.22900000000000001</v>
      </c>
      <c r="V1137" s="190">
        <v>0.17100000000000001</v>
      </c>
      <c r="W1137" s="185" t="s">
        <v>8</v>
      </c>
      <c r="X1137" s="185" t="s">
        <v>8</v>
      </c>
      <c r="Y1137" s="187">
        <v>1.76</v>
      </c>
      <c r="Z1137" s="190">
        <v>0.95299999999999996</v>
      </c>
      <c r="AA1137" s="14" t="str">
        <f t="shared" si="53"/>
        <v>WT</v>
      </c>
      <c r="AB1137" s="14">
        <v>0.61</v>
      </c>
      <c r="AC1137" s="14">
        <v>0.30199999999999999</v>
      </c>
    </row>
    <row r="1138" spans="1:29" s="198" customFormat="1" ht="15" x14ac:dyDescent="0.25">
      <c r="A1138" s="185" t="s">
        <v>1313</v>
      </c>
      <c r="B1138" s="185" t="s">
        <v>1588</v>
      </c>
      <c r="C1138" s="185" t="s">
        <v>618</v>
      </c>
      <c r="D1138" s="186">
        <v>10</v>
      </c>
      <c r="E1138" s="187">
        <v>2.94</v>
      </c>
      <c r="F1138" s="187">
        <v>3.1</v>
      </c>
      <c r="G1138" s="187">
        <v>6.02</v>
      </c>
      <c r="H1138" s="190">
        <v>0.26</v>
      </c>
      <c r="I1138" s="190">
        <v>0.36499999999999999</v>
      </c>
      <c r="J1138" s="190">
        <v>0.61499999999999999</v>
      </c>
      <c r="K1138" s="187">
        <v>8.25</v>
      </c>
      <c r="L1138" s="185" t="s">
        <v>8</v>
      </c>
      <c r="M1138" s="187">
        <v>1.76</v>
      </c>
      <c r="N1138" s="187">
        <v>1.29</v>
      </c>
      <c r="O1138" s="190">
        <v>0.69299999999999995</v>
      </c>
      <c r="P1138" s="190">
        <v>0.77400000000000002</v>
      </c>
      <c r="Q1138" s="187">
        <v>6.64</v>
      </c>
      <c r="R1138" s="187">
        <v>3.36</v>
      </c>
      <c r="S1138" s="187">
        <v>2.21</v>
      </c>
      <c r="T1138" s="187">
        <v>1.5</v>
      </c>
      <c r="U1138" s="190">
        <v>0.12</v>
      </c>
      <c r="V1138" s="193">
        <v>8.5800000000000001E-2</v>
      </c>
      <c r="W1138" s="185" t="s">
        <v>8</v>
      </c>
      <c r="X1138" s="185" t="s">
        <v>8</v>
      </c>
      <c r="Y1138" s="187">
        <v>1.73</v>
      </c>
      <c r="Z1138" s="190">
        <v>0.95299999999999996</v>
      </c>
      <c r="AA1138" s="14" t="str">
        <f t="shared" si="53"/>
        <v>WT</v>
      </c>
      <c r="AB1138" s="14">
        <v>0.56000000000000005</v>
      </c>
      <c r="AC1138" s="14">
        <v>0.24399999999999999</v>
      </c>
    </row>
    <row r="1139" spans="1:29" s="198" customFormat="1" ht="15" x14ac:dyDescent="0.25">
      <c r="A1139" s="185" t="s">
        <v>1313</v>
      </c>
      <c r="B1139" s="185" t="s">
        <v>1589</v>
      </c>
      <c r="C1139" s="185" t="s">
        <v>618</v>
      </c>
      <c r="D1139" s="187">
        <v>7.5</v>
      </c>
      <c r="E1139" s="187">
        <v>2.21</v>
      </c>
      <c r="F1139" s="187">
        <v>3</v>
      </c>
      <c r="G1139" s="187">
        <v>5.99</v>
      </c>
      <c r="H1139" s="190">
        <v>0.23</v>
      </c>
      <c r="I1139" s="190">
        <v>0.26</v>
      </c>
      <c r="J1139" s="190">
        <v>0.51</v>
      </c>
      <c r="K1139" s="186">
        <v>11.5</v>
      </c>
      <c r="L1139" s="185" t="s">
        <v>8</v>
      </c>
      <c r="M1139" s="187">
        <v>1.41</v>
      </c>
      <c r="N1139" s="187">
        <v>1.03</v>
      </c>
      <c r="O1139" s="190">
        <v>0.57699999999999996</v>
      </c>
      <c r="P1139" s="190">
        <v>0.79700000000000004</v>
      </c>
      <c r="Q1139" s="187">
        <v>4.66</v>
      </c>
      <c r="R1139" s="187">
        <v>2.37</v>
      </c>
      <c r="S1139" s="187">
        <v>1.56</v>
      </c>
      <c r="T1139" s="187">
        <v>1.45</v>
      </c>
      <c r="U1139" s="193">
        <v>5.04E-2</v>
      </c>
      <c r="V1139" s="193">
        <v>3.4200000000000001E-2</v>
      </c>
      <c r="W1139" s="185" t="s">
        <v>8</v>
      </c>
      <c r="X1139" s="185" t="s">
        <v>8</v>
      </c>
      <c r="Y1139" s="187">
        <v>1.71</v>
      </c>
      <c r="Z1139" s="190">
        <v>0.93700000000000006</v>
      </c>
      <c r="AA1139" s="14" t="str">
        <f t="shared" si="53"/>
        <v>WT</v>
      </c>
      <c r="AB1139" s="14">
        <v>0.55800000000000005</v>
      </c>
      <c r="AC1139" s="14">
        <v>0.185</v>
      </c>
    </row>
    <row r="1140" spans="1:29" s="198" customFormat="1" ht="15" x14ac:dyDescent="0.25">
      <c r="A1140" s="185" t="s">
        <v>1313</v>
      </c>
      <c r="B1140" s="185" t="s">
        <v>1590</v>
      </c>
      <c r="C1140" s="185" t="s">
        <v>618</v>
      </c>
      <c r="D1140" s="187">
        <v>8</v>
      </c>
      <c r="E1140" s="187">
        <v>2.37</v>
      </c>
      <c r="F1140" s="187">
        <v>3.14</v>
      </c>
      <c r="G1140" s="187">
        <v>4.03</v>
      </c>
      <c r="H1140" s="190">
        <v>0.26</v>
      </c>
      <c r="I1140" s="190">
        <v>0.40500000000000003</v>
      </c>
      <c r="J1140" s="190">
        <v>0.65500000000000003</v>
      </c>
      <c r="K1140" s="187">
        <v>4.9800000000000004</v>
      </c>
      <c r="L1140" s="185" t="s">
        <v>8</v>
      </c>
      <c r="M1140" s="187">
        <v>1.69</v>
      </c>
      <c r="N1140" s="187">
        <v>1.25</v>
      </c>
      <c r="O1140" s="190">
        <v>0.68500000000000005</v>
      </c>
      <c r="P1140" s="190">
        <v>0.84399999999999997</v>
      </c>
      <c r="Q1140" s="187">
        <v>2.21</v>
      </c>
      <c r="R1140" s="187">
        <v>1.69</v>
      </c>
      <c r="S1140" s="187">
        <v>1.1000000000000001</v>
      </c>
      <c r="T1140" s="190">
        <v>0.96599999999999997</v>
      </c>
      <c r="U1140" s="190">
        <v>0.111</v>
      </c>
      <c r="V1140" s="193">
        <v>4.2599999999999999E-2</v>
      </c>
      <c r="W1140" s="185" t="s">
        <v>8</v>
      </c>
      <c r="X1140" s="185" t="s">
        <v>8</v>
      </c>
      <c r="Y1140" s="187">
        <v>1.37</v>
      </c>
      <c r="Z1140" s="190">
        <v>0.88</v>
      </c>
      <c r="AA1140" s="14" t="str">
        <f t="shared" si="53"/>
        <v>WT</v>
      </c>
      <c r="AB1140" s="14">
        <v>0.67600000000000005</v>
      </c>
      <c r="AC1140" s="14">
        <v>0.29399999999999998</v>
      </c>
    </row>
    <row r="1141" spans="1:29" s="198" customFormat="1" ht="15" x14ac:dyDescent="0.25">
      <c r="A1141" s="185" t="s">
        <v>1313</v>
      </c>
      <c r="B1141" s="185" t="s">
        <v>1591</v>
      </c>
      <c r="C1141" s="185" t="s">
        <v>618</v>
      </c>
      <c r="D1141" s="187">
        <v>6</v>
      </c>
      <c r="E1141" s="187">
        <v>1.78</v>
      </c>
      <c r="F1141" s="187">
        <v>3.02</v>
      </c>
      <c r="G1141" s="187">
        <v>4</v>
      </c>
      <c r="H1141" s="190">
        <v>0.23</v>
      </c>
      <c r="I1141" s="190">
        <v>0.28000000000000003</v>
      </c>
      <c r="J1141" s="190">
        <v>0.53</v>
      </c>
      <c r="K1141" s="187">
        <v>7.14</v>
      </c>
      <c r="L1141" s="185" t="s">
        <v>8</v>
      </c>
      <c r="M1141" s="187">
        <v>1.32</v>
      </c>
      <c r="N1141" s="187">
        <v>1.01</v>
      </c>
      <c r="O1141" s="190">
        <v>0.56399999999999995</v>
      </c>
      <c r="P1141" s="190">
        <v>0.86199999999999999</v>
      </c>
      <c r="Q1141" s="187">
        <v>1.5</v>
      </c>
      <c r="R1141" s="187">
        <v>1.1599999999999999</v>
      </c>
      <c r="S1141" s="190">
        <v>0.748</v>
      </c>
      <c r="T1141" s="190">
        <v>0.91800000000000004</v>
      </c>
      <c r="U1141" s="193">
        <v>4.4900000000000002E-2</v>
      </c>
      <c r="V1141" s="193">
        <v>1.78E-2</v>
      </c>
      <c r="W1141" s="185" t="s">
        <v>8</v>
      </c>
      <c r="X1141" s="185" t="s">
        <v>8</v>
      </c>
      <c r="Y1141" s="187">
        <v>1.37</v>
      </c>
      <c r="Z1141" s="190">
        <v>0.84599999999999997</v>
      </c>
      <c r="AA1141" s="14" t="str">
        <f t="shared" si="53"/>
        <v>WT</v>
      </c>
      <c r="AB1141" s="14">
        <v>0.67700000000000005</v>
      </c>
      <c r="AC1141" s="14">
        <v>0.222</v>
      </c>
    </row>
    <row r="1142" spans="1:29" s="198" customFormat="1" ht="15" x14ac:dyDescent="0.25">
      <c r="A1142" s="185" t="s">
        <v>1313</v>
      </c>
      <c r="B1142" s="185" t="s">
        <v>1592</v>
      </c>
      <c r="C1142" s="185" t="s">
        <v>618</v>
      </c>
      <c r="D1142" s="187">
        <v>4.5</v>
      </c>
      <c r="E1142" s="187">
        <v>1.34</v>
      </c>
      <c r="F1142" s="187">
        <v>2.95</v>
      </c>
      <c r="G1142" s="187">
        <v>3.94</v>
      </c>
      <c r="H1142" s="190">
        <v>0.17</v>
      </c>
      <c r="I1142" s="190">
        <v>0.215</v>
      </c>
      <c r="J1142" s="190">
        <v>0.46500000000000002</v>
      </c>
      <c r="K1142" s="187">
        <v>9.16</v>
      </c>
      <c r="L1142" s="185" t="s">
        <v>8</v>
      </c>
      <c r="M1142" s="190">
        <v>0.95</v>
      </c>
      <c r="N1142" s="190">
        <v>0.72</v>
      </c>
      <c r="O1142" s="190">
        <v>0.40799999999999997</v>
      </c>
      <c r="P1142" s="190">
        <v>0.84199999999999997</v>
      </c>
      <c r="Q1142" s="187">
        <v>1.1000000000000001</v>
      </c>
      <c r="R1142" s="190">
        <v>0.85599999999999998</v>
      </c>
      <c r="S1142" s="190">
        <v>0.55700000000000005</v>
      </c>
      <c r="T1142" s="190">
        <v>0.90500000000000003</v>
      </c>
      <c r="U1142" s="193">
        <v>2.0199999999999999E-2</v>
      </c>
      <c r="V1142" s="195">
        <v>7.3600000000000002E-3</v>
      </c>
      <c r="W1142" s="185" t="s">
        <v>8</v>
      </c>
      <c r="X1142" s="185" t="s">
        <v>8</v>
      </c>
      <c r="Y1142" s="187">
        <v>1.34</v>
      </c>
      <c r="Z1142" s="190">
        <v>0.85199999999999998</v>
      </c>
      <c r="AA1142" s="14" t="str">
        <f t="shared" si="53"/>
        <v>WT</v>
      </c>
      <c r="AB1142" s="14">
        <v>0.623</v>
      </c>
      <c r="AC1142" s="14">
        <v>0.17</v>
      </c>
    </row>
    <row r="1143" spans="1:29" s="198" customFormat="1" ht="15" x14ac:dyDescent="0.25">
      <c r="A1143" s="185" t="s">
        <v>1313</v>
      </c>
      <c r="B1143" s="185" t="s">
        <v>1593</v>
      </c>
      <c r="C1143" s="185" t="s">
        <v>618</v>
      </c>
      <c r="D1143" s="187">
        <v>4.25</v>
      </c>
      <c r="E1143" s="187">
        <v>1.26</v>
      </c>
      <c r="F1143" s="187">
        <v>2.92</v>
      </c>
      <c r="G1143" s="187">
        <v>3.94</v>
      </c>
      <c r="H1143" s="190">
        <v>0.17</v>
      </c>
      <c r="I1143" s="190">
        <v>0.19500000000000001</v>
      </c>
      <c r="J1143" s="190">
        <v>0.44500000000000001</v>
      </c>
      <c r="K1143" s="186">
        <v>10.1</v>
      </c>
      <c r="L1143" s="185" t="s">
        <v>8</v>
      </c>
      <c r="M1143" s="190">
        <v>0.90500000000000003</v>
      </c>
      <c r="N1143" s="190">
        <v>0.7</v>
      </c>
      <c r="O1143" s="190">
        <v>0.39700000000000002</v>
      </c>
      <c r="P1143" s="190">
        <v>0.84799999999999998</v>
      </c>
      <c r="Q1143" s="190">
        <v>0.995</v>
      </c>
      <c r="R1143" s="190">
        <v>0.77800000000000002</v>
      </c>
      <c r="S1143" s="190">
        <v>0.505</v>
      </c>
      <c r="T1143" s="190">
        <v>0.89</v>
      </c>
      <c r="U1143" s="193">
        <v>1.66E-2</v>
      </c>
      <c r="V1143" s="195">
        <v>6.1999999999999998E-3</v>
      </c>
      <c r="W1143" s="185" t="s">
        <v>8</v>
      </c>
      <c r="X1143" s="185" t="s">
        <v>8</v>
      </c>
      <c r="Y1143" s="187">
        <v>1.34</v>
      </c>
      <c r="Z1143" s="190">
        <v>0.83899999999999997</v>
      </c>
      <c r="AA1143" s="14" t="str">
        <f t="shared" si="53"/>
        <v>WT</v>
      </c>
      <c r="AB1143" s="14">
        <v>0.63700000000000001</v>
      </c>
      <c r="AC1143" s="14">
        <v>0.16</v>
      </c>
    </row>
    <row r="1144" spans="1:29" s="198" customFormat="1" ht="15" x14ac:dyDescent="0.25">
      <c r="A1144" s="185" t="s">
        <v>1313</v>
      </c>
      <c r="B1144" s="185" t="s">
        <v>1594</v>
      </c>
      <c r="C1144" s="185" t="s">
        <v>618</v>
      </c>
      <c r="D1144" s="187">
        <v>9.5</v>
      </c>
      <c r="E1144" s="187">
        <v>2.78</v>
      </c>
      <c r="F1144" s="187">
        <v>2.58</v>
      </c>
      <c r="G1144" s="187">
        <v>5.03</v>
      </c>
      <c r="H1144" s="190">
        <v>0.27</v>
      </c>
      <c r="I1144" s="190">
        <v>0.43</v>
      </c>
      <c r="J1144" s="190">
        <v>0.73</v>
      </c>
      <c r="K1144" s="187">
        <v>5.85</v>
      </c>
      <c r="L1144" s="185" t="s">
        <v>8</v>
      </c>
      <c r="M1144" s="187">
        <v>1.01</v>
      </c>
      <c r="N1144" s="190">
        <v>0.97</v>
      </c>
      <c r="O1144" s="190">
        <v>0.48499999999999999</v>
      </c>
      <c r="P1144" s="190">
        <v>0.60399999999999998</v>
      </c>
      <c r="Q1144" s="187">
        <v>4.5599999999999996</v>
      </c>
      <c r="R1144" s="187">
        <v>2.76</v>
      </c>
      <c r="S1144" s="187">
        <v>1.81</v>
      </c>
      <c r="T1144" s="187">
        <v>1.28</v>
      </c>
      <c r="U1144" s="190">
        <v>0.157</v>
      </c>
      <c r="V1144" s="193">
        <v>7.7499999999999999E-2</v>
      </c>
      <c r="W1144" s="185" t="s">
        <v>8</v>
      </c>
      <c r="X1144" s="185" t="s">
        <v>8</v>
      </c>
      <c r="Y1144" s="187">
        <v>1.44</v>
      </c>
      <c r="Z1144" s="190">
        <v>0.96399999999999997</v>
      </c>
      <c r="AA1144" s="14" t="str">
        <f t="shared" si="53"/>
        <v>WT</v>
      </c>
      <c r="AB1144" s="14">
        <v>0.48699999999999999</v>
      </c>
      <c r="AC1144" s="14">
        <v>0.27600000000000002</v>
      </c>
    </row>
    <row r="1145" spans="1:29" s="198" customFormat="1" ht="15" x14ac:dyDescent="0.25">
      <c r="A1145" s="185" t="s">
        <v>1313</v>
      </c>
      <c r="B1145" s="185" t="s">
        <v>1595</v>
      </c>
      <c r="C1145" s="185" t="s">
        <v>618</v>
      </c>
      <c r="D1145" s="187">
        <v>8</v>
      </c>
      <c r="E1145" s="187">
        <v>2.35</v>
      </c>
      <c r="F1145" s="187">
        <v>2.5099999999999998</v>
      </c>
      <c r="G1145" s="187">
        <v>5</v>
      </c>
      <c r="H1145" s="190">
        <v>0.24</v>
      </c>
      <c r="I1145" s="190">
        <v>0.36</v>
      </c>
      <c r="J1145" s="190">
        <v>0.66</v>
      </c>
      <c r="K1145" s="187">
        <v>6.94</v>
      </c>
      <c r="L1145" s="185" t="s">
        <v>8</v>
      </c>
      <c r="M1145" s="190">
        <v>0.84499999999999997</v>
      </c>
      <c r="N1145" s="190">
        <v>0.80100000000000005</v>
      </c>
      <c r="O1145" s="190">
        <v>0.41299999999999998</v>
      </c>
      <c r="P1145" s="190">
        <v>0.59899999999999998</v>
      </c>
      <c r="Q1145" s="187">
        <v>3.75</v>
      </c>
      <c r="R1145" s="187">
        <v>2.2799999999999998</v>
      </c>
      <c r="S1145" s="187">
        <v>1.5</v>
      </c>
      <c r="T1145" s="187">
        <v>1.26</v>
      </c>
      <c r="U1145" s="193">
        <v>9.5799999999999996E-2</v>
      </c>
      <c r="V1145" s="193">
        <v>4.53E-2</v>
      </c>
      <c r="W1145" s="185" t="s">
        <v>8</v>
      </c>
      <c r="X1145" s="185" t="s">
        <v>8</v>
      </c>
      <c r="Y1145" s="187">
        <v>1.43</v>
      </c>
      <c r="Z1145" s="190">
        <v>0.96199999999999997</v>
      </c>
      <c r="AA1145" s="14" t="str">
        <f t="shared" si="53"/>
        <v>WT</v>
      </c>
      <c r="AB1145" s="14">
        <v>0.45800000000000002</v>
      </c>
      <c r="AC1145" s="14">
        <v>0.23499999999999999</v>
      </c>
    </row>
    <row r="1146" spans="1:29" s="198" customFormat="1" ht="15" x14ac:dyDescent="0.25">
      <c r="A1146" s="185" t="s">
        <v>1313</v>
      </c>
      <c r="B1146" s="185" t="s">
        <v>1596</v>
      </c>
      <c r="C1146" s="185" t="s">
        <v>618</v>
      </c>
      <c r="D1146" s="187">
        <v>6.5</v>
      </c>
      <c r="E1146" s="187">
        <v>1.91</v>
      </c>
      <c r="F1146" s="187">
        <v>2.08</v>
      </c>
      <c r="G1146" s="187">
        <v>4.0599999999999996</v>
      </c>
      <c r="H1146" s="190">
        <v>0.28000000000000003</v>
      </c>
      <c r="I1146" s="190">
        <v>0.34499999999999997</v>
      </c>
      <c r="J1146" s="190">
        <v>0.59499999999999997</v>
      </c>
      <c r="K1146" s="187">
        <v>5.88</v>
      </c>
      <c r="L1146" s="185" t="s">
        <v>8</v>
      </c>
      <c r="M1146" s="190">
        <v>0.52600000000000002</v>
      </c>
      <c r="N1146" s="190">
        <v>0.61599999999999999</v>
      </c>
      <c r="O1146" s="190">
        <v>0.32100000000000001</v>
      </c>
      <c r="P1146" s="190">
        <v>0.52400000000000002</v>
      </c>
      <c r="Q1146" s="187">
        <v>1.93</v>
      </c>
      <c r="R1146" s="187">
        <v>1.46</v>
      </c>
      <c r="S1146" s="190">
        <v>0.95</v>
      </c>
      <c r="T1146" s="187">
        <v>1</v>
      </c>
      <c r="U1146" s="193">
        <v>7.4999999999999997E-2</v>
      </c>
      <c r="V1146" s="193">
        <v>2.3300000000000001E-2</v>
      </c>
      <c r="W1146" s="185" t="s">
        <v>8</v>
      </c>
      <c r="X1146" s="185" t="s">
        <v>8</v>
      </c>
      <c r="Y1146" s="187">
        <v>1.1599999999999999</v>
      </c>
      <c r="Z1146" s="190">
        <v>0.94699999999999995</v>
      </c>
      <c r="AA1146" s="14" t="str">
        <f t="shared" si="53"/>
        <v>WT</v>
      </c>
      <c r="AB1146" s="14">
        <v>0.44</v>
      </c>
      <c r="AC1146" s="14">
        <v>0.23599999999999999</v>
      </c>
    </row>
  </sheetData>
  <sheetProtection sheet="1" objects="1" scenarios="1"/>
  <phoneticPr fontId="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User Guide</vt:lpstr>
      <vt:lpstr>Analysis</vt:lpstr>
      <vt:lpstr>Design</vt:lpstr>
      <vt:lpstr>I-Shape + Cover Plates</vt:lpstr>
      <vt:lpstr>I-Shape + WT</vt:lpstr>
      <vt:lpstr>I-Shape + Channel</vt:lpstr>
      <vt:lpstr> Stepped Column - Modified K</vt:lpstr>
      <vt:lpstr>Stepped Beam - Modified Cb</vt:lpstr>
      <vt:lpstr>Database v16.0 &amp; v16.0H</vt:lpstr>
      <vt:lpstr>Design!Print_Titles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Johnson, Sasha A.</dc:creator>
  <cp:lastModifiedBy>Johnson, Alexander S</cp:lastModifiedBy>
  <cp:lastPrinted>2024-11-26T19:42:52Z</cp:lastPrinted>
  <dcterms:created xsi:type="dcterms:W3CDTF">2015-06-05T18:17:20Z</dcterms:created>
  <dcterms:modified xsi:type="dcterms:W3CDTF">2025-02-25T15:15:21Z</dcterms:modified>
</cp:coreProperties>
</file>