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3315" windowHeight="5535" tabRatio="974" activeTab="0"/>
  </bookViews>
  <sheets>
    <sheet name="Doc" sheetId="1" r:id="rId1"/>
    <sheet name="ft-in-frac Calculator (Ver. 1)" sheetId="2" r:id="rId2"/>
    <sheet name="ft-in-frac Calculator (Ver. 2)" sheetId="3" r:id="rId3"/>
    <sheet name="Metric Conversion Calculator" sheetId="4" r:id="rId4"/>
    <sheet name="Misc. Conversions" sheetId="5" r:id="rId5"/>
  </sheets>
  <definedNames>
    <definedName name="_xlnm.Print_Area" localSheetId="0">'Doc'!$A$1:$J$53</definedName>
    <definedName name="_xlnm.Print_Area" localSheetId="1">'ft-in-frac Calculator (Ver. 1)'!$A$1:$M$51</definedName>
    <definedName name="_xlnm.Print_Area" localSheetId="2">'ft-in-frac Calculator (Ver. 2)'!$A$1:$J$51</definedName>
    <definedName name="_xlnm.Print_Area" localSheetId="3">'Metric Conversion Calculator'!$A$1:$J$51</definedName>
    <definedName name="_xlnm.Print_Area" localSheetId="4">'Misc. Conversions'!$A$1:$K$84</definedName>
    <definedName name="_xlnm.Print_Titles" localSheetId="4">'Misc. Conversions'!$1:$3</definedName>
  </definedNames>
  <calcPr fullCalcOnLoad="1"/>
</workbook>
</file>

<file path=xl/comments2.xml><?xml version="1.0" encoding="utf-8"?>
<comments xmlns="http://schemas.openxmlformats.org/spreadsheetml/2006/main">
  <authors>
    <author>O'Neal, Inc.</author>
    <author>Alex Tomanovich, P.E.</author>
    <author>Bob Dalpiaz</author>
  </authors>
  <commentList>
    <comment ref="F3" authorId="0">
      <text>
        <r>
          <rPr>
            <b/>
            <u val="single"/>
            <sz val="10"/>
            <rFont val="Arial"/>
            <family val="2"/>
          </rPr>
          <t xml:space="preserve">Required input is as follows:
</t>
        </r>
        <r>
          <rPr>
            <b/>
            <sz val="10"/>
            <rFont val="Arial"/>
            <family val="2"/>
          </rPr>
          <t xml:space="preserve">          </t>
        </r>
        <r>
          <rPr>
            <sz val="10"/>
            <rFont val="Arial"/>
            <family val="2"/>
          </rPr>
          <t xml:space="preserve">   </t>
        </r>
        <r>
          <rPr>
            <b/>
            <sz val="10"/>
            <color indexed="12"/>
            <rFont val="Arial"/>
            <family val="2"/>
          </rPr>
          <t>ft</t>
        </r>
        <r>
          <rPr>
            <sz val="10"/>
            <rFont val="Arial"/>
            <family val="2"/>
          </rPr>
          <t xml:space="preserve">   = whole feet
             </t>
        </r>
        <r>
          <rPr>
            <b/>
            <sz val="10"/>
            <color indexed="12"/>
            <rFont val="Arial"/>
            <family val="2"/>
          </rPr>
          <t>in</t>
        </r>
        <r>
          <rPr>
            <sz val="10"/>
            <rFont val="Arial"/>
            <family val="2"/>
          </rPr>
          <t xml:space="preserve">  = whole inches (0 to 11 max.)
             </t>
        </r>
        <r>
          <rPr>
            <b/>
            <sz val="10"/>
            <color indexed="12"/>
            <rFont val="Arial"/>
            <family val="2"/>
          </rPr>
          <t>N</t>
        </r>
        <r>
          <rPr>
            <sz val="10"/>
            <rFont val="Arial"/>
            <family val="2"/>
          </rPr>
          <t xml:space="preserve">   = numerator of fraction (if applicable)
             </t>
        </r>
        <r>
          <rPr>
            <b/>
            <sz val="10"/>
            <color indexed="12"/>
            <rFont val="Arial"/>
            <family val="2"/>
          </rPr>
          <t>D</t>
        </r>
        <r>
          <rPr>
            <sz val="10"/>
            <rFont val="Arial"/>
            <family val="2"/>
          </rPr>
          <t xml:space="preserve">   = denominator of fraction (if applicable)
</t>
        </r>
        <r>
          <rPr>
            <i/>
            <u val="single"/>
            <sz val="10"/>
            <color indexed="10"/>
            <rFont val="Arial"/>
            <family val="2"/>
          </rPr>
          <t>Note:</t>
        </r>
        <r>
          <rPr>
            <i/>
            <sz val="10"/>
            <color indexed="10"/>
            <rFont val="Arial"/>
            <family val="2"/>
          </rPr>
          <t xml:space="preserve">  Do not input a numerator value (N) &gt;= denominator value (D).
           However, 0/0 may be input for no fraction value, or clear cells 
           with "Clear Contents" (do not use "Space Bar").</t>
        </r>
      </text>
    </comment>
    <comment ref="L3" authorId="1">
      <text>
        <r>
          <rPr>
            <u val="single"/>
            <sz val="10"/>
            <rFont val="Arial"/>
            <family val="2"/>
          </rPr>
          <t>Note:</t>
        </r>
        <r>
          <rPr>
            <sz val="10"/>
            <rFont val="Arial"/>
            <family val="2"/>
          </rPr>
          <t xml:space="preserve"> conversion to millimeters (Metric units) is rounded to nearest whole millimeter.</t>
        </r>
        <r>
          <rPr>
            <sz val="8"/>
            <rFont val="Tahoma"/>
            <family val="2"/>
          </rPr>
          <t xml:space="preserve">
</t>
        </r>
      </text>
    </comment>
    <comment ref="W1" authorId="2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2"/>
          </rPr>
          <t xml:space="preserve">
written by:  Alex Tomanovich, P.E.</t>
        </r>
      </text>
    </comment>
    <comment ref="B4" authorId="1">
      <text>
        <r>
          <rPr>
            <sz val="10"/>
            <rFont val="Arial"/>
            <family val="2"/>
          </rPr>
          <t xml:space="preserve">Select arithmetic operator to be used for each entry below, either addition (+) or subtraction (-).
</t>
        </r>
        <r>
          <rPr>
            <sz val="10"/>
            <color indexed="10"/>
            <rFont val="Arial"/>
            <family val="2"/>
          </rPr>
          <t>Note: if left blank, program assumes addition (+).</t>
        </r>
      </text>
    </comment>
  </commentList>
</comments>
</file>

<file path=xl/comments3.xml><?xml version="1.0" encoding="utf-8"?>
<comments xmlns="http://schemas.openxmlformats.org/spreadsheetml/2006/main">
  <authors>
    <author>O'Neal, Inc.</author>
    <author>Alex Tomanovich, P.E.</author>
    <author>Bob Dalpiaz</author>
  </authors>
  <commentList>
    <comment ref="C3" authorId="0">
      <text>
        <r>
          <rPr>
            <b/>
            <u val="single"/>
            <sz val="10"/>
            <rFont val="Arial"/>
            <family val="2"/>
          </rPr>
          <t>Required input syntax is as follows:</t>
        </r>
        <r>
          <rPr>
            <sz val="10"/>
            <rFont val="Arial"/>
            <family val="2"/>
          </rPr>
          <t xml:space="preserve">
           </t>
        </r>
        <r>
          <rPr>
            <b/>
            <sz val="10"/>
            <color indexed="12"/>
            <rFont val="Arial"/>
            <family val="2"/>
          </rPr>
          <t xml:space="preserve">  ft.inNNDD</t>
        </r>
        <r>
          <rPr>
            <sz val="10"/>
            <rFont val="Arial"/>
            <family val="2"/>
          </rPr>
          <t xml:space="preserve">
where:   </t>
        </r>
        <r>
          <rPr>
            <b/>
            <sz val="10"/>
            <color indexed="12"/>
            <rFont val="Arial"/>
            <family val="2"/>
          </rPr>
          <t>ft</t>
        </r>
        <r>
          <rPr>
            <sz val="10"/>
            <rFont val="Arial"/>
            <family val="2"/>
          </rPr>
          <t xml:space="preserve">    = whole feet
             </t>
        </r>
        <r>
          <rPr>
            <b/>
            <sz val="10"/>
            <color indexed="12"/>
            <rFont val="Arial"/>
            <family val="2"/>
          </rPr>
          <t>in</t>
        </r>
        <r>
          <rPr>
            <sz val="10"/>
            <rFont val="Arial"/>
            <family val="2"/>
          </rPr>
          <t xml:space="preserve">    = whole inches (2 digits required, if applicable)
             </t>
        </r>
        <r>
          <rPr>
            <b/>
            <sz val="10"/>
            <color indexed="12"/>
            <rFont val="Arial"/>
            <family val="2"/>
          </rPr>
          <t>NN</t>
        </r>
        <r>
          <rPr>
            <sz val="10"/>
            <rFont val="Arial"/>
            <family val="2"/>
          </rPr>
          <t xml:space="preserve">  = numerator of fraction (2 digits required, if applicable)
             </t>
        </r>
        <r>
          <rPr>
            <b/>
            <sz val="10"/>
            <color indexed="12"/>
            <rFont val="Arial"/>
            <family val="2"/>
          </rPr>
          <t>DD</t>
        </r>
        <r>
          <rPr>
            <sz val="10"/>
            <rFont val="Arial"/>
            <family val="2"/>
          </rPr>
          <t xml:space="preserve">  = denominator of fraction (2 digits required, if applicable)
</t>
        </r>
        <r>
          <rPr>
            <b/>
            <u val="single"/>
            <sz val="10"/>
            <rFont val="Arial"/>
            <family val="2"/>
          </rPr>
          <t>Examples of input:</t>
        </r>
        <r>
          <rPr>
            <sz val="10"/>
            <rFont val="Arial"/>
            <family val="2"/>
          </rPr>
          <t xml:space="preserve">
             4'-7 1/8" is input as </t>
        </r>
        <r>
          <rPr>
            <sz val="10"/>
            <color indexed="12"/>
            <rFont val="Arial"/>
            <family val="2"/>
          </rPr>
          <t>4.070108</t>
        </r>
        <r>
          <rPr>
            <sz val="10"/>
            <rFont val="Arial"/>
            <family val="2"/>
          </rPr>
          <t xml:space="preserve">
            10'-11 13/16 is input as </t>
        </r>
        <r>
          <rPr>
            <sz val="10"/>
            <color indexed="12"/>
            <rFont val="Arial"/>
            <family val="2"/>
          </rPr>
          <t>10.111316</t>
        </r>
        <r>
          <rPr>
            <sz val="10"/>
            <rFont val="Arial"/>
            <family val="2"/>
          </rPr>
          <t xml:space="preserve">
             2'-1" is input as </t>
        </r>
        <r>
          <rPr>
            <sz val="10"/>
            <color indexed="12"/>
            <rFont val="Arial"/>
            <family val="2"/>
          </rPr>
          <t>2.01</t>
        </r>
        <r>
          <rPr>
            <sz val="10"/>
            <rFont val="Arial"/>
            <family val="2"/>
          </rPr>
          <t xml:space="preserve"> (trailing zeros not required)
     </t>
        </r>
        <r>
          <rPr>
            <i/>
            <u val="single"/>
            <sz val="10"/>
            <color indexed="10"/>
            <rFont val="Arial"/>
            <family val="2"/>
          </rPr>
          <t>Note:</t>
        </r>
        <r>
          <rPr>
            <i/>
            <sz val="10"/>
            <color indexed="10"/>
            <rFont val="Arial"/>
            <family val="2"/>
          </rPr>
          <t xml:space="preserve">  This version is included due to the similarity of form/function
                to past programs developed for HP handheld calculators.</t>
        </r>
      </text>
    </comment>
    <comment ref="I3" authorId="1">
      <text>
        <r>
          <rPr>
            <u val="single"/>
            <sz val="10"/>
            <rFont val="Arial"/>
            <family val="2"/>
          </rPr>
          <t>Note:</t>
        </r>
        <r>
          <rPr>
            <sz val="10"/>
            <rFont val="Arial"/>
            <family val="2"/>
          </rPr>
          <t xml:space="preserve"> conversion to millimeters (Metric units) is rounded to nearest whole millimeter.</t>
        </r>
        <r>
          <rPr>
            <sz val="8"/>
            <rFont val="Tahoma"/>
            <family val="2"/>
          </rPr>
          <t xml:space="preserve">
</t>
        </r>
      </text>
    </comment>
    <comment ref="W1" authorId="2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2"/>
          </rPr>
          <t xml:space="preserve">
written by:  Alex Tomanovich, P.E.</t>
        </r>
      </text>
    </comment>
    <comment ref="B4" authorId="1">
      <text>
        <r>
          <rPr>
            <sz val="10"/>
            <rFont val="Arial"/>
            <family val="2"/>
          </rPr>
          <t xml:space="preserve">Select arithmetic operator to be used for each entry below, either addition (+) or subtraction (-).
</t>
        </r>
        <r>
          <rPr>
            <sz val="10"/>
            <color indexed="10"/>
            <rFont val="Arial"/>
            <family val="2"/>
          </rPr>
          <t>Note: if left blank, program assumes addition (+).</t>
        </r>
      </text>
    </comment>
  </commentList>
</comments>
</file>

<file path=xl/comments4.xml><?xml version="1.0" encoding="utf-8"?>
<comments xmlns="http://schemas.openxmlformats.org/spreadsheetml/2006/main">
  <authors>
    <author>O'Neal, Inc.</author>
    <author>Alex Tomanovich, P.E.</author>
    <author>Bob Dalpiaz</author>
  </authors>
  <commentList>
    <comment ref="C28" authorId="0">
      <text>
        <r>
          <rPr>
            <sz val="10"/>
            <rFont val="Arial"/>
            <family val="2"/>
          </rPr>
          <t>Select either 1/16" or 1/32" accuracy for conversion of Metric to English units.</t>
        </r>
      </text>
    </comment>
    <comment ref="I3" authorId="1">
      <text>
        <r>
          <rPr>
            <u val="single"/>
            <sz val="10"/>
            <rFont val="Arial"/>
            <family val="2"/>
          </rPr>
          <t>Note:</t>
        </r>
        <r>
          <rPr>
            <sz val="10"/>
            <rFont val="Arial"/>
            <family val="2"/>
          </rPr>
          <t xml:space="preserve"> conversion to ft.-in. &amp; fraction (English units) is rounded to either nearest 1/16" or 1/32" as specified by desired accuracy below.</t>
        </r>
        <r>
          <rPr>
            <sz val="8"/>
            <rFont val="Tahoma"/>
            <family val="2"/>
          </rPr>
          <t xml:space="preserve">
</t>
        </r>
      </text>
    </comment>
    <comment ref="W1" authorId="2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2"/>
          </rPr>
          <t xml:space="preserve">
written by:  Alex Tomanovich, P.E.</t>
        </r>
      </text>
    </comment>
    <comment ref="B4" authorId="1">
      <text>
        <r>
          <rPr>
            <sz val="10"/>
            <rFont val="Arial"/>
            <family val="2"/>
          </rPr>
          <t xml:space="preserve">Select arithmetic operator to be used for each entry below, either addition (+) or subtraction (-).
</t>
        </r>
        <r>
          <rPr>
            <sz val="10"/>
            <color indexed="10"/>
            <rFont val="Arial"/>
            <family val="2"/>
          </rPr>
          <t>Note: if left blank, program assumes addition (+).</t>
        </r>
      </text>
    </comment>
  </commentList>
</comments>
</file>

<file path=xl/comments5.xml><?xml version="1.0" encoding="utf-8"?>
<comments xmlns="http://schemas.openxmlformats.org/spreadsheetml/2006/main">
  <authors>
    <author>Bob Dalpiaz</author>
  </authors>
  <commentList>
    <comment ref="L1" authorId="0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2"/>
          </rPr>
          <t xml:space="preserve">
written by:  Alex Tomanovich, P.E.</t>
        </r>
      </text>
    </comment>
  </commentList>
</comments>
</file>

<file path=xl/sharedStrings.xml><?xml version="1.0" encoding="utf-8"?>
<sst xmlns="http://schemas.openxmlformats.org/spreadsheetml/2006/main" count="320" uniqueCount="145">
  <si>
    <t>Input:</t>
  </si>
  <si>
    <t>+</t>
  </si>
  <si>
    <t>-</t>
  </si>
  <si>
    <t>Displayed as</t>
  </si>
  <si>
    <r>
      <t xml:space="preserve">Millimeters </t>
    </r>
    <r>
      <rPr>
        <b/>
        <sz val="8"/>
        <rFont val="Arial"/>
        <family val="2"/>
      </rPr>
      <t>(mm)</t>
    </r>
  </si>
  <si>
    <t>ft.</t>
  </si>
  <si>
    <t>in.</t>
  </si>
  <si>
    <t>D</t>
  </si>
  <si>
    <t>1/16</t>
  </si>
  <si>
    <t>1/32</t>
  </si>
  <si>
    <t xml:space="preserve">Accuracy = </t>
  </si>
  <si>
    <t>N</t>
  </si>
  <si>
    <t>ft.inNNDD</t>
  </si>
  <si>
    <t>ft. - in. &amp; fraction</t>
  </si>
  <si>
    <r>
      <t xml:space="preserve">ADD / SUBTRACT </t>
    </r>
    <r>
      <rPr>
        <b/>
        <i/>
        <sz val="12"/>
        <color indexed="10"/>
        <rFont val="Arial"/>
        <family val="2"/>
      </rPr>
      <t>"ft.-in. &amp; fraction"</t>
    </r>
    <r>
      <rPr>
        <b/>
        <sz val="12"/>
        <color indexed="8"/>
        <rFont val="Arial"/>
        <family val="2"/>
      </rPr>
      <t xml:space="preserve"> CALCULATOR</t>
    </r>
  </si>
  <si>
    <r>
      <t xml:space="preserve">ADD / SUBTRACT </t>
    </r>
    <r>
      <rPr>
        <b/>
        <i/>
        <sz val="12"/>
        <color indexed="10"/>
        <rFont val="Arial"/>
        <family val="2"/>
      </rPr>
      <t>"Metric"</t>
    </r>
    <r>
      <rPr>
        <b/>
        <sz val="12"/>
        <color indexed="8"/>
        <rFont val="Arial"/>
        <family val="2"/>
      </rPr>
      <t xml:space="preserve"> CALCULATOR</t>
    </r>
  </si>
  <si>
    <t>+/-</t>
  </si>
  <si>
    <t xml:space="preserve">Results = </t>
  </si>
  <si>
    <t>Conversion to</t>
  </si>
  <si>
    <t>Decimal Feet</t>
  </si>
  <si>
    <t>KN</t>
  </si>
  <si>
    <t>N/m</t>
  </si>
  <si>
    <t>KN/m</t>
  </si>
  <si>
    <t>N-m</t>
  </si>
  <si>
    <t>KN-m</t>
  </si>
  <si>
    <t>English Units</t>
  </si>
  <si>
    <t>Metric Units</t>
  </si>
  <si>
    <t>Force</t>
  </si>
  <si>
    <t>Moment</t>
  </si>
  <si>
    <t>=</t>
  </si>
  <si>
    <t>(or Torque)</t>
  </si>
  <si>
    <t>Mass</t>
  </si>
  <si>
    <t>kg</t>
  </si>
  <si>
    <t>lb</t>
  </si>
  <si>
    <t>kip</t>
  </si>
  <si>
    <t>Category</t>
  </si>
  <si>
    <t>Force/Length</t>
  </si>
  <si>
    <t>Force/Area</t>
  </si>
  <si>
    <t>(distributed)</t>
  </si>
  <si>
    <t>(concentrated)</t>
  </si>
  <si>
    <r>
      <t>ENGLISH to METRIC</t>
    </r>
    <r>
      <rPr>
        <b/>
        <sz val="12"/>
        <rFont val="Arial"/>
        <family val="2"/>
      </rPr>
      <t xml:space="preserve"> CONVERSIONS</t>
    </r>
  </si>
  <si>
    <r>
      <t>METRIC to ENGLISH</t>
    </r>
    <r>
      <rPr>
        <b/>
        <sz val="12"/>
        <rFont val="Arial"/>
        <family val="2"/>
      </rPr>
      <t xml:space="preserve"> CONVERSIONS</t>
    </r>
  </si>
  <si>
    <t>KN/cm</t>
  </si>
  <si>
    <t>N/cm</t>
  </si>
  <si>
    <t>N/cm^2</t>
  </si>
  <si>
    <t>KN/cm^2</t>
  </si>
  <si>
    <t>N-cm</t>
  </si>
  <si>
    <t>KN-cm</t>
  </si>
  <si>
    <t>Stress)</t>
  </si>
  <si>
    <t>lb-in</t>
  </si>
  <si>
    <t>lb-ft</t>
  </si>
  <si>
    <t>kip-in</t>
  </si>
  <si>
    <t>lb/in</t>
  </si>
  <si>
    <t>lb/ft</t>
  </si>
  <si>
    <t>kip/in</t>
  </si>
  <si>
    <t>kip/ft</t>
  </si>
  <si>
    <t>lb/in^2 = psi</t>
  </si>
  <si>
    <t>lb/ft^2 = psf</t>
  </si>
  <si>
    <t>kip/in^2 = ksi</t>
  </si>
  <si>
    <t>kip/ft^2 = ksf</t>
  </si>
  <si>
    <t>kip-ft</t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</si>
  <si>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</si>
  <si>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</si>
  <si>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</si>
  <si>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</si>
  <si>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</si>
  <si>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</si>
  <si>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>"CONVCALC" --- CONVERSION CALCULATOR</t>
  </si>
  <si>
    <t>ft-in-frac Calculator (Ver. 1)</t>
  </si>
  <si>
    <t>ft-in-frac Calculator (Ver. 2)</t>
  </si>
  <si>
    <t>Metric Conversion Calculator</t>
  </si>
  <si>
    <t>Misc. Conversions</t>
  </si>
  <si>
    <t>Miscellaneous English/Metric Conversions</t>
  </si>
  <si>
    <t>Calculator to Add and Subtract feet, inches, and fractions (Version 1)</t>
  </si>
  <si>
    <t>Calculator to Add and Subtract feet, inches, and fractions (Version 2)</t>
  </si>
  <si>
    <t>Calculator to Add/Subtract in Metric with English Conversions</t>
  </si>
  <si>
    <t>This program is a workbook consisting of five (5) worksheets, described as follows:</t>
  </si>
  <si>
    <t xml:space="preserve">"CONVCALC" is a spreadsheet program written in MS-Excel for the purpose of facilitating the adding and </t>
  </si>
  <si>
    <t xml:space="preserve">subtracting of numbers (dimensions) represented in English "ft.-in. &amp; fraction" format, as well as converting </t>
  </si>
  <si>
    <t>ft   = whole feet</t>
  </si>
  <si>
    <t>in  = whole inches (0 to 11 max.)</t>
  </si>
  <si>
    <t>in    = whole inches (2 digits required, if applicable)</t>
  </si>
  <si>
    <t>D  = denominator of fraction (if applicable)</t>
  </si>
  <si>
    <t>N  = numerator of fraction (if applicable)</t>
  </si>
  <si>
    <t>NN  = numerator of fraction (2 digits required, if applicable)</t>
  </si>
  <si>
    <t>DD = denominator of fraction (2 digits required, if applicable)</t>
  </si>
  <si>
    <t>ft     = whole feet</t>
  </si>
  <si>
    <t xml:space="preserve">where: </t>
  </si>
  <si>
    <t>4'-7 1/8" is input as 4.070108</t>
  </si>
  <si>
    <t>10'-11 13/16 is input as 10.111316</t>
  </si>
  <si>
    <t>2'-1" is input as 2.01 (trailing zeros not required)</t>
  </si>
  <si>
    <t xml:space="preserve">Examples of input: </t>
  </si>
  <si>
    <t xml:space="preserve">                 handheld calculators.</t>
  </si>
  <si>
    <t xml:space="preserve">those numbers to Metric (millimeter) equivalents.  Also included are some miscellaneous English/Metric  </t>
  </si>
  <si>
    <t>conversions pertaining specifically to mass, force, and unit length or area.</t>
  </si>
  <si>
    <t xml:space="preserve">1.  The "ft-in-frac Calculator (Ver. 1)" and "ft-in-frac Calculator (Ver. 2)" worksheets are two different input format </t>
  </si>
  <si>
    <t xml:space="preserve">     the input is first displayed for confirmation.  Then, it is converted into decimal feet, and finally converted into a </t>
  </si>
  <si>
    <t xml:space="preserve">     Metric equivalent in terms of millimeters.  Arithmetic results are totalled and displayed at the bottom.</t>
  </si>
  <si>
    <t>2.  The "ft-in-frac Calculator (Ver.1)" worksheet has a required input format as follows:</t>
  </si>
  <si>
    <t xml:space="preserve">     Note:  Do not input a numerator value (N) &gt;= denominator value (D).  However, 0/0 may be input for no fraction </t>
  </si>
  <si>
    <t xml:space="preserve">                value, or clear cells with "Clear Contents" (do not use "Space Bar").</t>
  </si>
  <si>
    <t>3.  The "ft-in-frac Calculator (Ver. 2)" worksheet has a required input format as follows:</t>
  </si>
  <si>
    <t xml:space="preserve">     Note:  This version is included due to the similarity of form and function to past programs developed for HP </t>
  </si>
  <si>
    <t xml:space="preserve">4.  In the "Metric Conversion Calculator" worksheet, the input in millimeters is converted into decimal feet and </t>
  </si>
  <si>
    <t xml:space="preserve">5.  In the "Metric Conversion Calculator" worksheet, the user can input the degree of accuracy to be used in </t>
  </si>
  <si>
    <t xml:space="preserve">     conversion from millimeters to feet, inch, and fraction format.  Either 1/16" or 1/32" may be selected.</t>
  </si>
  <si>
    <t xml:space="preserve">6.  All three (3) "Calculator" worksheets require the user to select the arithmetic operator to be used for each </t>
  </si>
  <si>
    <t xml:space="preserve">     entry, either addition (+) or subtraction (-).  Note: if left blank, the program assumes addition (+).</t>
  </si>
  <si>
    <t>7.  This program contains numerous “comment boxes” which contain a wide variety of information including</t>
  </si>
  <si>
    <t xml:space="preserve">     explanations of input or output items, equations used, data tables, etc.  (Note:  presence of a “comment box”</t>
  </si>
  <si>
    <t xml:space="preserve">     is denoted by a “red triangle” in the upper right-hand corner of a cell.  Merely move the mouse pointer to the </t>
  </si>
  <si>
    <t xml:space="preserve">     desired cell to view the contents of that particular "comment box".)</t>
  </si>
  <si>
    <t>Input Confirmation</t>
  </si>
  <si>
    <t>Mass/Length</t>
  </si>
  <si>
    <t>kg/cm</t>
  </si>
  <si>
    <t>kg/m</t>
  </si>
  <si>
    <t>Mass/Area</t>
  </si>
  <si>
    <t>kg/cm^2</t>
  </si>
  <si>
    <t>kg/m^2</t>
  </si>
  <si>
    <t>(Density)</t>
  </si>
  <si>
    <t>(Pressure or</t>
  </si>
  <si>
    <t>Mass/Volume</t>
  </si>
  <si>
    <t>lb/in^3 = pci</t>
  </si>
  <si>
    <t>lb/ft^3 = pcf</t>
  </si>
  <si>
    <t>kip/in^3 = kci</t>
  </si>
  <si>
    <t>kip/ft^3 = kcf</t>
  </si>
  <si>
    <t>N/cm^3</t>
  </si>
  <si>
    <t>N/m^3</t>
  </si>
  <si>
    <t>KN/cm^3</t>
  </si>
  <si>
    <t>KN/m^3</t>
  </si>
  <si>
    <t>lb/yd^3 = pcy</t>
  </si>
  <si>
    <t>kg/cm^3</t>
  </si>
  <si>
    <t>kg/m^3</t>
  </si>
  <si>
    <t>kip/yd^3 = kcy</t>
  </si>
  <si>
    <t>Weight/Volume</t>
  </si>
  <si>
    <t>(Specfic Weight)</t>
  </si>
  <si>
    <t>lb/yd</t>
  </si>
  <si>
    <t>(Weight)</t>
  </si>
  <si>
    <t>N/m^2 = Pa</t>
  </si>
  <si>
    <t>KN/m^2 = KPa</t>
  </si>
  <si>
    <t>MPa</t>
  </si>
  <si>
    <t>Version 1.3</t>
  </si>
  <si>
    <t xml:space="preserve">     versions of the same tool to add and/or subtract up to twenty (20) entries.  In each of these two (2) worksheets, </t>
  </si>
  <si>
    <t xml:space="preserve">     then displayed in feet, inch, and fraction format.  Arithmetic results for adding and/or subrtracting up to twenty </t>
  </si>
  <si>
    <t xml:space="preserve">     (20) entries are totalled and displayed at the bottom.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</si>
</sst>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&quot;$&quot;#,##0\ ;\(&quot;$&quot;#,##0\)"/>
    <numFmt numFmtId="168" formatCode="0.0000000E+00;\੄"/>
    <numFmt numFmtId="169" formatCode="0.00000"/>
    <numFmt numFmtId="170" formatCode="0.000"/>
    <numFmt numFmtId="171" formatCode="0.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4"/>
      <name val="Arial"/>
      <family val="2"/>
    </font>
    <font>
      <u val="single"/>
      <sz val="10"/>
      <color indexed="36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6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33" borderId="8" xfId="0" applyFill="1" applyBorder="1" applyAlignment="1" applyProtection="1">
      <alignment/>
      <protection hidden="1"/>
    </xf>
    <xf numFmtId="0" fontId="8" fillId="33" borderId="9" xfId="0" applyFont="1" applyFill="1" applyBorder="1" applyAlignment="1" applyProtection="1">
      <alignment/>
      <protection hidden="1"/>
    </xf>
    <xf numFmtId="166" fontId="8" fillId="33" borderId="10" xfId="0" applyNumberFormat="1" applyFont="1" applyFill="1" applyBorder="1" applyAlignment="1" applyProtection="1">
      <alignment/>
      <protection hidden="1"/>
    </xf>
    <xf numFmtId="0" fontId="8" fillId="33" borderId="10" xfId="0" applyNumberFormat="1" applyFont="1" applyFill="1" applyBorder="1" applyAlignment="1" applyProtection="1">
      <alignment/>
      <protection hidden="1"/>
    </xf>
    <xf numFmtId="13" fontId="8" fillId="33" borderId="10" xfId="0" applyNumberFormat="1" applyFont="1" applyFill="1" applyBorder="1" applyAlignment="1" applyProtection="1">
      <alignment/>
      <protection hidden="1"/>
    </xf>
    <xf numFmtId="0" fontId="8" fillId="33" borderId="11" xfId="0" applyNumberFormat="1" applyFont="1" applyFill="1" applyBorder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 horizontal="center"/>
      <protection hidden="1"/>
    </xf>
    <xf numFmtId="166" fontId="8" fillId="34" borderId="0" xfId="0" applyNumberFormat="1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9" fontId="2" fillId="34" borderId="0" xfId="0" applyNumberFormat="1" applyFont="1" applyFill="1" applyAlignment="1" applyProtection="1">
      <alignment horizontal="right"/>
      <protection hidden="1"/>
    </xf>
    <xf numFmtId="0" fontId="8" fillId="34" borderId="0" xfId="0" applyFont="1" applyFill="1" applyAlignment="1" applyProtection="1">
      <alignment horizontal="right"/>
      <protection hidden="1"/>
    </xf>
    <xf numFmtId="0" fontId="8" fillId="34" borderId="0" xfId="0" applyNumberFormat="1" applyFont="1" applyFill="1" applyBorder="1" applyAlignment="1" applyProtection="1">
      <alignment horizontal="right"/>
      <protection hidden="1"/>
    </xf>
    <xf numFmtId="0" fontId="8" fillId="34" borderId="0" xfId="0" applyFont="1" applyFill="1" applyBorder="1" applyAlignment="1" applyProtection="1">
      <alignment/>
      <protection hidden="1"/>
    </xf>
    <xf numFmtId="13" fontId="9" fillId="34" borderId="0" xfId="0" applyNumberFormat="1" applyFont="1" applyFill="1" applyBorder="1" applyAlignment="1" applyProtection="1">
      <alignment horizontal="left"/>
      <protection hidden="1"/>
    </xf>
    <xf numFmtId="0" fontId="8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4" borderId="0" xfId="0" applyNumberFormat="1" applyFill="1" applyAlignment="1" applyProtection="1">
      <alignment/>
      <protection hidden="1"/>
    </xf>
    <xf numFmtId="13" fontId="0" fillId="34" borderId="0" xfId="0" applyNumberFormat="1" applyFill="1" applyAlignment="1" applyProtection="1">
      <alignment/>
      <protection hidden="1"/>
    </xf>
    <xf numFmtId="0" fontId="1" fillId="33" borderId="8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8" fillId="33" borderId="10" xfId="0" applyFont="1" applyFill="1" applyBorder="1" applyAlignment="1" applyProtection="1">
      <alignment/>
      <protection hidden="1"/>
    </xf>
    <xf numFmtId="1" fontId="17" fillId="34" borderId="0" xfId="0" applyNumberFormat="1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right"/>
      <protection hidden="1"/>
    </xf>
    <xf numFmtId="0" fontId="8" fillId="34" borderId="0" xfId="0" applyFont="1" applyFill="1" applyBorder="1" applyAlignment="1" applyProtection="1">
      <alignment/>
      <protection hidden="1"/>
    </xf>
    <xf numFmtId="164" fontId="8" fillId="34" borderId="0" xfId="0" applyNumberFormat="1" applyFont="1" applyFill="1" applyBorder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1" fontId="8" fillId="34" borderId="0" xfId="0" applyNumberFormat="1" applyFont="1" applyFill="1" applyAlignment="1" applyProtection="1">
      <alignment/>
      <protection hidden="1"/>
    </xf>
    <xf numFmtId="13" fontId="8" fillId="34" borderId="0" xfId="0" applyNumberFormat="1" applyFont="1" applyFill="1" applyAlignment="1" applyProtection="1">
      <alignment/>
      <protection hidden="1"/>
    </xf>
    <xf numFmtId="0" fontId="8" fillId="34" borderId="0" xfId="0" applyNumberFormat="1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8" xfId="0" applyFont="1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 horizontal="centerContinuous"/>
      <protection hidden="1"/>
    </xf>
    <xf numFmtId="166" fontId="13" fillId="34" borderId="0" xfId="0" applyNumberFormat="1" applyFont="1" applyFill="1" applyBorder="1" applyAlignment="1" applyProtection="1">
      <alignment horizontal="centerContinuous"/>
      <protection hidden="1"/>
    </xf>
    <xf numFmtId="0" fontId="13" fillId="34" borderId="0" xfId="0" applyNumberFormat="1" applyFont="1" applyFill="1" applyBorder="1" applyAlignment="1" applyProtection="1">
      <alignment horizontal="centerContinuous"/>
      <protection hidden="1"/>
    </xf>
    <xf numFmtId="13" fontId="13" fillId="34" borderId="0" xfId="0" applyNumberFormat="1" applyFont="1" applyFill="1" applyBorder="1" applyAlignment="1" applyProtection="1">
      <alignment horizontal="centerContinuous"/>
      <protection hidden="1"/>
    </xf>
    <xf numFmtId="0" fontId="24" fillId="34" borderId="12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166" fontId="23" fillId="34" borderId="0" xfId="0" applyNumberFormat="1" applyFont="1" applyFill="1" applyBorder="1" applyAlignment="1" applyProtection="1">
      <alignment/>
      <protection hidden="1"/>
    </xf>
    <xf numFmtId="0" fontId="23" fillId="34" borderId="0" xfId="0" applyNumberFormat="1" applyFont="1" applyFill="1" applyBorder="1" applyAlignment="1" applyProtection="1">
      <alignment/>
      <protection hidden="1"/>
    </xf>
    <xf numFmtId="0" fontId="1" fillId="34" borderId="0" xfId="0" applyNumberFormat="1" applyFont="1" applyFill="1" applyBorder="1" applyAlignment="1" applyProtection="1">
      <alignment/>
      <protection hidden="1"/>
    </xf>
    <xf numFmtId="13" fontId="17" fillId="34" borderId="0" xfId="0" applyNumberFormat="1" applyFont="1" applyFill="1" applyBorder="1" applyAlignment="1" applyProtection="1">
      <alignment horizontal="center"/>
      <protection hidden="1"/>
    </xf>
    <xf numFmtId="166" fontId="2" fillId="34" borderId="0" xfId="0" applyNumberFormat="1" applyFont="1" applyFill="1" applyBorder="1" applyAlignment="1" applyProtection="1">
      <alignment horizontal="center"/>
      <protection hidden="1"/>
    </xf>
    <xf numFmtId="166" fontId="2" fillId="34" borderId="0" xfId="0" applyNumberFormat="1" applyFont="1" applyFill="1" applyBorder="1" applyAlignment="1" applyProtection="1" quotePrefix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right"/>
      <protection hidden="1"/>
    </xf>
    <xf numFmtId="13" fontId="12" fillId="34" borderId="0" xfId="0" applyNumberFormat="1" applyFont="1" applyFill="1" applyBorder="1" applyAlignment="1" applyProtection="1">
      <alignment horizontal="left"/>
      <protection hidden="1"/>
    </xf>
    <xf numFmtId="166" fontId="14" fillId="34" borderId="0" xfId="0" applyNumberFormat="1" applyFont="1" applyFill="1" applyBorder="1" applyAlignment="1" applyProtection="1" quotePrefix="1">
      <alignment horizontal="center"/>
      <protection hidden="1"/>
    </xf>
    <xf numFmtId="166" fontId="8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1" fontId="2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165" fontId="18" fillId="34" borderId="0" xfId="0" applyNumberFormat="1" applyFont="1" applyFill="1" applyBorder="1" applyAlignment="1" applyProtection="1">
      <alignment horizontal="center"/>
      <protection hidden="1"/>
    </xf>
    <xf numFmtId="0" fontId="8" fillId="34" borderId="0" xfId="0" applyNumberFormat="1" applyFont="1" applyFill="1" applyBorder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166" fontId="8" fillId="34" borderId="0" xfId="0" applyNumberFormat="1" applyFont="1" applyFill="1" applyAlignment="1" applyProtection="1">
      <alignment/>
      <protection hidden="1"/>
    </xf>
    <xf numFmtId="0" fontId="8" fillId="34" borderId="0" xfId="0" applyNumberFormat="1" applyFont="1" applyFill="1" applyAlignment="1" applyProtection="1">
      <alignment/>
      <protection hidden="1"/>
    </xf>
    <xf numFmtId="13" fontId="9" fillId="34" borderId="0" xfId="0" applyNumberFormat="1" applyFont="1" applyFill="1" applyBorder="1" applyAlignment="1" applyProtection="1">
      <alignment/>
      <protection hidden="1"/>
    </xf>
    <xf numFmtId="0" fontId="8" fillId="34" borderId="0" xfId="0" applyNumberFormat="1" applyFont="1" applyFill="1" applyBorder="1" applyAlignment="1" applyProtection="1">
      <alignment/>
      <protection hidden="1"/>
    </xf>
    <xf numFmtId="166" fontId="0" fillId="34" borderId="0" xfId="0" applyNumberFormat="1" applyFill="1" applyBorder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13" fontId="0" fillId="34" borderId="0" xfId="0" applyNumberForma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/>
      <protection hidden="1"/>
    </xf>
    <xf numFmtId="166" fontId="13" fillId="34" borderId="0" xfId="0" applyNumberFormat="1" applyFont="1" applyFill="1" applyBorder="1" applyAlignment="1" applyProtection="1">
      <alignment/>
      <protection hidden="1"/>
    </xf>
    <xf numFmtId="0" fontId="13" fillId="34" borderId="0" xfId="0" applyNumberFormat="1" applyFont="1" applyFill="1" applyBorder="1" applyAlignment="1" applyProtection="1">
      <alignment/>
      <protection hidden="1"/>
    </xf>
    <xf numFmtId="13" fontId="13" fillId="34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7" fillId="34" borderId="0" xfId="0" applyNumberFormat="1" applyFont="1" applyFill="1" applyBorder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/>
      <protection hidden="1"/>
    </xf>
    <xf numFmtId="166" fontId="17" fillId="34" borderId="0" xfId="0" applyNumberFormat="1" applyFont="1" applyFill="1" applyBorder="1" applyAlignment="1" applyProtection="1">
      <alignment/>
      <protection hidden="1"/>
    </xf>
    <xf numFmtId="1" fontId="17" fillId="34" borderId="0" xfId="0" applyNumberFormat="1" applyFont="1" applyFill="1" applyBorder="1" applyAlignment="1" applyProtection="1">
      <alignment/>
      <protection hidden="1"/>
    </xf>
    <xf numFmtId="13" fontId="17" fillId="34" borderId="0" xfId="0" applyNumberFormat="1" applyFont="1" applyFill="1" applyBorder="1" applyAlignment="1" applyProtection="1">
      <alignment/>
      <protection hidden="1"/>
    </xf>
    <xf numFmtId="0" fontId="17" fillId="34" borderId="0" xfId="0" applyFont="1" applyFill="1" applyBorder="1" applyAlignment="1" applyProtection="1" quotePrefix="1">
      <alignment/>
      <protection hidden="1"/>
    </xf>
    <xf numFmtId="166" fontId="2" fillId="34" borderId="0" xfId="0" applyNumberFormat="1" applyFont="1" applyFill="1" applyBorder="1" applyAlignment="1" applyProtection="1" quotePrefix="1">
      <alignment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1" fontId="2" fillId="34" borderId="0" xfId="0" applyNumberFormat="1" applyFont="1" applyFill="1" applyBorder="1" applyAlignment="1" applyProtection="1">
      <alignment/>
      <protection hidden="1"/>
    </xf>
    <xf numFmtId="13" fontId="12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13" fontId="2" fillId="34" borderId="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166" fontId="14" fillId="34" borderId="0" xfId="0" applyNumberFormat="1" applyFont="1" applyFill="1" applyBorder="1" applyAlignment="1" applyProtection="1" quotePrefix="1">
      <alignment/>
      <protection hidden="1"/>
    </xf>
    <xf numFmtId="165" fontId="18" fillId="34" borderId="0" xfId="0" applyNumberFormat="1" applyFont="1" applyFill="1" applyBorder="1" applyAlignment="1" applyProtection="1">
      <alignment/>
      <protection hidden="1"/>
    </xf>
    <xf numFmtId="166" fontId="8" fillId="34" borderId="0" xfId="0" applyNumberFormat="1" applyFont="1" applyFill="1" applyBorder="1" applyAlignment="1" applyProtection="1">
      <alignment/>
      <protection hidden="1"/>
    </xf>
    <xf numFmtId="13" fontId="8" fillId="34" borderId="0" xfId="0" applyNumberFormat="1" applyFont="1" applyFill="1" applyBorder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4" borderId="0" xfId="0" applyNumberFormat="1" applyFill="1" applyAlignment="1" applyProtection="1">
      <alignment/>
      <protection hidden="1"/>
    </xf>
    <xf numFmtId="13" fontId="0" fillId="34" borderId="0" xfId="0" applyNumberFormat="1" applyFill="1" applyAlignment="1" applyProtection="1">
      <alignment/>
      <protection hidden="1"/>
    </xf>
    <xf numFmtId="166" fontId="1" fillId="35" borderId="13" xfId="0" applyNumberFormat="1" applyFont="1" applyFill="1" applyBorder="1" applyAlignment="1" applyProtection="1">
      <alignment horizontal="center"/>
      <protection hidden="1"/>
    </xf>
    <xf numFmtId="166" fontId="1" fillId="35" borderId="14" xfId="0" applyNumberFormat="1" applyFont="1" applyFill="1" applyBorder="1" applyAlignment="1" applyProtection="1">
      <alignment horizontal="center"/>
      <protection hidden="1"/>
    </xf>
    <xf numFmtId="166" fontId="1" fillId="35" borderId="15" xfId="0" applyNumberFormat="1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13" fillId="35" borderId="16" xfId="0" applyFont="1" applyFill="1" applyBorder="1" applyAlignment="1" applyProtection="1">
      <alignment horizontal="centerContinuous"/>
      <protection hidden="1"/>
    </xf>
    <xf numFmtId="0" fontId="0" fillId="35" borderId="17" xfId="0" applyFill="1" applyBorder="1" applyAlignment="1" applyProtection="1">
      <alignment horizontal="centerContinuous"/>
      <protection hidden="1"/>
    </xf>
    <xf numFmtId="0" fontId="1" fillId="35" borderId="8" xfId="0" applyFont="1" applyFill="1" applyBorder="1" applyAlignment="1" applyProtection="1">
      <alignment horizontal="centerContinuous"/>
      <protection hidden="1"/>
    </xf>
    <xf numFmtId="0" fontId="1" fillId="35" borderId="0" xfId="0" applyFont="1" applyFill="1" applyBorder="1" applyAlignment="1" applyProtection="1">
      <alignment horizontal="centerContinuous"/>
      <protection hidden="1"/>
    </xf>
    <xf numFmtId="0" fontId="1" fillId="35" borderId="12" xfId="0" applyFont="1" applyFill="1" applyBorder="1" applyAlignment="1" applyProtection="1">
      <alignment horizontal="center"/>
      <protection hidden="1"/>
    </xf>
    <xf numFmtId="0" fontId="1" fillId="35" borderId="18" xfId="0" applyFont="1" applyFill="1" applyBorder="1" applyAlignment="1" applyProtection="1" quotePrefix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Border="1" applyAlignment="1" applyProtection="1" quotePrefix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166" fontId="2" fillId="34" borderId="0" xfId="0" applyNumberFormat="1" applyFont="1" applyFill="1" applyBorder="1" applyAlignment="1" applyProtection="1">
      <alignment/>
      <protection hidden="1"/>
    </xf>
    <xf numFmtId="164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1" fontId="2" fillId="34" borderId="0" xfId="0" applyNumberFormat="1" applyFont="1" applyFill="1" applyBorder="1" applyAlignment="1" applyProtection="1">
      <alignment horizontal="center"/>
      <protection hidden="1"/>
    </xf>
    <xf numFmtId="13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 quotePrefix="1">
      <alignment/>
      <protection hidden="1"/>
    </xf>
    <xf numFmtId="0" fontId="27" fillId="34" borderId="0" xfId="0" applyFont="1" applyFill="1" applyBorder="1" applyAlignment="1" applyProtection="1">
      <alignment horizontal="centerContinuous"/>
      <protection hidden="1"/>
    </xf>
    <xf numFmtId="166" fontId="10" fillId="34" borderId="0" xfId="0" applyNumberFormat="1" applyFont="1" applyFill="1" applyBorder="1" applyAlignment="1" applyProtection="1">
      <alignment/>
      <protection hidden="1"/>
    </xf>
    <xf numFmtId="0" fontId="10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 quotePrefix="1">
      <alignment horizontal="center"/>
      <protection hidden="1"/>
    </xf>
    <xf numFmtId="0" fontId="1" fillId="35" borderId="19" xfId="0" applyFont="1" applyFill="1" applyBorder="1" applyAlignment="1" applyProtection="1">
      <alignment horizontal="centerContinuous"/>
      <protection hidden="1"/>
    </xf>
    <xf numFmtId="0" fontId="1" fillId="35" borderId="20" xfId="0" applyFont="1" applyFill="1" applyBorder="1" applyAlignment="1" applyProtection="1">
      <alignment horizontal="centerContinuous"/>
      <protection hidden="1"/>
    </xf>
    <xf numFmtId="49" fontId="2" fillId="34" borderId="0" xfId="0" applyNumberFormat="1" applyFont="1" applyFill="1" applyBorder="1" applyAlignment="1" applyProtection="1">
      <alignment horizontal="right"/>
      <protection hidden="1"/>
    </xf>
    <xf numFmtId="0" fontId="8" fillId="34" borderId="0" xfId="0" applyFont="1" applyFill="1" applyBorder="1" applyAlignment="1" applyProtection="1">
      <alignment horizontal="right"/>
      <protection hidden="1"/>
    </xf>
    <xf numFmtId="166" fontId="8" fillId="33" borderId="11" xfId="0" applyNumberFormat="1" applyFont="1" applyFill="1" applyBorder="1" applyAlignment="1" applyProtection="1">
      <alignment/>
      <protection hidden="1"/>
    </xf>
    <xf numFmtId="0" fontId="1" fillId="35" borderId="14" xfId="0" applyFont="1" applyFill="1" applyBorder="1" applyAlignment="1" applyProtection="1">
      <alignment horizontal="center"/>
      <protection hidden="1"/>
    </xf>
    <xf numFmtId="0" fontId="1" fillId="35" borderId="21" xfId="0" applyFont="1" applyFill="1" applyBorder="1" applyAlignment="1" applyProtection="1">
      <alignment horizontal="centerContinuous"/>
      <protection hidden="1"/>
    </xf>
    <xf numFmtId="0" fontId="1" fillId="35" borderId="19" xfId="0" applyFont="1" applyFill="1" applyBorder="1" applyAlignment="1" applyProtection="1" quotePrefix="1">
      <alignment horizontal="center"/>
      <protection hidden="1"/>
    </xf>
    <xf numFmtId="0" fontId="1" fillId="35" borderId="22" xfId="0" applyNumberFormat="1" applyFont="1" applyFill="1" applyBorder="1" applyAlignment="1" applyProtection="1">
      <alignment horizontal="centerContinuous"/>
      <protection hidden="1"/>
    </xf>
    <xf numFmtId="0" fontId="1" fillId="35" borderId="0" xfId="0" applyNumberFormat="1" applyFont="1" applyFill="1" applyBorder="1" applyAlignment="1" applyProtection="1">
      <alignment horizontal="centerContinuous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Continuous"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0" fillId="35" borderId="0" xfId="0" applyFill="1" applyBorder="1" applyAlignment="1" applyProtection="1">
      <alignment horizontal="centerContinuous"/>
      <protection hidden="1"/>
    </xf>
    <xf numFmtId="0" fontId="0" fillId="35" borderId="24" xfId="0" applyFill="1" applyBorder="1" applyAlignment="1" applyProtection="1">
      <alignment horizontal="centerContinuous"/>
      <protection hidden="1"/>
    </xf>
    <xf numFmtId="0" fontId="1" fillId="35" borderId="25" xfId="0" applyFont="1" applyFill="1" applyBorder="1" applyAlignment="1" applyProtection="1">
      <alignment horizontal="centerContinuous"/>
      <protection hidden="1"/>
    </xf>
    <xf numFmtId="0" fontId="1" fillId="35" borderId="26" xfId="0" applyFont="1" applyFill="1" applyBorder="1" applyAlignment="1" applyProtection="1">
      <alignment horizontal="centerContinuous"/>
      <protection hidden="1"/>
    </xf>
    <xf numFmtId="0" fontId="0" fillId="35" borderId="22" xfId="0" applyFill="1" applyBorder="1" applyAlignment="1" applyProtection="1">
      <alignment horizontal="centerContinuous"/>
      <protection hidden="1"/>
    </xf>
    <xf numFmtId="0" fontId="0" fillId="35" borderId="20" xfId="0" applyFill="1" applyBorder="1" applyAlignment="1" applyProtection="1">
      <alignment horizontal="centerContinuous"/>
      <protection hidden="1"/>
    </xf>
    <xf numFmtId="0" fontId="1" fillId="35" borderId="27" xfId="0" applyFont="1" applyFill="1" applyBorder="1" applyAlignment="1" applyProtection="1">
      <alignment horizontal="center"/>
      <protection hidden="1"/>
    </xf>
    <xf numFmtId="166" fontId="14" fillId="34" borderId="0" xfId="0" applyNumberFormat="1" applyFont="1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Continuous"/>
      <protection hidden="1"/>
    </xf>
    <xf numFmtId="0" fontId="0" fillId="35" borderId="29" xfId="0" applyFill="1" applyBorder="1" applyAlignment="1" applyProtection="1">
      <alignment horizontal="centerContinuous"/>
      <protection hidden="1"/>
    </xf>
    <xf numFmtId="0" fontId="1" fillId="35" borderId="20" xfId="0" applyFont="1" applyFill="1" applyBorder="1" applyAlignment="1" applyProtection="1">
      <alignment horizontal="center"/>
      <protection hidden="1"/>
    </xf>
    <xf numFmtId="166" fontId="14" fillId="34" borderId="0" xfId="0" applyNumberFormat="1" applyFont="1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 horizontal="centerContinuous"/>
      <protection hidden="1"/>
    </xf>
    <xf numFmtId="0" fontId="0" fillId="35" borderId="31" xfId="0" applyFill="1" applyBorder="1" applyAlignment="1" applyProtection="1">
      <alignment horizontal="centerContinuous"/>
      <protection hidden="1"/>
    </xf>
    <xf numFmtId="0" fontId="28" fillId="34" borderId="0" xfId="0" applyFont="1" applyFill="1" applyBorder="1" applyAlignment="1" applyProtection="1">
      <alignment horizontal="left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3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1" fillId="35" borderId="17" xfId="0" applyFont="1" applyFill="1" applyBorder="1" applyAlignment="1" applyProtection="1">
      <alignment horizontal="centerContinuous"/>
      <protection hidden="1"/>
    </xf>
    <xf numFmtId="0" fontId="1" fillId="35" borderId="19" xfId="0" applyFont="1" applyFill="1" applyBorder="1" applyAlignment="1" applyProtection="1">
      <alignment horizontal="center"/>
      <protection hidden="1"/>
    </xf>
    <xf numFmtId="0" fontId="1" fillId="35" borderId="22" xfId="0" applyFont="1" applyFill="1" applyBorder="1" applyAlignment="1" applyProtection="1">
      <alignment horizontal="center"/>
      <protection hidden="1"/>
    </xf>
    <xf numFmtId="0" fontId="1" fillId="35" borderId="22" xfId="0" applyFont="1" applyFill="1" applyBorder="1" applyAlignment="1" applyProtection="1">
      <alignment/>
      <protection hidden="1"/>
    </xf>
    <xf numFmtId="0" fontId="1" fillId="35" borderId="31" xfId="0" applyFont="1" applyFill="1" applyBorder="1" applyAlignment="1" applyProtection="1">
      <alignment horizontal="center"/>
      <protection hidden="1"/>
    </xf>
    <xf numFmtId="0" fontId="1" fillId="35" borderId="32" xfId="0" applyFont="1" applyFill="1" applyBorder="1" applyAlignment="1" applyProtection="1">
      <alignment horizontal="center"/>
      <protection hidden="1"/>
    </xf>
    <xf numFmtId="0" fontId="1" fillId="35" borderId="33" xfId="0" applyFont="1" applyFill="1" applyBorder="1" applyAlignment="1" applyProtection="1">
      <alignment horizontal="center"/>
      <protection hidden="1"/>
    </xf>
    <xf numFmtId="0" fontId="26" fillId="33" borderId="0" xfId="0" applyFont="1" applyFill="1" applyBorder="1" applyAlignment="1" applyProtection="1">
      <alignment horizontal="center"/>
      <protection hidden="1"/>
    </xf>
    <xf numFmtId="0" fontId="19" fillId="35" borderId="16" xfId="0" applyFont="1" applyFill="1" applyBorder="1" applyAlignment="1" applyProtection="1">
      <alignment horizontal="centerContinuous"/>
      <protection hidden="1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4" fontId="8" fillId="33" borderId="25" xfId="0" applyNumberFormat="1" applyFont="1" applyFill="1" applyBorder="1" applyAlignment="1" applyProtection="1">
      <alignment horizontal="center"/>
      <protection locked="0"/>
    </xf>
    <xf numFmtId="164" fontId="8" fillId="33" borderId="25" xfId="0" applyNumberFormat="1" applyFont="1" applyFill="1" applyBorder="1" applyAlignment="1" applyProtection="1">
      <alignment horizontal="center"/>
      <protection hidden="1"/>
    </xf>
    <xf numFmtId="0" fontId="2" fillId="36" borderId="12" xfId="0" applyFont="1" applyFill="1" applyBorder="1" applyAlignment="1" applyProtection="1">
      <alignment horizontal="center"/>
      <protection locked="0"/>
    </xf>
    <xf numFmtId="0" fontId="30" fillId="33" borderId="0" xfId="0" applyFont="1" applyFill="1" applyAlignment="1">
      <alignment horizontal="centerContinuous"/>
    </xf>
    <xf numFmtId="0" fontId="31" fillId="33" borderId="0" xfId="0" applyFont="1" applyFill="1" applyAlignment="1">
      <alignment horizontal="centerContinuous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" fillId="33" borderId="34" xfId="0" applyFont="1" applyFill="1" applyBorder="1" applyAlignment="1">
      <alignment horizontal="centerContinuous"/>
    </xf>
    <xf numFmtId="0" fontId="32" fillId="33" borderId="35" xfId="0" applyFont="1" applyFill="1" applyBorder="1" applyAlignment="1">
      <alignment horizontal="centerContinuous"/>
    </xf>
    <xf numFmtId="0" fontId="32" fillId="33" borderId="36" xfId="0" applyFont="1" applyFill="1" applyBorder="1" applyAlignment="1">
      <alignment horizontal="centerContinuous"/>
    </xf>
    <xf numFmtId="0" fontId="0" fillId="33" borderId="35" xfId="0" applyFont="1" applyFill="1" applyBorder="1" applyAlignment="1">
      <alignment horizontal="centerContinuous"/>
    </xf>
    <xf numFmtId="0" fontId="0" fillId="33" borderId="36" xfId="0" applyFont="1" applyFill="1" applyBorder="1" applyAlignment="1">
      <alignment horizontal="centerContinuous"/>
    </xf>
    <xf numFmtId="0" fontId="31" fillId="0" borderId="37" xfId="0" applyFont="1" applyFill="1" applyBorder="1" applyAlignment="1">
      <alignment horizontal="centerContinuous"/>
    </xf>
    <xf numFmtId="0" fontId="31" fillId="0" borderId="28" xfId="0" applyFont="1" applyFill="1" applyBorder="1" applyAlignment="1">
      <alignment horizontal="centerContinuous"/>
    </xf>
    <xf numFmtId="0" fontId="31" fillId="0" borderId="29" xfId="0" applyFont="1" applyFill="1" applyBorder="1" applyAlignment="1">
      <alignment horizontal="centerContinuous"/>
    </xf>
    <xf numFmtId="0" fontId="31" fillId="0" borderId="26" xfId="0" applyFont="1" applyFill="1" applyBorder="1" applyAlignment="1">
      <alignment horizontal="centerContinuous"/>
    </xf>
    <xf numFmtId="0" fontId="31" fillId="0" borderId="22" xfId="0" applyFont="1" applyFill="1" applyBorder="1" applyAlignment="1">
      <alignment horizontal="centerContinuous"/>
    </xf>
    <xf numFmtId="0" fontId="31" fillId="0" borderId="20" xfId="0" applyFont="1" applyFill="1" applyBorder="1" applyAlignment="1">
      <alignment horizontal="centerContinuous"/>
    </xf>
    <xf numFmtId="0" fontId="31" fillId="33" borderId="0" xfId="0" applyFont="1" applyFill="1" applyBorder="1" applyAlignment="1">
      <alignment horizontal="centerContinuous"/>
    </xf>
    <xf numFmtId="0" fontId="31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1" fillId="0" borderId="25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Continuous"/>
    </xf>
    <xf numFmtId="0" fontId="31" fillId="0" borderId="24" xfId="0" applyFont="1" applyFill="1" applyBorder="1" applyAlignment="1">
      <alignment horizontal="centerContinuous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3" borderId="0" xfId="0" applyFont="1" applyFill="1" applyAlignment="1" applyProtection="1">
      <alignment/>
      <protection hidden="1"/>
    </xf>
    <xf numFmtId="0" fontId="3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166" fontId="10" fillId="36" borderId="38" xfId="0" applyNumberFormat="1" applyFont="1" applyFill="1" applyBorder="1" applyAlignment="1" applyProtection="1">
      <alignment horizontal="center"/>
      <protection locked="0"/>
    </xf>
    <xf numFmtId="0" fontId="10" fillId="36" borderId="39" xfId="0" applyNumberFormat="1" applyFont="1" applyFill="1" applyBorder="1" applyAlignment="1" applyProtection="1">
      <alignment horizontal="center"/>
      <protection locked="0"/>
    </xf>
    <xf numFmtId="0" fontId="10" fillId="36" borderId="40" xfId="0" applyNumberFormat="1" applyFont="1" applyFill="1" applyBorder="1" applyAlignment="1" applyProtection="1">
      <alignment horizontal="center"/>
      <protection locked="0"/>
    </xf>
    <xf numFmtId="0" fontId="10" fillId="36" borderId="41" xfId="0" applyNumberFormat="1" applyFont="1" applyFill="1" applyBorder="1" applyAlignment="1" applyProtection="1">
      <alignment horizontal="center"/>
      <protection locked="0"/>
    </xf>
    <xf numFmtId="0" fontId="10" fillId="33" borderId="42" xfId="0" applyNumberFormat="1" applyFont="1" applyFill="1" applyBorder="1" applyAlignment="1" applyProtection="1">
      <alignment horizontal="right"/>
      <protection hidden="1"/>
    </xf>
    <xf numFmtId="0" fontId="10" fillId="33" borderId="43" xfId="0" applyFont="1" applyFill="1" applyBorder="1" applyAlignment="1" applyProtection="1">
      <alignment horizontal="center"/>
      <protection hidden="1"/>
    </xf>
    <xf numFmtId="13" fontId="33" fillId="33" borderId="43" xfId="0" applyNumberFormat="1" applyFont="1" applyFill="1" applyBorder="1" applyAlignment="1" applyProtection="1">
      <alignment horizontal="left"/>
      <protection hidden="1"/>
    </xf>
    <xf numFmtId="0" fontId="10" fillId="33" borderId="44" xfId="0" applyNumberFormat="1" applyFont="1" applyFill="1" applyBorder="1" applyAlignment="1" applyProtection="1">
      <alignment horizontal="left"/>
      <protection hidden="1"/>
    </xf>
    <xf numFmtId="166" fontId="10" fillId="33" borderId="45" xfId="0" applyNumberFormat="1" applyFont="1" applyFill="1" applyBorder="1" applyAlignment="1" applyProtection="1">
      <alignment horizontal="center"/>
      <protection hidden="1"/>
    </xf>
    <xf numFmtId="166" fontId="10" fillId="36" borderId="46" xfId="0" applyNumberFormat="1" applyFont="1" applyFill="1" applyBorder="1" applyAlignment="1" applyProtection="1">
      <alignment horizontal="center"/>
      <protection locked="0"/>
    </xf>
    <xf numFmtId="0" fontId="10" fillId="36" borderId="47" xfId="0" applyNumberFormat="1" applyFont="1" applyFill="1" applyBorder="1" applyAlignment="1" applyProtection="1">
      <alignment horizontal="center"/>
      <protection locked="0"/>
    </xf>
    <xf numFmtId="0" fontId="10" fillId="36" borderId="48" xfId="0" applyNumberFormat="1" applyFont="1" applyFill="1" applyBorder="1" applyAlignment="1" applyProtection="1">
      <alignment horizontal="center"/>
      <protection locked="0"/>
    </xf>
    <xf numFmtId="0" fontId="10" fillId="36" borderId="49" xfId="0" applyNumberFormat="1" applyFont="1" applyFill="1" applyBorder="1" applyAlignment="1" applyProtection="1">
      <alignment horizontal="center"/>
      <protection locked="0"/>
    </xf>
    <xf numFmtId="0" fontId="10" fillId="33" borderId="50" xfId="0" applyNumberFormat="1" applyFont="1" applyFill="1" applyBorder="1" applyAlignment="1" applyProtection="1">
      <alignment horizontal="right"/>
      <protection hidden="1"/>
    </xf>
    <xf numFmtId="0" fontId="10" fillId="33" borderId="51" xfId="0" applyFont="1" applyFill="1" applyBorder="1" applyAlignment="1" applyProtection="1">
      <alignment horizontal="center"/>
      <protection hidden="1"/>
    </xf>
    <xf numFmtId="13" fontId="33" fillId="33" borderId="51" xfId="0" applyNumberFormat="1" applyFont="1" applyFill="1" applyBorder="1" applyAlignment="1" applyProtection="1">
      <alignment horizontal="left"/>
      <protection hidden="1"/>
    </xf>
    <xf numFmtId="0" fontId="10" fillId="33" borderId="52" xfId="0" applyNumberFormat="1" applyFont="1" applyFill="1" applyBorder="1" applyAlignment="1" applyProtection="1">
      <alignment horizontal="left"/>
      <protection hidden="1"/>
    </xf>
    <xf numFmtId="166" fontId="10" fillId="33" borderId="53" xfId="0" applyNumberFormat="1" applyFont="1" applyFill="1" applyBorder="1" applyAlignment="1" applyProtection="1">
      <alignment horizontal="center"/>
      <protection hidden="1"/>
    </xf>
    <xf numFmtId="166" fontId="10" fillId="36" borderId="54" xfId="0" applyNumberFormat="1" applyFont="1" applyFill="1" applyBorder="1" applyAlignment="1" applyProtection="1">
      <alignment horizontal="center"/>
      <protection locked="0"/>
    </xf>
    <xf numFmtId="166" fontId="10" fillId="36" borderId="55" xfId="0" applyNumberFormat="1" applyFont="1" applyFill="1" applyBorder="1" applyAlignment="1" applyProtection="1">
      <alignment horizontal="center"/>
      <protection locked="0"/>
    </xf>
    <xf numFmtId="0" fontId="10" fillId="36" borderId="56" xfId="0" applyNumberFormat="1" applyFont="1" applyFill="1" applyBorder="1" applyAlignment="1" applyProtection="1">
      <alignment horizontal="center"/>
      <protection locked="0"/>
    </xf>
    <xf numFmtId="0" fontId="10" fillId="36" borderId="57" xfId="0" applyNumberFormat="1" applyFont="1" applyFill="1" applyBorder="1" applyAlignment="1" applyProtection="1">
      <alignment horizontal="center"/>
      <protection locked="0"/>
    </xf>
    <xf numFmtId="0" fontId="10" fillId="36" borderId="58" xfId="0" applyNumberFormat="1" applyFont="1" applyFill="1" applyBorder="1" applyAlignment="1" applyProtection="1">
      <alignment horizontal="center"/>
      <protection locked="0"/>
    </xf>
    <xf numFmtId="0" fontId="10" fillId="33" borderId="59" xfId="0" applyNumberFormat="1" applyFont="1" applyFill="1" applyBorder="1" applyAlignment="1" applyProtection="1">
      <alignment horizontal="right"/>
      <protection hidden="1"/>
    </xf>
    <xf numFmtId="0" fontId="10" fillId="33" borderId="60" xfId="0" applyFont="1" applyFill="1" applyBorder="1" applyAlignment="1" applyProtection="1">
      <alignment horizontal="center"/>
      <protection hidden="1"/>
    </xf>
    <xf numFmtId="13" fontId="33" fillId="33" borderId="60" xfId="0" applyNumberFormat="1" applyFont="1" applyFill="1" applyBorder="1" applyAlignment="1" applyProtection="1">
      <alignment horizontal="left"/>
      <protection hidden="1"/>
    </xf>
    <xf numFmtId="0" fontId="10" fillId="33" borderId="61" xfId="0" applyNumberFormat="1" applyFont="1" applyFill="1" applyBorder="1" applyAlignment="1" applyProtection="1">
      <alignment horizontal="left"/>
      <protection hidden="1"/>
    </xf>
    <xf numFmtId="166" fontId="10" fillId="33" borderId="62" xfId="0" applyNumberFormat="1" applyFont="1" applyFill="1" applyBorder="1" applyAlignment="1" applyProtection="1">
      <alignment horizontal="center"/>
      <protection hidden="1"/>
    </xf>
    <xf numFmtId="0" fontId="10" fillId="33" borderId="34" xfId="0" applyNumberFormat="1" applyFont="1" applyFill="1" applyBorder="1" applyAlignment="1" applyProtection="1">
      <alignment horizontal="right"/>
      <protection hidden="1"/>
    </xf>
    <xf numFmtId="1" fontId="10" fillId="33" borderId="35" xfId="0" applyNumberFormat="1" applyFont="1" applyFill="1" applyBorder="1" applyAlignment="1" applyProtection="1">
      <alignment horizontal="center"/>
      <protection hidden="1"/>
    </xf>
    <xf numFmtId="13" fontId="33" fillId="33" borderId="35" xfId="0" applyNumberFormat="1" applyFont="1" applyFill="1" applyBorder="1" applyAlignment="1" applyProtection="1">
      <alignment horizontal="left"/>
      <protection hidden="1"/>
    </xf>
    <xf numFmtId="0" fontId="10" fillId="33" borderId="36" xfId="0" applyNumberFormat="1" applyFont="1" applyFill="1" applyBorder="1" applyAlignment="1" applyProtection="1">
      <alignment horizontal="left"/>
      <protection hidden="1"/>
    </xf>
    <xf numFmtId="166" fontId="10" fillId="33" borderId="12" xfId="0" applyNumberFormat="1" applyFont="1" applyFill="1" applyBorder="1" applyAlignment="1" applyProtection="1">
      <alignment horizontal="center"/>
      <protection hidden="1"/>
    </xf>
    <xf numFmtId="0" fontId="10" fillId="36" borderId="44" xfId="0" applyNumberFormat="1" applyFont="1" applyFill="1" applyBorder="1" applyAlignment="1" applyProtection="1">
      <alignment horizontal="center"/>
      <protection locked="0"/>
    </xf>
    <xf numFmtId="0" fontId="10" fillId="36" borderId="52" xfId="0" applyNumberFormat="1" applyFont="1" applyFill="1" applyBorder="1" applyAlignment="1" applyProtection="1">
      <alignment horizontal="center"/>
      <protection locked="0"/>
    </xf>
    <xf numFmtId="0" fontId="10" fillId="36" borderId="61" xfId="0" applyNumberFormat="1" applyFont="1" applyFill="1" applyBorder="1" applyAlignment="1" applyProtection="1">
      <alignment horizontal="center"/>
      <protection locked="0"/>
    </xf>
    <xf numFmtId="0" fontId="10" fillId="33" borderId="63" xfId="0" applyNumberFormat="1" applyFont="1" applyFill="1" applyBorder="1" applyAlignment="1" applyProtection="1">
      <alignment horizontal="left"/>
      <protection hidden="1"/>
    </xf>
    <xf numFmtId="164" fontId="34" fillId="36" borderId="12" xfId="0" applyNumberFormat="1" applyFont="1" applyFill="1" applyBorder="1" applyAlignment="1" applyProtection="1">
      <alignment horizontal="center"/>
      <protection locked="0"/>
    </xf>
    <xf numFmtId="164" fontId="34" fillId="36" borderId="64" xfId="0" applyNumberFormat="1" applyFont="1" applyFill="1" applyBorder="1" applyAlignment="1" applyProtection="1">
      <alignment horizontal="center"/>
      <protection locked="0"/>
    </xf>
    <xf numFmtId="164" fontId="10" fillId="36" borderId="12" xfId="0" applyNumberFormat="1" applyFont="1" applyFill="1" applyBorder="1" applyAlignment="1" applyProtection="1">
      <alignment horizontal="center"/>
      <protection locked="0"/>
    </xf>
    <xf numFmtId="164" fontId="10" fillId="36" borderId="36" xfId="0" applyNumberFormat="1" applyFont="1" applyFill="1" applyBorder="1" applyAlignment="1" applyProtection="1">
      <alignment horizontal="center"/>
      <protection locked="0"/>
    </xf>
    <xf numFmtId="164" fontId="10" fillId="36" borderId="64" xfId="0" applyNumberFormat="1" applyFont="1" applyFill="1" applyBorder="1" applyAlignment="1" applyProtection="1">
      <alignment horizontal="center"/>
      <protection locked="0"/>
    </xf>
    <xf numFmtId="2" fontId="34" fillId="36" borderId="44" xfId="0" applyNumberFormat="1" applyFont="1" applyFill="1" applyBorder="1" applyAlignment="1" applyProtection="1">
      <alignment horizontal="center"/>
      <protection locked="0"/>
    </xf>
    <xf numFmtId="2" fontId="34" fillId="36" borderId="52" xfId="0" applyNumberFormat="1" applyFont="1" applyFill="1" applyBorder="1" applyAlignment="1" applyProtection="1">
      <alignment horizontal="center"/>
      <protection locked="0"/>
    </xf>
    <xf numFmtId="2" fontId="34" fillId="36" borderId="61" xfId="0" applyNumberFormat="1" applyFont="1" applyFill="1" applyBorder="1" applyAlignment="1" applyProtection="1">
      <alignment horizontal="center"/>
      <protection locked="0"/>
    </xf>
    <xf numFmtId="2" fontId="34" fillId="33" borderId="45" xfId="0" applyNumberFormat="1" applyFont="1" applyFill="1" applyBorder="1" applyAlignment="1" applyProtection="1">
      <alignment horizontal="center"/>
      <protection hidden="1"/>
    </xf>
    <xf numFmtId="2" fontId="34" fillId="33" borderId="53" xfId="0" applyNumberFormat="1" applyFont="1" applyFill="1" applyBorder="1" applyAlignment="1" applyProtection="1">
      <alignment horizontal="center"/>
      <protection hidden="1"/>
    </xf>
    <xf numFmtId="2" fontId="34" fillId="33" borderId="62" xfId="0" applyNumberFormat="1" applyFont="1" applyFill="1" applyBorder="1" applyAlignment="1" applyProtection="1">
      <alignment horizontal="center"/>
      <protection hidden="1"/>
    </xf>
    <xf numFmtId="2" fontId="34" fillId="33" borderId="12" xfId="0" applyNumberFormat="1" applyFont="1" applyFill="1" applyBorder="1" applyAlignment="1" applyProtection="1">
      <alignment horizontal="center"/>
      <protection hidden="1"/>
    </xf>
    <xf numFmtId="2" fontId="2" fillId="34" borderId="0" xfId="0" applyNumberFormat="1" applyFont="1" applyFill="1" applyAlignment="1" applyProtection="1">
      <alignment/>
      <protection hidden="1"/>
    </xf>
    <xf numFmtId="2" fontId="2" fillId="34" borderId="0" xfId="0" applyNumberFormat="1" applyFont="1" applyFill="1" applyBorder="1" applyAlignment="1" applyProtection="1">
      <alignment horizontal="left"/>
      <protection hidden="1"/>
    </xf>
    <xf numFmtId="2" fontId="2" fillId="34" borderId="0" xfId="0" applyNumberFormat="1" applyFont="1" applyFill="1" applyBorder="1" applyAlignment="1" applyProtection="1" quotePrefix="1">
      <alignment horizontal="center"/>
      <protection hidden="1"/>
    </xf>
    <xf numFmtId="2" fontId="18" fillId="34" borderId="0" xfId="0" applyNumberFormat="1" applyFont="1" applyFill="1" applyBorder="1" applyAlignment="1" applyProtection="1">
      <alignment horizontal="center"/>
      <protection hidden="1"/>
    </xf>
    <xf numFmtId="2" fontId="2" fillId="34" borderId="0" xfId="0" applyNumberFormat="1" applyFont="1" applyFill="1" applyBorder="1" applyAlignment="1" applyProtection="1">
      <alignment horizontal="center"/>
      <protection hidden="1"/>
    </xf>
    <xf numFmtId="2" fontId="2" fillId="34" borderId="0" xfId="0" applyNumberFormat="1" applyFont="1" applyFill="1" applyBorder="1" applyAlignment="1" applyProtection="1">
      <alignment/>
      <protection hidden="1"/>
    </xf>
    <xf numFmtId="2" fontId="24" fillId="34" borderId="0" xfId="0" applyNumberFormat="1" applyFont="1" applyFill="1" applyBorder="1" applyAlignment="1" applyProtection="1">
      <alignment/>
      <protection hidden="1"/>
    </xf>
    <xf numFmtId="2" fontId="27" fillId="34" borderId="0" xfId="0" applyNumberFormat="1" applyFont="1" applyFill="1" applyBorder="1" applyAlignment="1" applyProtection="1">
      <alignment horizontal="centerContinuous"/>
      <protection hidden="1"/>
    </xf>
    <xf numFmtId="2" fontId="34" fillId="33" borderId="65" xfId="0" applyNumberFormat="1" applyFont="1" applyFill="1" applyBorder="1" applyAlignment="1" applyProtection="1">
      <alignment horizontal="center"/>
      <protection hidden="1"/>
    </xf>
    <xf numFmtId="2" fontId="34" fillId="33" borderId="66" xfId="0" applyNumberFormat="1" applyFont="1" applyFill="1" applyBorder="1" applyAlignment="1" applyProtection="1">
      <alignment horizontal="center"/>
      <protection hidden="1"/>
    </xf>
    <xf numFmtId="2" fontId="34" fillId="33" borderId="67" xfId="0" applyNumberFormat="1" applyFont="1" applyFill="1" applyBorder="1" applyAlignment="1" applyProtection="1">
      <alignment horizontal="center"/>
      <protection hidden="1"/>
    </xf>
    <xf numFmtId="2" fontId="34" fillId="33" borderId="68" xfId="0" applyNumberFormat="1" applyFont="1" applyFill="1" applyBorder="1" applyAlignment="1" applyProtection="1">
      <alignment horizontal="center"/>
      <protection hidden="1"/>
    </xf>
    <xf numFmtId="2" fontId="34" fillId="33" borderId="69" xfId="0" applyNumberFormat="1" applyFont="1" applyFill="1" applyBorder="1" applyAlignment="1" applyProtection="1">
      <alignment horizontal="center"/>
      <protection hidden="1"/>
    </xf>
    <xf numFmtId="2" fontId="34" fillId="33" borderId="70" xfId="0" applyNumberFormat="1" applyFont="1" applyFill="1" applyBorder="1" applyAlignment="1" applyProtection="1">
      <alignment horizontal="center"/>
      <protection hidden="1"/>
    </xf>
    <xf numFmtId="2" fontId="34" fillId="33" borderId="71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2" fontId="8" fillId="34" borderId="0" xfId="0" applyNumberFormat="1" applyFont="1" applyFill="1" applyAlignment="1" applyProtection="1">
      <alignment/>
      <protection hidden="1"/>
    </xf>
    <xf numFmtId="2" fontId="8" fillId="34" borderId="0" xfId="0" applyNumberFormat="1" applyFont="1" applyFill="1" applyAlignment="1" applyProtection="1">
      <alignment/>
      <protection hidden="1"/>
    </xf>
    <xf numFmtId="2" fontId="26" fillId="34" borderId="0" xfId="0" applyNumberFormat="1" applyFont="1" applyFill="1" applyBorder="1" applyAlignment="1" applyProtection="1">
      <alignment/>
      <protection hidden="1"/>
    </xf>
    <xf numFmtId="2" fontId="13" fillId="34" borderId="0" xfId="0" applyNumberFormat="1" applyFont="1" applyFill="1" applyBorder="1" applyAlignment="1" applyProtection="1">
      <alignment/>
      <protection hidden="1"/>
    </xf>
    <xf numFmtId="2" fontId="1" fillId="34" borderId="0" xfId="0" applyNumberFormat="1" applyFont="1" applyFill="1" applyBorder="1" applyAlignment="1" applyProtection="1">
      <alignment/>
      <protection hidden="1"/>
    </xf>
    <xf numFmtId="2" fontId="2" fillId="34" borderId="0" xfId="0" applyNumberFormat="1" applyFont="1" applyFill="1" applyBorder="1" applyAlignment="1" applyProtection="1">
      <alignment/>
      <protection hidden="1"/>
    </xf>
    <xf numFmtId="2" fontId="2" fillId="34" borderId="0" xfId="0" applyNumberFormat="1" applyFont="1" applyFill="1" applyBorder="1" applyAlignment="1" applyProtection="1">
      <alignment/>
      <protection hidden="1"/>
    </xf>
    <xf numFmtId="2" fontId="8" fillId="34" borderId="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3" borderId="25" xfId="0" applyFont="1" applyFill="1" applyBorder="1" applyAlignment="1" applyProtection="1">
      <alignment horizontal="center"/>
      <protection hidden="1"/>
    </xf>
    <xf numFmtId="166" fontId="10" fillId="33" borderId="68" xfId="0" applyNumberFormat="1" applyFont="1" applyFill="1" applyBorder="1" applyAlignment="1" applyProtection="1">
      <alignment horizontal="center"/>
      <protection hidden="1"/>
    </xf>
    <xf numFmtId="166" fontId="34" fillId="33" borderId="68" xfId="0" applyNumberFormat="1" applyFont="1" applyFill="1" applyBorder="1" applyAlignment="1" applyProtection="1">
      <alignment horizontal="center"/>
      <protection hidden="1"/>
    </xf>
    <xf numFmtId="0" fontId="23" fillId="35" borderId="32" xfId="0" applyFont="1" applyFill="1" applyBorder="1" applyAlignment="1" applyProtection="1">
      <alignment horizontal="center"/>
      <protection hidden="1"/>
    </xf>
    <xf numFmtId="0" fontId="23" fillId="35" borderId="33" xfId="0" applyFont="1" applyFill="1" applyBorder="1" applyAlignment="1" applyProtection="1">
      <alignment horizontal="center"/>
      <protection hidden="1"/>
    </xf>
    <xf numFmtId="164" fontId="34" fillId="33" borderId="68" xfId="0" applyNumberFormat="1" applyFont="1" applyFill="1" applyBorder="1" applyAlignment="1" applyProtection="1">
      <alignment horizontal="center"/>
      <protection hidden="1"/>
    </xf>
    <xf numFmtId="0" fontId="23" fillId="35" borderId="19" xfId="0" applyFont="1" applyFill="1" applyBorder="1" applyAlignment="1" applyProtection="1">
      <alignment horizontal="center"/>
      <protection hidden="1"/>
    </xf>
    <xf numFmtId="166" fontId="0" fillId="33" borderId="30" xfId="0" applyNumberFormat="1" applyFill="1" applyBorder="1" applyAlignment="1" applyProtection="1">
      <alignment horizontal="center"/>
      <protection hidden="1"/>
    </xf>
    <xf numFmtId="166" fontId="8" fillId="33" borderId="30" xfId="0" applyNumberFormat="1" applyFont="1" applyFill="1" applyBorder="1" applyAlignment="1" applyProtection="1">
      <alignment horizontal="center"/>
      <protection hidden="1"/>
    </xf>
    <xf numFmtId="0" fontId="23" fillId="35" borderId="8" xfId="0" applyFont="1" applyFill="1" applyBorder="1" applyAlignment="1" applyProtection="1">
      <alignment horizontal="center"/>
      <protection hidden="1"/>
    </xf>
    <xf numFmtId="0" fontId="23" fillId="35" borderId="72" xfId="0" applyFont="1" applyFill="1" applyBorder="1" applyAlignment="1" applyProtection="1">
      <alignment horizontal="center"/>
      <protection hidden="1"/>
    </xf>
    <xf numFmtId="166" fontId="10" fillId="33" borderId="68" xfId="0" applyNumberFormat="1" applyFont="1" applyFill="1" applyBorder="1" applyAlignment="1" applyProtection="1">
      <alignment horizontal="center"/>
      <protection hidden="1"/>
    </xf>
    <xf numFmtId="164" fontId="8" fillId="33" borderId="25" xfId="0" applyNumberFormat="1" applyFont="1" applyFill="1" applyBorder="1" applyAlignment="1" applyProtection="1">
      <alignment horizontal="center"/>
      <protection hidden="1"/>
    </xf>
    <xf numFmtId="166" fontId="10" fillId="33" borderId="73" xfId="0" applyNumberFormat="1" applyFont="1" applyFill="1" applyBorder="1" applyAlignment="1" applyProtection="1">
      <alignment horizontal="center"/>
      <protection hidden="1"/>
    </xf>
    <xf numFmtId="166" fontId="8" fillId="33" borderId="30" xfId="0" applyNumberFormat="1" applyFont="1" applyFill="1" applyBorder="1" applyAlignment="1" applyProtection="1">
      <alignment horizontal="center"/>
      <protection hidden="1"/>
    </xf>
    <xf numFmtId="0" fontId="28" fillId="33" borderId="0" xfId="0" applyFont="1" applyFill="1" applyBorder="1" applyAlignment="1" applyProtection="1">
      <alignment horizontal="center"/>
      <protection hidden="1"/>
    </xf>
    <xf numFmtId="164" fontId="10" fillId="36" borderId="36" xfId="0" applyNumberFormat="1" applyFont="1" applyFill="1" applyBorder="1" applyAlignment="1" applyProtection="1">
      <alignment horizontal="center"/>
      <protection locked="0"/>
    </xf>
    <xf numFmtId="164" fontId="34" fillId="36" borderId="12" xfId="0" applyNumberFormat="1" applyFont="1" applyFill="1" applyBorder="1" applyAlignment="1" applyProtection="1">
      <alignment horizontal="center"/>
      <protection locked="0"/>
    </xf>
    <xf numFmtId="166" fontId="8" fillId="33" borderId="25" xfId="0" applyNumberFormat="1" applyFont="1" applyFill="1" applyBorder="1" applyAlignment="1" applyProtection="1">
      <alignment horizontal="center"/>
      <protection hidden="1"/>
    </xf>
    <xf numFmtId="166" fontId="34" fillId="33" borderId="68" xfId="0" applyNumberFormat="1" applyFont="1" applyFill="1" applyBorder="1" applyAlignment="1" applyProtection="1">
      <alignment horizontal="center"/>
      <protection hidden="1"/>
    </xf>
    <xf numFmtId="164" fontId="10" fillId="33" borderId="68" xfId="0" applyNumberFormat="1" applyFont="1" applyFill="1" applyBorder="1" applyAlignment="1" applyProtection="1">
      <alignment horizontal="center"/>
      <protection hidden="1"/>
    </xf>
    <xf numFmtId="164" fontId="10" fillId="33" borderId="68" xfId="0" applyNumberFormat="1" applyFont="1" applyFill="1" applyBorder="1" applyAlignment="1" applyProtection="1">
      <alignment horizontal="center"/>
      <protection hidden="1"/>
    </xf>
    <xf numFmtId="164" fontId="34" fillId="33" borderId="73" xfId="0" applyNumberFormat="1" applyFont="1" applyFill="1" applyBorder="1" applyAlignment="1" applyProtection="1">
      <alignment horizontal="center"/>
      <protection hidden="1"/>
    </xf>
    <xf numFmtId="164" fontId="10" fillId="36" borderId="12" xfId="0" applyNumberFormat="1" applyFont="1" applyFill="1" applyBorder="1" applyAlignment="1" applyProtection="1">
      <alignment horizontal="center"/>
      <protection locked="0"/>
    </xf>
    <xf numFmtId="164" fontId="34" fillId="33" borderId="68" xfId="0" applyNumberFormat="1" applyFont="1" applyFill="1" applyBorder="1" applyAlignment="1" applyProtection="1">
      <alignment horizontal="center"/>
      <protection hidden="1"/>
    </xf>
    <xf numFmtId="166" fontId="8" fillId="33" borderId="63" xfId="0" applyNumberFormat="1" applyFont="1" applyFill="1" applyBorder="1" applyAlignment="1" applyProtection="1">
      <alignment horizontal="center"/>
      <protection hidden="1"/>
    </xf>
    <xf numFmtId="166" fontId="8" fillId="33" borderId="25" xfId="0" applyNumberFormat="1" applyFont="1" applyFill="1" applyBorder="1" applyAlignment="1" applyProtection="1">
      <alignment horizontal="center"/>
      <protection hidden="1"/>
    </xf>
    <xf numFmtId="166" fontId="10" fillId="36" borderId="74" xfId="0" applyNumberFormat="1" applyFont="1" applyFill="1" applyBorder="1" applyAlignment="1" applyProtection="1">
      <alignment horizontal="center"/>
      <protection locked="0"/>
    </xf>
    <xf numFmtId="0" fontId="10" fillId="36" borderId="75" xfId="0" applyNumberFormat="1" applyFont="1" applyFill="1" applyBorder="1" applyAlignment="1" applyProtection="1">
      <alignment horizontal="center"/>
      <protection locked="0"/>
    </xf>
    <xf numFmtId="0" fontId="10" fillId="36" borderId="76" xfId="0" applyNumberFormat="1" applyFont="1" applyFill="1" applyBorder="1" applyAlignment="1" applyProtection="1">
      <alignment horizontal="center"/>
      <protection locked="0"/>
    </xf>
    <xf numFmtId="0" fontId="10" fillId="36" borderId="77" xfId="0" applyNumberFormat="1" applyFont="1" applyFill="1" applyBorder="1" applyAlignment="1" applyProtection="1">
      <alignment horizontal="center"/>
      <protection locked="0"/>
    </xf>
    <xf numFmtId="0" fontId="10" fillId="36" borderId="78" xfId="0" applyNumberFormat="1" applyFont="1" applyFill="1" applyBorder="1" applyAlignment="1" applyProtection="1">
      <alignment horizontal="center"/>
      <protection locked="0"/>
    </xf>
    <xf numFmtId="166" fontId="10" fillId="36" borderId="33" xfId="0" applyNumberFormat="1" applyFont="1" applyFill="1" applyBorder="1" applyAlignment="1" applyProtection="1">
      <alignment horizontal="center"/>
      <protection locked="0"/>
    </xf>
    <xf numFmtId="2" fontId="34" fillId="36" borderId="78" xfId="0" applyNumberFormat="1" applyFont="1" applyFill="1" applyBorder="1" applyAlignment="1" applyProtection="1">
      <alignment horizontal="center"/>
      <protection locked="0"/>
    </xf>
    <xf numFmtId="2" fontId="10" fillId="34" borderId="0" xfId="0" applyNumberFormat="1" applyFont="1" applyFill="1" applyBorder="1" applyAlignment="1" applyProtection="1">
      <alignment horizontal="center" wrapText="1"/>
      <protection hidden="1"/>
    </xf>
    <xf numFmtId="2" fontId="2" fillId="34" borderId="0" xfId="0" applyNumberFormat="1" applyFont="1" applyFill="1" applyBorder="1" applyAlignment="1" applyProtection="1">
      <alignment horizontal="center" wrapText="1"/>
      <protection hidden="1"/>
    </xf>
    <xf numFmtId="0" fontId="10" fillId="33" borderId="65" xfId="0" applyNumberFormat="1" applyFont="1" applyFill="1" applyBorder="1" applyAlignment="1" applyProtection="1">
      <alignment horizontal="left"/>
      <protection hidden="1"/>
    </xf>
    <xf numFmtId="0" fontId="10" fillId="33" borderId="66" xfId="0" applyNumberFormat="1" applyFont="1" applyFill="1" applyBorder="1" applyAlignment="1" applyProtection="1">
      <alignment horizontal="left"/>
      <protection hidden="1"/>
    </xf>
    <xf numFmtId="0" fontId="10" fillId="33" borderId="67" xfId="0" applyNumberFormat="1" applyFont="1" applyFill="1" applyBorder="1" applyAlignment="1" applyProtection="1">
      <alignment horizontal="left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09600" y="161925"/>
          <a:ext cx="4752975" cy="409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09600" y="161925"/>
          <a:ext cx="4762500" cy="409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09600" y="161925"/>
          <a:ext cx="4762500" cy="409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85725</xdr:rowOff>
    </xdr:from>
    <xdr:to>
      <xdr:col>3</xdr:col>
      <xdr:colOff>409575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2514600" y="1276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</xdr:row>
      <xdr:rowOff>85725</xdr:rowOff>
    </xdr:from>
    <xdr:to>
      <xdr:col>3</xdr:col>
      <xdr:colOff>409575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2514600" y="1600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409575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514600" y="628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85725</xdr:rowOff>
    </xdr:from>
    <xdr:to>
      <xdr:col>3</xdr:col>
      <xdr:colOff>409575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>
          <a:off x="2514600" y="952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</xdr:row>
      <xdr:rowOff>85725</xdr:rowOff>
    </xdr:from>
    <xdr:to>
      <xdr:col>3</xdr:col>
      <xdr:colOff>409575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2514600" y="2247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85725</xdr:rowOff>
    </xdr:from>
    <xdr:to>
      <xdr:col>3</xdr:col>
      <xdr:colOff>409575</xdr:colOff>
      <xdr:row>17</xdr:row>
      <xdr:rowOff>85725</xdr:rowOff>
    </xdr:to>
    <xdr:sp>
      <xdr:nvSpPr>
        <xdr:cNvPr id="6" name="Line 6"/>
        <xdr:cNvSpPr>
          <a:spLocks/>
        </xdr:cNvSpPr>
      </xdr:nvSpPr>
      <xdr:spPr>
        <a:xfrm>
          <a:off x="2514600" y="2895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31</xdr:row>
      <xdr:rowOff>85725</xdr:rowOff>
    </xdr:from>
    <xdr:to>
      <xdr:col>3</xdr:col>
      <xdr:colOff>409575</xdr:colOff>
      <xdr:row>31</xdr:row>
      <xdr:rowOff>85725</xdr:rowOff>
    </xdr:to>
    <xdr:sp>
      <xdr:nvSpPr>
        <xdr:cNvPr id="7" name="Line 7"/>
        <xdr:cNvSpPr>
          <a:spLocks/>
        </xdr:cNvSpPr>
      </xdr:nvSpPr>
      <xdr:spPr>
        <a:xfrm>
          <a:off x="2514600" y="5162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41</xdr:row>
      <xdr:rowOff>85725</xdr:rowOff>
    </xdr:from>
    <xdr:to>
      <xdr:col>3</xdr:col>
      <xdr:colOff>409575</xdr:colOff>
      <xdr:row>41</xdr:row>
      <xdr:rowOff>85725</xdr:rowOff>
    </xdr:to>
    <xdr:sp>
      <xdr:nvSpPr>
        <xdr:cNvPr id="8" name="Line 8"/>
        <xdr:cNvSpPr>
          <a:spLocks/>
        </xdr:cNvSpPr>
      </xdr:nvSpPr>
      <xdr:spPr>
        <a:xfrm>
          <a:off x="2514600" y="6781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77</xdr:row>
      <xdr:rowOff>85725</xdr:rowOff>
    </xdr:from>
    <xdr:to>
      <xdr:col>3</xdr:col>
      <xdr:colOff>409575</xdr:colOff>
      <xdr:row>77</xdr:row>
      <xdr:rowOff>85725</xdr:rowOff>
    </xdr:to>
    <xdr:sp>
      <xdr:nvSpPr>
        <xdr:cNvPr id="9" name="Line 9"/>
        <xdr:cNvSpPr>
          <a:spLocks/>
        </xdr:cNvSpPr>
      </xdr:nvSpPr>
      <xdr:spPr>
        <a:xfrm>
          <a:off x="2514600" y="12611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81</xdr:row>
      <xdr:rowOff>85725</xdr:rowOff>
    </xdr:from>
    <xdr:to>
      <xdr:col>3</xdr:col>
      <xdr:colOff>409575</xdr:colOff>
      <xdr:row>81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514600" y="1325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85725</xdr:rowOff>
    </xdr:from>
    <xdr:to>
      <xdr:col>8</xdr:col>
      <xdr:colOff>409575</xdr:colOff>
      <xdr:row>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6381750" y="1276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9</xdr:row>
      <xdr:rowOff>85725</xdr:rowOff>
    </xdr:from>
    <xdr:to>
      <xdr:col>8</xdr:col>
      <xdr:colOff>409575</xdr:colOff>
      <xdr:row>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6381750" y="1600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</xdr:row>
      <xdr:rowOff>85725</xdr:rowOff>
    </xdr:from>
    <xdr:to>
      <xdr:col>8</xdr:col>
      <xdr:colOff>409575</xdr:colOff>
      <xdr:row>3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6381750" y="628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85725</xdr:rowOff>
    </xdr:from>
    <xdr:to>
      <xdr:col>8</xdr:col>
      <xdr:colOff>409575</xdr:colOff>
      <xdr:row>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6381750" y="952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85725</xdr:rowOff>
    </xdr:from>
    <xdr:to>
      <xdr:col>8</xdr:col>
      <xdr:colOff>409575</xdr:colOff>
      <xdr:row>13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6381750" y="2247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6381750" y="2895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85725</xdr:rowOff>
    </xdr:from>
    <xdr:to>
      <xdr:col>8</xdr:col>
      <xdr:colOff>409575</xdr:colOff>
      <xdr:row>31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6381750" y="5162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41</xdr:row>
      <xdr:rowOff>85725</xdr:rowOff>
    </xdr:from>
    <xdr:to>
      <xdr:col>8</xdr:col>
      <xdr:colOff>409575</xdr:colOff>
      <xdr:row>41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381750" y="6781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77</xdr:row>
      <xdr:rowOff>85725</xdr:rowOff>
    </xdr:from>
    <xdr:to>
      <xdr:col>8</xdr:col>
      <xdr:colOff>409575</xdr:colOff>
      <xdr:row>77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6381750" y="12611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81</xdr:row>
      <xdr:rowOff>85725</xdr:rowOff>
    </xdr:from>
    <xdr:to>
      <xdr:col>8</xdr:col>
      <xdr:colOff>409575</xdr:colOff>
      <xdr:row>81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6381750" y="1325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85725</xdr:rowOff>
    </xdr:from>
    <xdr:to>
      <xdr:col>3</xdr:col>
      <xdr:colOff>409575</xdr:colOff>
      <xdr:row>11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2514600" y="1924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85725</xdr:rowOff>
    </xdr:from>
    <xdr:to>
      <xdr:col>3</xdr:col>
      <xdr:colOff>409575</xdr:colOff>
      <xdr:row>15</xdr:row>
      <xdr:rowOff>85725</xdr:rowOff>
    </xdr:to>
    <xdr:sp>
      <xdr:nvSpPr>
        <xdr:cNvPr id="22" name="Line 23"/>
        <xdr:cNvSpPr>
          <a:spLocks/>
        </xdr:cNvSpPr>
      </xdr:nvSpPr>
      <xdr:spPr>
        <a:xfrm>
          <a:off x="2514600" y="2571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85725</xdr:rowOff>
    </xdr:from>
    <xdr:to>
      <xdr:col>8</xdr:col>
      <xdr:colOff>409575</xdr:colOff>
      <xdr:row>13</xdr:row>
      <xdr:rowOff>85725</xdr:rowOff>
    </xdr:to>
    <xdr:sp>
      <xdr:nvSpPr>
        <xdr:cNvPr id="23" name="Line 24"/>
        <xdr:cNvSpPr>
          <a:spLocks/>
        </xdr:cNvSpPr>
      </xdr:nvSpPr>
      <xdr:spPr>
        <a:xfrm>
          <a:off x="6381750" y="2247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6381750" y="2895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85725</xdr:rowOff>
    </xdr:from>
    <xdr:to>
      <xdr:col>8</xdr:col>
      <xdr:colOff>409575</xdr:colOff>
      <xdr:row>11</xdr:row>
      <xdr:rowOff>85725</xdr:rowOff>
    </xdr:to>
    <xdr:sp>
      <xdr:nvSpPr>
        <xdr:cNvPr id="25" name="Line 26"/>
        <xdr:cNvSpPr>
          <a:spLocks/>
        </xdr:cNvSpPr>
      </xdr:nvSpPr>
      <xdr:spPr>
        <a:xfrm>
          <a:off x="6381750" y="1924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85725</xdr:rowOff>
    </xdr:from>
    <xdr:to>
      <xdr:col>8</xdr:col>
      <xdr:colOff>409575</xdr:colOff>
      <xdr:row>15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6381750" y="2571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31</xdr:row>
      <xdr:rowOff>85725</xdr:rowOff>
    </xdr:from>
    <xdr:to>
      <xdr:col>3</xdr:col>
      <xdr:colOff>409575</xdr:colOff>
      <xdr:row>31</xdr:row>
      <xdr:rowOff>85725</xdr:rowOff>
    </xdr:to>
    <xdr:sp>
      <xdr:nvSpPr>
        <xdr:cNvPr id="27" name="Line 28"/>
        <xdr:cNvSpPr>
          <a:spLocks/>
        </xdr:cNvSpPr>
      </xdr:nvSpPr>
      <xdr:spPr>
        <a:xfrm>
          <a:off x="2514600" y="5162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41</xdr:row>
      <xdr:rowOff>85725</xdr:rowOff>
    </xdr:from>
    <xdr:to>
      <xdr:col>3</xdr:col>
      <xdr:colOff>409575</xdr:colOff>
      <xdr:row>41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2514600" y="6781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29</xdr:row>
      <xdr:rowOff>85725</xdr:rowOff>
    </xdr:from>
    <xdr:to>
      <xdr:col>3</xdr:col>
      <xdr:colOff>409575</xdr:colOff>
      <xdr:row>29</xdr:row>
      <xdr:rowOff>85725</xdr:rowOff>
    </xdr:to>
    <xdr:sp>
      <xdr:nvSpPr>
        <xdr:cNvPr id="29" name="Line 30"/>
        <xdr:cNvSpPr>
          <a:spLocks/>
        </xdr:cNvSpPr>
      </xdr:nvSpPr>
      <xdr:spPr>
        <a:xfrm>
          <a:off x="2514600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33</xdr:row>
      <xdr:rowOff>85725</xdr:rowOff>
    </xdr:from>
    <xdr:to>
      <xdr:col>3</xdr:col>
      <xdr:colOff>409575</xdr:colOff>
      <xdr:row>33</xdr:row>
      <xdr:rowOff>85725</xdr:rowOff>
    </xdr:to>
    <xdr:sp>
      <xdr:nvSpPr>
        <xdr:cNvPr id="30" name="Line 31"/>
        <xdr:cNvSpPr>
          <a:spLocks/>
        </xdr:cNvSpPr>
      </xdr:nvSpPr>
      <xdr:spPr>
        <a:xfrm>
          <a:off x="2514600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85725</xdr:rowOff>
    </xdr:from>
    <xdr:to>
      <xdr:col>8</xdr:col>
      <xdr:colOff>409575</xdr:colOff>
      <xdr:row>31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6381750" y="5162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41</xdr:row>
      <xdr:rowOff>85725</xdr:rowOff>
    </xdr:from>
    <xdr:to>
      <xdr:col>8</xdr:col>
      <xdr:colOff>409575</xdr:colOff>
      <xdr:row>41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6381750" y="6781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29</xdr:row>
      <xdr:rowOff>85725</xdr:rowOff>
    </xdr:from>
    <xdr:to>
      <xdr:col>8</xdr:col>
      <xdr:colOff>409575</xdr:colOff>
      <xdr:row>29</xdr:row>
      <xdr:rowOff>85725</xdr:rowOff>
    </xdr:to>
    <xdr:sp>
      <xdr:nvSpPr>
        <xdr:cNvPr id="33" name="Line 34"/>
        <xdr:cNvSpPr>
          <a:spLocks/>
        </xdr:cNvSpPr>
      </xdr:nvSpPr>
      <xdr:spPr>
        <a:xfrm>
          <a:off x="6381750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33</xdr:row>
      <xdr:rowOff>85725</xdr:rowOff>
    </xdr:from>
    <xdr:to>
      <xdr:col>8</xdr:col>
      <xdr:colOff>409575</xdr:colOff>
      <xdr:row>33</xdr:row>
      <xdr:rowOff>85725</xdr:rowOff>
    </xdr:to>
    <xdr:sp>
      <xdr:nvSpPr>
        <xdr:cNvPr id="34" name="Line 35"/>
        <xdr:cNvSpPr>
          <a:spLocks/>
        </xdr:cNvSpPr>
      </xdr:nvSpPr>
      <xdr:spPr>
        <a:xfrm>
          <a:off x="6381750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77</xdr:row>
      <xdr:rowOff>85725</xdr:rowOff>
    </xdr:from>
    <xdr:to>
      <xdr:col>3</xdr:col>
      <xdr:colOff>409575</xdr:colOff>
      <xdr:row>77</xdr:row>
      <xdr:rowOff>85725</xdr:rowOff>
    </xdr:to>
    <xdr:sp>
      <xdr:nvSpPr>
        <xdr:cNvPr id="35" name="Line 36"/>
        <xdr:cNvSpPr>
          <a:spLocks/>
        </xdr:cNvSpPr>
      </xdr:nvSpPr>
      <xdr:spPr>
        <a:xfrm>
          <a:off x="2514600" y="12611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81</xdr:row>
      <xdr:rowOff>85725</xdr:rowOff>
    </xdr:from>
    <xdr:to>
      <xdr:col>3</xdr:col>
      <xdr:colOff>409575</xdr:colOff>
      <xdr:row>81</xdr:row>
      <xdr:rowOff>85725</xdr:rowOff>
    </xdr:to>
    <xdr:sp>
      <xdr:nvSpPr>
        <xdr:cNvPr id="36" name="Line 37"/>
        <xdr:cNvSpPr>
          <a:spLocks/>
        </xdr:cNvSpPr>
      </xdr:nvSpPr>
      <xdr:spPr>
        <a:xfrm>
          <a:off x="2514600" y="1325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77</xdr:row>
      <xdr:rowOff>85725</xdr:rowOff>
    </xdr:from>
    <xdr:to>
      <xdr:col>3</xdr:col>
      <xdr:colOff>409575</xdr:colOff>
      <xdr:row>77</xdr:row>
      <xdr:rowOff>85725</xdr:rowOff>
    </xdr:to>
    <xdr:sp>
      <xdr:nvSpPr>
        <xdr:cNvPr id="37" name="Line 38"/>
        <xdr:cNvSpPr>
          <a:spLocks/>
        </xdr:cNvSpPr>
      </xdr:nvSpPr>
      <xdr:spPr>
        <a:xfrm>
          <a:off x="2514600" y="12611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81</xdr:row>
      <xdr:rowOff>85725</xdr:rowOff>
    </xdr:from>
    <xdr:to>
      <xdr:col>3</xdr:col>
      <xdr:colOff>409575</xdr:colOff>
      <xdr:row>81</xdr:row>
      <xdr:rowOff>85725</xdr:rowOff>
    </xdr:to>
    <xdr:sp>
      <xdr:nvSpPr>
        <xdr:cNvPr id="38" name="Line 39"/>
        <xdr:cNvSpPr>
          <a:spLocks/>
        </xdr:cNvSpPr>
      </xdr:nvSpPr>
      <xdr:spPr>
        <a:xfrm>
          <a:off x="2514600" y="1325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75</xdr:row>
      <xdr:rowOff>85725</xdr:rowOff>
    </xdr:from>
    <xdr:to>
      <xdr:col>3</xdr:col>
      <xdr:colOff>409575</xdr:colOff>
      <xdr:row>75</xdr:row>
      <xdr:rowOff>85725</xdr:rowOff>
    </xdr:to>
    <xdr:sp>
      <xdr:nvSpPr>
        <xdr:cNvPr id="39" name="Line 40"/>
        <xdr:cNvSpPr>
          <a:spLocks/>
        </xdr:cNvSpPr>
      </xdr:nvSpPr>
      <xdr:spPr>
        <a:xfrm>
          <a:off x="2514600" y="12287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79</xdr:row>
      <xdr:rowOff>85725</xdr:rowOff>
    </xdr:from>
    <xdr:to>
      <xdr:col>3</xdr:col>
      <xdr:colOff>409575</xdr:colOff>
      <xdr:row>79</xdr:row>
      <xdr:rowOff>85725</xdr:rowOff>
    </xdr:to>
    <xdr:sp>
      <xdr:nvSpPr>
        <xdr:cNvPr id="40" name="Line 41"/>
        <xdr:cNvSpPr>
          <a:spLocks/>
        </xdr:cNvSpPr>
      </xdr:nvSpPr>
      <xdr:spPr>
        <a:xfrm>
          <a:off x="2514600" y="12934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77</xdr:row>
      <xdr:rowOff>85725</xdr:rowOff>
    </xdr:from>
    <xdr:to>
      <xdr:col>8</xdr:col>
      <xdr:colOff>409575</xdr:colOff>
      <xdr:row>77</xdr:row>
      <xdr:rowOff>85725</xdr:rowOff>
    </xdr:to>
    <xdr:sp>
      <xdr:nvSpPr>
        <xdr:cNvPr id="41" name="Line 42"/>
        <xdr:cNvSpPr>
          <a:spLocks/>
        </xdr:cNvSpPr>
      </xdr:nvSpPr>
      <xdr:spPr>
        <a:xfrm>
          <a:off x="6381750" y="12611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81</xdr:row>
      <xdr:rowOff>85725</xdr:rowOff>
    </xdr:from>
    <xdr:to>
      <xdr:col>8</xdr:col>
      <xdr:colOff>409575</xdr:colOff>
      <xdr:row>81</xdr:row>
      <xdr:rowOff>85725</xdr:rowOff>
    </xdr:to>
    <xdr:sp>
      <xdr:nvSpPr>
        <xdr:cNvPr id="42" name="Line 43"/>
        <xdr:cNvSpPr>
          <a:spLocks/>
        </xdr:cNvSpPr>
      </xdr:nvSpPr>
      <xdr:spPr>
        <a:xfrm>
          <a:off x="6381750" y="1325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77</xdr:row>
      <xdr:rowOff>85725</xdr:rowOff>
    </xdr:from>
    <xdr:to>
      <xdr:col>8</xdr:col>
      <xdr:colOff>409575</xdr:colOff>
      <xdr:row>77</xdr:row>
      <xdr:rowOff>85725</xdr:rowOff>
    </xdr:to>
    <xdr:sp>
      <xdr:nvSpPr>
        <xdr:cNvPr id="43" name="Line 44"/>
        <xdr:cNvSpPr>
          <a:spLocks/>
        </xdr:cNvSpPr>
      </xdr:nvSpPr>
      <xdr:spPr>
        <a:xfrm>
          <a:off x="6381750" y="12611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81</xdr:row>
      <xdr:rowOff>85725</xdr:rowOff>
    </xdr:from>
    <xdr:to>
      <xdr:col>8</xdr:col>
      <xdr:colOff>409575</xdr:colOff>
      <xdr:row>81</xdr:row>
      <xdr:rowOff>85725</xdr:rowOff>
    </xdr:to>
    <xdr:sp>
      <xdr:nvSpPr>
        <xdr:cNvPr id="44" name="Line 45"/>
        <xdr:cNvSpPr>
          <a:spLocks/>
        </xdr:cNvSpPr>
      </xdr:nvSpPr>
      <xdr:spPr>
        <a:xfrm>
          <a:off x="6381750" y="1325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75</xdr:row>
      <xdr:rowOff>85725</xdr:rowOff>
    </xdr:from>
    <xdr:to>
      <xdr:col>8</xdr:col>
      <xdr:colOff>409575</xdr:colOff>
      <xdr:row>75</xdr:row>
      <xdr:rowOff>85725</xdr:rowOff>
    </xdr:to>
    <xdr:sp>
      <xdr:nvSpPr>
        <xdr:cNvPr id="45" name="Line 46"/>
        <xdr:cNvSpPr>
          <a:spLocks/>
        </xdr:cNvSpPr>
      </xdr:nvSpPr>
      <xdr:spPr>
        <a:xfrm>
          <a:off x="6381750" y="12287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79</xdr:row>
      <xdr:rowOff>85725</xdr:rowOff>
    </xdr:from>
    <xdr:to>
      <xdr:col>8</xdr:col>
      <xdr:colOff>409575</xdr:colOff>
      <xdr:row>79</xdr:row>
      <xdr:rowOff>85725</xdr:rowOff>
    </xdr:to>
    <xdr:sp>
      <xdr:nvSpPr>
        <xdr:cNvPr id="46" name="Line 47"/>
        <xdr:cNvSpPr>
          <a:spLocks/>
        </xdr:cNvSpPr>
      </xdr:nvSpPr>
      <xdr:spPr>
        <a:xfrm>
          <a:off x="6381750" y="12934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21</xdr:row>
      <xdr:rowOff>85725</xdr:rowOff>
    </xdr:from>
    <xdr:to>
      <xdr:col>3</xdr:col>
      <xdr:colOff>409575</xdr:colOff>
      <xdr:row>21</xdr:row>
      <xdr:rowOff>85725</xdr:rowOff>
    </xdr:to>
    <xdr:sp>
      <xdr:nvSpPr>
        <xdr:cNvPr id="47" name="Line 48"/>
        <xdr:cNvSpPr>
          <a:spLocks/>
        </xdr:cNvSpPr>
      </xdr:nvSpPr>
      <xdr:spPr>
        <a:xfrm>
          <a:off x="2514600" y="3543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85725</xdr:rowOff>
    </xdr:from>
    <xdr:to>
      <xdr:col>3</xdr:col>
      <xdr:colOff>409575</xdr:colOff>
      <xdr:row>27</xdr:row>
      <xdr:rowOff>85725</xdr:rowOff>
    </xdr:to>
    <xdr:sp>
      <xdr:nvSpPr>
        <xdr:cNvPr id="48" name="Line 49"/>
        <xdr:cNvSpPr>
          <a:spLocks/>
        </xdr:cNvSpPr>
      </xdr:nvSpPr>
      <xdr:spPr>
        <a:xfrm>
          <a:off x="2514600" y="4514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85725</xdr:rowOff>
    </xdr:from>
    <xdr:to>
      <xdr:col>8</xdr:col>
      <xdr:colOff>409575</xdr:colOff>
      <xdr:row>21</xdr:row>
      <xdr:rowOff>85725</xdr:rowOff>
    </xdr:to>
    <xdr:sp>
      <xdr:nvSpPr>
        <xdr:cNvPr id="49" name="Line 50"/>
        <xdr:cNvSpPr>
          <a:spLocks/>
        </xdr:cNvSpPr>
      </xdr:nvSpPr>
      <xdr:spPr>
        <a:xfrm>
          <a:off x="6381750" y="3543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27</xdr:row>
      <xdr:rowOff>85725</xdr:rowOff>
    </xdr:from>
    <xdr:to>
      <xdr:col>8</xdr:col>
      <xdr:colOff>409575</xdr:colOff>
      <xdr:row>27</xdr:row>
      <xdr:rowOff>85725</xdr:rowOff>
    </xdr:to>
    <xdr:sp>
      <xdr:nvSpPr>
        <xdr:cNvPr id="50" name="Line 51"/>
        <xdr:cNvSpPr>
          <a:spLocks/>
        </xdr:cNvSpPr>
      </xdr:nvSpPr>
      <xdr:spPr>
        <a:xfrm>
          <a:off x="6381750" y="4514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19</xdr:row>
      <xdr:rowOff>85725</xdr:rowOff>
    </xdr:from>
    <xdr:to>
      <xdr:col>3</xdr:col>
      <xdr:colOff>409575</xdr:colOff>
      <xdr:row>19</xdr:row>
      <xdr:rowOff>85725</xdr:rowOff>
    </xdr:to>
    <xdr:sp>
      <xdr:nvSpPr>
        <xdr:cNvPr id="51" name="Line 52"/>
        <xdr:cNvSpPr>
          <a:spLocks/>
        </xdr:cNvSpPr>
      </xdr:nvSpPr>
      <xdr:spPr>
        <a:xfrm>
          <a:off x="2514600" y="3219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25</xdr:row>
      <xdr:rowOff>85725</xdr:rowOff>
    </xdr:from>
    <xdr:to>
      <xdr:col>3</xdr:col>
      <xdr:colOff>409575</xdr:colOff>
      <xdr:row>25</xdr:row>
      <xdr:rowOff>85725</xdr:rowOff>
    </xdr:to>
    <xdr:sp>
      <xdr:nvSpPr>
        <xdr:cNvPr id="52" name="Line 53"/>
        <xdr:cNvSpPr>
          <a:spLocks/>
        </xdr:cNvSpPr>
      </xdr:nvSpPr>
      <xdr:spPr>
        <a:xfrm>
          <a:off x="2514600" y="4191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85725</xdr:rowOff>
    </xdr:from>
    <xdr:to>
      <xdr:col>8</xdr:col>
      <xdr:colOff>409575</xdr:colOff>
      <xdr:row>21</xdr:row>
      <xdr:rowOff>85725</xdr:rowOff>
    </xdr:to>
    <xdr:sp>
      <xdr:nvSpPr>
        <xdr:cNvPr id="53" name="Line 54"/>
        <xdr:cNvSpPr>
          <a:spLocks/>
        </xdr:cNvSpPr>
      </xdr:nvSpPr>
      <xdr:spPr>
        <a:xfrm>
          <a:off x="6381750" y="3543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27</xdr:row>
      <xdr:rowOff>85725</xdr:rowOff>
    </xdr:from>
    <xdr:to>
      <xdr:col>8</xdr:col>
      <xdr:colOff>409575</xdr:colOff>
      <xdr:row>27</xdr:row>
      <xdr:rowOff>85725</xdr:rowOff>
    </xdr:to>
    <xdr:sp>
      <xdr:nvSpPr>
        <xdr:cNvPr id="54" name="Line 55"/>
        <xdr:cNvSpPr>
          <a:spLocks/>
        </xdr:cNvSpPr>
      </xdr:nvSpPr>
      <xdr:spPr>
        <a:xfrm>
          <a:off x="6381750" y="4514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19</xdr:row>
      <xdr:rowOff>85725</xdr:rowOff>
    </xdr:from>
    <xdr:to>
      <xdr:col>8</xdr:col>
      <xdr:colOff>409575</xdr:colOff>
      <xdr:row>19</xdr:row>
      <xdr:rowOff>85725</xdr:rowOff>
    </xdr:to>
    <xdr:sp>
      <xdr:nvSpPr>
        <xdr:cNvPr id="55" name="Line 56"/>
        <xdr:cNvSpPr>
          <a:spLocks/>
        </xdr:cNvSpPr>
      </xdr:nvSpPr>
      <xdr:spPr>
        <a:xfrm>
          <a:off x="6381750" y="3219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85725</xdr:rowOff>
    </xdr:from>
    <xdr:to>
      <xdr:col>8</xdr:col>
      <xdr:colOff>409575</xdr:colOff>
      <xdr:row>25</xdr:row>
      <xdr:rowOff>85725</xdr:rowOff>
    </xdr:to>
    <xdr:sp>
      <xdr:nvSpPr>
        <xdr:cNvPr id="56" name="Line 57"/>
        <xdr:cNvSpPr>
          <a:spLocks/>
        </xdr:cNvSpPr>
      </xdr:nvSpPr>
      <xdr:spPr>
        <a:xfrm>
          <a:off x="6381750" y="4191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45</xdr:row>
      <xdr:rowOff>85725</xdr:rowOff>
    </xdr:from>
    <xdr:to>
      <xdr:col>3</xdr:col>
      <xdr:colOff>409575</xdr:colOff>
      <xdr:row>45</xdr:row>
      <xdr:rowOff>85725</xdr:rowOff>
    </xdr:to>
    <xdr:sp>
      <xdr:nvSpPr>
        <xdr:cNvPr id="57" name="Line 58"/>
        <xdr:cNvSpPr>
          <a:spLocks/>
        </xdr:cNvSpPr>
      </xdr:nvSpPr>
      <xdr:spPr>
        <a:xfrm>
          <a:off x="2514600" y="7429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49</xdr:row>
      <xdr:rowOff>85725</xdr:rowOff>
    </xdr:from>
    <xdr:to>
      <xdr:col>3</xdr:col>
      <xdr:colOff>409575</xdr:colOff>
      <xdr:row>49</xdr:row>
      <xdr:rowOff>85725</xdr:rowOff>
    </xdr:to>
    <xdr:sp>
      <xdr:nvSpPr>
        <xdr:cNvPr id="58" name="Line 59"/>
        <xdr:cNvSpPr>
          <a:spLocks/>
        </xdr:cNvSpPr>
      </xdr:nvSpPr>
      <xdr:spPr>
        <a:xfrm>
          <a:off x="2514600" y="8077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45</xdr:row>
      <xdr:rowOff>85725</xdr:rowOff>
    </xdr:from>
    <xdr:to>
      <xdr:col>8</xdr:col>
      <xdr:colOff>409575</xdr:colOff>
      <xdr:row>45</xdr:row>
      <xdr:rowOff>85725</xdr:rowOff>
    </xdr:to>
    <xdr:sp>
      <xdr:nvSpPr>
        <xdr:cNvPr id="59" name="Line 60"/>
        <xdr:cNvSpPr>
          <a:spLocks/>
        </xdr:cNvSpPr>
      </xdr:nvSpPr>
      <xdr:spPr>
        <a:xfrm>
          <a:off x="6381750" y="7429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49</xdr:row>
      <xdr:rowOff>85725</xdr:rowOff>
    </xdr:from>
    <xdr:to>
      <xdr:col>8</xdr:col>
      <xdr:colOff>409575</xdr:colOff>
      <xdr:row>49</xdr:row>
      <xdr:rowOff>85725</xdr:rowOff>
    </xdr:to>
    <xdr:sp>
      <xdr:nvSpPr>
        <xdr:cNvPr id="60" name="Line 61"/>
        <xdr:cNvSpPr>
          <a:spLocks/>
        </xdr:cNvSpPr>
      </xdr:nvSpPr>
      <xdr:spPr>
        <a:xfrm>
          <a:off x="6381750" y="8077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45</xdr:row>
      <xdr:rowOff>85725</xdr:rowOff>
    </xdr:from>
    <xdr:to>
      <xdr:col>3</xdr:col>
      <xdr:colOff>409575</xdr:colOff>
      <xdr:row>45</xdr:row>
      <xdr:rowOff>85725</xdr:rowOff>
    </xdr:to>
    <xdr:sp>
      <xdr:nvSpPr>
        <xdr:cNvPr id="61" name="Line 62"/>
        <xdr:cNvSpPr>
          <a:spLocks/>
        </xdr:cNvSpPr>
      </xdr:nvSpPr>
      <xdr:spPr>
        <a:xfrm>
          <a:off x="2514600" y="7429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49</xdr:row>
      <xdr:rowOff>85725</xdr:rowOff>
    </xdr:from>
    <xdr:to>
      <xdr:col>3</xdr:col>
      <xdr:colOff>409575</xdr:colOff>
      <xdr:row>49</xdr:row>
      <xdr:rowOff>85725</xdr:rowOff>
    </xdr:to>
    <xdr:sp>
      <xdr:nvSpPr>
        <xdr:cNvPr id="62" name="Line 63"/>
        <xdr:cNvSpPr>
          <a:spLocks/>
        </xdr:cNvSpPr>
      </xdr:nvSpPr>
      <xdr:spPr>
        <a:xfrm>
          <a:off x="2514600" y="8077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43</xdr:row>
      <xdr:rowOff>85725</xdr:rowOff>
    </xdr:from>
    <xdr:to>
      <xdr:col>3</xdr:col>
      <xdr:colOff>409575</xdr:colOff>
      <xdr:row>43</xdr:row>
      <xdr:rowOff>85725</xdr:rowOff>
    </xdr:to>
    <xdr:sp>
      <xdr:nvSpPr>
        <xdr:cNvPr id="63" name="Line 64"/>
        <xdr:cNvSpPr>
          <a:spLocks/>
        </xdr:cNvSpPr>
      </xdr:nvSpPr>
      <xdr:spPr>
        <a:xfrm>
          <a:off x="2514600" y="710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47</xdr:row>
      <xdr:rowOff>85725</xdr:rowOff>
    </xdr:from>
    <xdr:to>
      <xdr:col>3</xdr:col>
      <xdr:colOff>409575</xdr:colOff>
      <xdr:row>47</xdr:row>
      <xdr:rowOff>85725</xdr:rowOff>
    </xdr:to>
    <xdr:sp>
      <xdr:nvSpPr>
        <xdr:cNvPr id="64" name="Line 65"/>
        <xdr:cNvSpPr>
          <a:spLocks/>
        </xdr:cNvSpPr>
      </xdr:nvSpPr>
      <xdr:spPr>
        <a:xfrm>
          <a:off x="2514600" y="7753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45</xdr:row>
      <xdr:rowOff>85725</xdr:rowOff>
    </xdr:from>
    <xdr:to>
      <xdr:col>8</xdr:col>
      <xdr:colOff>409575</xdr:colOff>
      <xdr:row>45</xdr:row>
      <xdr:rowOff>85725</xdr:rowOff>
    </xdr:to>
    <xdr:sp>
      <xdr:nvSpPr>
        <xdr:cNvPr id="65" name="Line 66"/>
        <xdr:cNvSpPr>
          <a:spLocks/>
        </xdr:cNvSpPr>
      </xdr:nvSpPr>
      <xdr:spPr>
        <a:xfrm>
          <a:off x="6381750" y="7429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49</xdr:row>
      <xdr:rowOff>85725</xdr:rowOff>
    </xdr:from>
    <xdr:to>
      <xdr:col>8</xdr:col>
      <xdr:colOff>409575</xdr:colOff>
      <xdr:row>49</xdr:row>
      <xdr:rowOff>85725</xdr:rowOff>
    </xdr:to>
    <xdr:sp>
      <xdr:nvSpPr>
        <xdr:cNvPr id="66" name="Line 67"/>
        <xdr:cNvSpPr>
          <a:spLocks/>
        </xdr:cNvSpPr>
      </xdr:nvSpPr>
      <xdr:spPr>
        <a:xfrm>
          <a:off x="6381750" y="8077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43</xdr:row>
      <xdr:rowOff>85725</xdr:rowOff>
    </xdr:from>
    <xdr:to>
      <xdr:col>8</xdr:col>
      <xdr:colOff>409575</xdr:colOff>
      <xdr:row>43</xdr:row>
      <xdr:rowOff>85725</xdr:rowOff>
    </xdr:to>
    <xdr:sp>
      <xdr:nvSpPr>
        <xdr:cNvPr id="67" name="Line 68"/>
        <xdr:cNvSpPr>
          <a:spLocks/>
        </xdr:cNvSpPr>
      </xdr:nvSpPr>
      <xdr:spPr>
        <a:xfrm>
          <a:off x="6381750" y="710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47</xdr:row>
      <xdr:rowOff>85725</xdr:rowOff>
    </xdr:from>
    <xdr:to>
      <xdr:col>8</xdr:col>
      <xdr:colOff>409575</xdr:colOff>
      <xdr:row>47</xdr:row>
      <xdr:rowOff>85725</xdr:rowOff>
    </xdr:to>
    <xdr:sp>
      <xdr:nvSpPr>
        <xdr:cNvPr id="68" name="Line 69"/>
        <xdr:cNvSpPr>
          <a:spLocks/>
        </xdr:cNvSpPr>
      </xdr:nvSpPr>
      <xdr:spPr>
        <a:xfrm>
          <a:off x="6381750" y="7753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65</xdr:row>
      <xdr:rowOff>85725</xdr:rowOff>
    </xdr:from>
    <xdr:to>
      <xdr:col>3</xdr:col>
      <xdr:colOff>409575</xdr:colOff>
      <xdr:row>65</xdr:row>
      <xdr:rowOff>85725</xdr:rowOff>
    </xdr:to>
    <xdr:sp>
      <xdr:nvSpPr>
        <xdr:cNvPr id="69" name="Line 70"/>
        <xdr:cNvSpPr>
          <a:spLocks/>
        </xdr:cNvSpPr>
      </xdr:nvSpPr>
      <xdr:spPr>
        <a:xfrm>
          <a:off x="2514600" y="10668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73</xdr:row>
      <xdr:rowOff>85725</xdr:rowOff>
    </xdr:from>
    <xdr:to>
      <xdr:col>3</xdr:col>
      <xdr:colOff>409575</xdr:colOff>
      <xdr:row>73</xdr:row>
      <xdr:rowOff>85725</xdr:rowOff>
    </xdr:to>
    <xdr:sp>
      <xdr:nvSpPr>
        <xdr:cNvPr id="70" name="Line 71"/>
        <xdr:cNvSpPr>
          <a:spLocks/>
        </xdr:cNvSpPr>
      </xdr:nvSpPr>
      <xdr:spPr>
        <a:xfrm>
          <a:off x="2514600" y="11963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65</xdr:row>
      <xdr:rowOff>85725</xdr:rowOff>
    </xdr:from>
    <xdr:to>
      <xdr:col>3</xdr:col>
      <xdr:colOff>409575</xdr:colOff>
      <xdr:row>65</xdr:row>
      <xdr:rowOff>85725</xdr:rowOff>
    </xdr:to>
    <xdr:sp>
      <xdr:nvSpPr>
        <xdr:cNvPr id="71" name="Line 72"/>
        <xdr:cNvSpPr>
          <a:spLocks/>
        </xdr:cNvSpPr>
      </xdr:nvSpPr>
      <xdr:spPr>
        <a:xfrm>
          <a:off x="2514600" y="10668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73</xdr:row>
      <xdr:rowOff>85725</xdr:rowOff>
    </xdr:from>
    <xdr:to>
      <xdr:col>3</xdr:col>
      <xdr:colOff>409575</xdr:colOff>
      <xdr:row>73</xdr:row>
      <xdr:rowOff>85725</xdr:rowOff>
    </xdr:to>
    <xdr:sp>
      <xdr:nvSpPr>
        <xdr:cNvPr id="72" name="Line 73"/>
        <xdr:cNvSpPr>
          <a:spLocks/>
        </xdr:cNvSpPr>
      </xdr:nvSpPr>
      <xdr:spPr>
        <a:xfrm>
          <a:off x="2514600" y="11963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63</xdr:row>
      <xdr:rowOff>85725</xdr:rowOff>
    </xdr:from>
    <xdr:to>
      <xdr:col>3</xdr:col>
      <xdr:colOff>409575</xdr:colOff>
      <xdr:row>63</xdr:row>
      <xdr:rowOff>85725</xdr:rowOff>
    </xdr:to>
    <xdr:sp>
      <xdr:nvSpPr>
        <xdr:cNvPr id="73" name="Line 74"/>
        <xdr:cNvSpPr>
          <a:spLocks/>
        </xdr:cNvSpPr>
      </xdr:nvSpPr>
      <xdr:spPr>
        <a:xfrm>
          <a:off x="2514600" y="10344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69</xdr:row>
      <xdr:rowOff>85725</xdr:rowOff>
    </xdr:from>
    <xdr:to>
      <xdr:col>3</xdr:col>
      <xdr:colOff>409575</xdr:colOff>
      <xdr:row>69</xdr:row>
      <xdr:rowOff>85725</xdr:rowOff>
    </xdr:to>
    <xdr:sp>
      <xdr:nvSpPr>
        <xdr:cNvPr id="74" name="Line 75"/>
        <xdr:cNvSpPr>
          <a:spLocks/>
        </xdr:cNvSpPr>
      </xdr:nvSpPr>
      <xdr:spPr>
        <a:xfrm>
          <a:off x="2514600" y="11315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65</xdr:row>
      <xdr:rowOff>85725</xdr:rowOff>
    </xdr:from>
    <xdr:to>
      <xdr:col>8</xdr:col>
      <xdr:colOff>409575</xdr:colOff>
      <xdr:row>65</xdr:row>
      <xdr:rowOff>85725</xdr:rowOff>
    </xdr:to>
    <xdr:sp>
      <xdr:nvSpPr>
        <xdr:cNvPr id="75" name="Line 76"/>
        <xdr:cNvSpPr>
          <a:spLocks/>
        </xdr:cNvSpPr>
      </xdr:nvSpPr>
      <xdr:spPr>
        <a:xfrm>
          <a:off x="6381750" y="10668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73</xdr:row>
      <xdr:rowOff>85725</xdr:rowOff>
    </xdr:from>
    <xdr:to>
      <xdr:col>8</xdr:col>
      <xdr:colOff>409575</xdr:colOff>
      <xdr:row>73</xdr:row>
      <xdr:rowOff>85725</xdr:rowOff>
    </xdr:to>
    <xdr:sp>
      <xdr:nvSpPr>
        <xdr:cNvPr id="76" name="Line 77"/>
        <xdr:cNvSpPr>
          <a:spLocks/>
        </xdr:cNvSpPr>
      </xdr:nvSpPr>
      <xdr:spPr>
        <a:xfrm>
          <a:off x="6381750" y="11963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65</xdr:row>
      <xdr:rowOff>85725</xdr:rowOff>
    </xdr:from>
    <xdr:to>
      <xdr:col>8</xdr:col>
      <xdr:colOff>409575</xdr:colOff>
      <xdr:row>65</xdr:row>
      <xdr:rowOff>85725</xdr:rowOff>
    </xdr:to>
    <xdr:sp>
      <xdr:nvSpPr>
        <xdr:cNvPr id="77" name="Line 78"/>
        <xdr:cNvSpPr>
          <a:spLocks/>
        </xdr:cNvSpPr>
      </xdr:nvSpPr>
      <xdr:spPr>
        <a:xfrm>
          <a:off x="6381750" y="10668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73</xdr:row>
      <xdr:rowOff>85725</xdr:rowOff>
    </xdr:from>
    <xdr:to>
      <xdr:col>8</xdr:col>
      <xdr:colOff>409575</xdr:colOff>
      <xdr:row>73</xdr:row>
      <xdr:rowOff>85725</xdr:rowOff>
    </xdr:to>
    <xdr:sp>
      <xdr:nvSpPr>
        <xdr:cNvPr id="78" name="Line 79"/>
        <xdr:cNvSpPr>
          <a:spLocks/>
        </xdr:cNvSpPr>
      </xdr:nvSpPr>
      <xdr:spPr>
        <a:xfrm>
          <a:off x="6381750" y="11963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63</xdr:row>
      <xdr:rowOff>85725</xdr:rowOff>
    </xdr:from>
    <xdr:to>
      <xdr:col>8</xdr:col>
      <xdr:colOff>409575</xdr:colOff>
      <xdr:row>63</xdr:row>
      <xdr:rowOff>85725</xdr:rowOff>
    </xdr:to>
    <xdr:sp>
      <xdr:nvSpPr>
        <xdr:cNvPr id="79" name="Line 80"/>
        <xdr:cNvSpPr>
          <a:spLocks/>
        </xdr:cNvSpPr>
      </xdr:nvSpPr>
      <xdr:spPr>
        <a:xfrm>
          <a:off x="6381750" y="10344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71</xdr:row>
      <xdr:rowOff>85725</xdr:rowOff>
    </xdr:from>
    <xdr:to>
      <xdr:col>8</xdr:col>
      <xdr:colOff>409575</xdr:colOff>
      <xdr:row>71</xdr:row>
      <xdr:rowOff>85725</xdr:rowOff>
    </xdr:to>
    <xdr:sp>
      <xdr:nvSpPr>
        <xdr:cNvPr id="80" name="Line 81"/>
        <xdr:cNvSpPr>
          <a:spLocks/>
        </xdr:cNvSpPr>
      </xdr:nvSpPr>
      <xdr:spPr>
        <a:xfrm>
          <a:off x="6381750" y="11639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67</xdr:row>
      <xdr:rowOff>85725</xdr:rowOff>
    </xdr:from>
    <xdr:to>
      <xdr:col>3</xdr:col>
      <xdr:colOff>409575</xdr:colOff>
      <xdr:row>67</xdr:row>
      <xdr:rowOff>85725</xdr:rowOff>
    </xdr:to>
    <xdr:sp>
      <xdr:nvSpPr>
        <xdr:cNvPr id="81" name="Line 82"/>
        <xdr:cNvSpPr>
          <a:spLocks/>
        </xdr:cNvSpPr>
      </xdr:nvSpPr>
      <xdr:spPr>
        <a:xfrm>
          <a:off x="2514600" y="10991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67</xdr:row>
      <xdr:rowOff>85725</xdr:rowOff>
    </xdr:from>
    <xdr:to>
      <xdr:col>3</xdr:col>
      <xdr:colOff>409575</xdr:colOff>
      <xdr:row>67</xdr:row>
      <xdr:rowOff>85725</xdr:rowOff>
    </xdr:to>
    <xdr:sp>
      <xdr:nvSpPr>
        <xdr:cNvPr id="82" name="Line 83"/>
        <xdr:cNvSpPr>
          <a:spLocks/>
        </xdr:cNvSpPr>
      </xdr:nvSpPr>
      <xdr:spPr>
        <a:xfrm>
          <a:off x="2514600" y="10991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71</xdr:row>
      <xdr:rowOff>85725</xdr:rowOff>
    </xdr:from>
    <xdr:to>
      <xdr:col>3</xdr:col>
      <xdr:colOff>409575</xdr:colOff>
      <xdr:row>71</xdr:row>
      <xdr:rowOff>85725</xdr:rowOff>
    </xdr:to>
    <xdr:sp>
      <xdr:nvSpPr>
        <xdr:cNvPr id="83" name="Line 84"/>
        <xdr:cNvSpPr>
          <a:spLocks/>
        </xdr:cNvSpPr>
      </xdr:nvSpPr>
      <xdr:spPr>
        <a:xfrm>
          <a:off x="2514600" y="11639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67</xdr:row>
      <xdr:rowOff>85725</xdr:rowOff>
    </xdr:from>
    <xdr:to>
      <xdr:col>8</xdr:col>
      <xdr:colOff>409575</xdr:colOff>
      <xdr:row>67</xdr:row>
      <xdr:rowOff>85725</xdr:rowOff>
    </xdr:to>
    <xdr:sp>
      <xdr:nvSpPr>
        <xdr:cNvPr id="84" name="Line 85"/>
        <xdr:cNvSpPr>
          <a:spLocks/>
        </xdr:cNvSpPr>
      </xdr:nvSpPr>
      <xdr:spPr>
        <a:xfrm>
          <a:off x="6381750" y="10991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67</xdr:row>
      <xdr:rowOff>85725</xdr:rowOff>
    </xdr:from>
    <xdr:to>
      <xdr:col>8</xdr:col>
      <xdr:colOff>409575</xdr:colOff>
      <xdr:row>67</xdr:row>
      <xdr:rowOff>85725</xdr:rowOff>
    </xdr:to>
    <xdr:sp>
      <xdr:nvSpPr>
        <xdr:cNvPr id="85" name="Line 86"/>
        <xdr:cNvSpPr>
          <a:spLocks/>
        </xdr:cNvSpPr>
      </xdr:nvSpPr>
      <xdr:spPr>
        <a:xfrm>
          <a:off x="6381750" y="10991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69</xdr:row>
      <xdr:rowOff>85725</xdr:rowOff>
    </xdr:from>
    <xdr:to>
      <xdr:col>8</xdr:col>
      <xdr:colOff>409575</xdr:colOff>
      <xdr:row>69</xdr:row>
      <xdr:rowOff>85725</xdr:rowOff>
    </xdr:to>
    <xdr:sp>
      <xdr:nvSpPr>
        <xdr:cNvPr id="86" name="Line 87"/>
        <xdr:cNvSpPr>
          <a:spLocks/>
        </xdr:cNvSpPr>
      </xdr:nvSpPr>
      <xdr:spPr>
        <a:xfrm>
          <a:off x="6381750" y="11315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53</xdr:row>
      <xdr:rowOff>85725</xdr:rowOff>
    </xdr:from>
    <xdr:to>
      <xdr:col>3</xdr:col>
      <xdr:colOff>409575</xdr:colOff>
      <xdr:row>53</xdr:row>
      <xdr:rowOff>85725</xdr:rowOff>
    </xdr:to>
    <xdr:sp>
      <xdr:nvSpPr>
        <xdr:cNvPr id="87" name="Line 88"/>
        <xdr:cNvSpPr>
          <a:spLocks/>
        </xdr:cNvSpPr>
      </xdr:nvSpPr>
      <xdr:spPr>
        <a:xfrm>
          <a:off x="2514600" y="8724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61</xdr:row>
      <xdr:rowOff>85725</xdr:rowOff>
    </xdr:from>
    <xdr:to>
      <xdr:col>3</xdr:col>
      <xdr:colOff>409575</xdr:colOff>
      <xdr:row>61</xdr:row>
      <xdr:rowOff>85725</xdr:rowOff>
    </xdr:to>
    <xdr:sp>
      <xdr:nvSpPr>
        <xdr:cNvPr id="88" name="Line 89"/>
        <xdr:cNvSpPr>
          <a:spLocks/>
        </xdr:cNvSpPr>
      </xdr:nvSpPr>
      <xdr:spPr>
        <a:xfrm>
          <a:off x="2514600" y="10020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53</xdr:row>
      <xdr:rowOff>85725</xdr:rowOff>
    </xdr:from>
    <xdr:to>
      <xdr:col>3</xdr:col>
      <xdr:colOff>409575</xdr:colOff>
      <xdr:row>53</xdr:row>
      <xdr:rowOff>85725</xdr:rowOff>
    </xdr:to>
    <xdr:sp>
      <xdr:nvSpPr>
        <xdr:cNvPr id="89" name="Line 90"/>
        <xdr:cNvSpPr>
          <a:spLocks/>
        </xdr:cNvSpPr>
      </xdr:nvSpPr>
      <xdr:spPr>
        <a:xfrm>
          <a:off x="2514600" y="8724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61</xdr:row>
      <xdr:rowOff>85725</xdr:rowOff>
    </xdr:from>
    <xdr:to>
      <xdr:col>3</xdr:col>
      <xdr:colOff>409575</xdr:colOff>
      <xdr:row>61</xdr:row>
      <xdr:rowOff>85725</xdr:rowOff>
    </xdr:to>
    <xdr:sp>
      <xdr:nvSpPr>
        <xdr:cNvPr id="90" name="Line 91"/>
        <xdr:cNvSpPr>
          <a:spLocks/>
        </xdr:cNvSpPr>
      </xdr:nvSpPr>
      <xdr:spPr>
        <a:xfrm>
          <a:off x="2514600" y="10020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51</xdr:row>
      <xdr:rowOff>85725</xdr:rowOff>
    </xdr:from>
    <xdr:to>
      <xdr:col>3</xdr:col>
      <xdr:colOff>409575</xdr:colOff>
      <xdr:row>51</xdr:row>
      <xdr:rowOff>85725</xdr:rowOff>
    </xdr:to>
    <xdr:sp>
      <xdr:nvSpPr>
        <xdr:cNvPr id="91" name="Line 92"/>
        <xdr:cNvSpPr>
          <a:spLocks/>
        </xdr:cNvSpPr>
      </xdr:nvSpPr>
      <xdr:spPr>
        <a:xfrm>
          <a:off x="2514600" y="8401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57</xdr:row>
      <xdr:rowOff>85725</xdr:rowOff>
    </xdr:from>
    <xdr:to>
      <xdr:col>3</xdr:col>
      <xdr:colOff>409575</xdr:colOff>
      <xdr:row>57</xdr:row>
      <xdr:rowOff>85725</xdr:rowOff>
    </xdr:to>
    <xdr:sp>
      <xdr:nvSpPr>
        <xdr:cNvPr id="92" name="Line 93"/>
        <xdr:cNvSpPr>
          <a:spLocks/>
        </xdr:cNvSpPr>
      </xdr:nvSpPr>
      <xdr:spPr>
        <a:xfrm>
          <a:off x="2514600" y="9372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53</xdr:row>
      <xdr:rowOff>85725</xdr:rowOff>
    </xdr:from>
    <xdr:to>
      <xdr:col>8</xdr:col>
      <xdr:colOff>409575</xdr:colOff>
      <xdr:row>53</xdr:row>
      <xdr:rowOff>85725</xdr:rowOff>
    </xdr:to>
    <xdr:sp>
      <xdr:nvSpPr>
        <xdr:cNvPr id="93" name="Line 94"/>
        <xdr:cNvSpPr>
          <a:spLocks/>
        </xdr:cNvSpPr>
      </xdr:nvSpPr>
      <xdr:spPr>
        <a:xfrm>
          <a:off x="6381750" y="8724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61</xdr:row>
      <xdr:rowOff>85725</xdr:rowOff>
    </xdr:from>
    <xdr:to>
      <xdr:col>8</xdr:col>
      <xdr:colOff>409575</xdr:colOff>
      <xdr:row>61</xdr:row>
      <xdr:rowOff>85725</xdr:rowOff>
    </xdr:to>
    <xdr:sp>
      <xdr:nvSpPr>
        <xdr:cNvPr id="94" name="Line 95"/>
        <xdr:cNvSpPr>
          <a:spLocks/>
        </xdr:cNvSpPr>
      </xdr:nvSpPr>
      <xdr:spPr>
        <a:xfrm>
          <a:off x="6381750" y="10020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53</xdr:row>
      <xdr:rowOff>85725</xdr:rowOff>
    </xdr:from>
    <xdr:to>
      <xdr:col>8</xdr:col>
      <xdr:colOff>409575</xdr:colOff>
      <xdr:row>53</xdr:row>
      <xdr:rowOff>85725</xdr:rowOff>
    </xdr:to>
    <xdr:sp>
      <xdr:nvSpPr>
        <xdr:cNvPr id="95" name="Line 96"/>
        <xdr:cNvSpPr>
          <a:spLocks/>
        </xdr:cNvSpPr>
      </xdr:nvSpPr>
      <xdr:spPr>
        <a:xfrm>
          <a:off x="6381750" y="8724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61</xdr:row>
      <xdr:rowOff>85725</xdr:rowOff>
    </xdr:from>
    <xdr:to>
      <xdr:col>8</xdr:col>
      <xdr:colOff>409575</xdr:colOff>
      <xdr:row>61</xdr:row>
      <xdr:rowOff>85725</xdr:rowOff>
    </xdr:to>
    <xdr:sp>
      <xdr:nvSpPr>
        <xdr:cNvPr id="96" name="Line 97"/>
        <xdr:cNvSpPr>
          <a:spLocks/>
        </xdr:cNvSpPr>
      </xdr:nvSpPr>
      <xdr:spPr>
        <a:xfrm>
          <a:off x="6381750" y="10020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51</xdr:row>
      <xdr:rowOff>85725</xdr:rowOff>
    </xdr:from>
    <xdr:to>
      <xdr:col>8</xdr:col>
      <xdr:colOff>409575</xdr:colOff>
      <xdr:row>51</xdr:row>
      <xdr:rowOff>85725</xdr:rowOff>
    </xdr:to>
    <xdr:sp>
      <xdr:nvSpPr>
        <xdr:cNvPr id="97" name="Line 98"/>
        <xdr:cNvSpPr>
          <a:spLocks/>
        </xdr:cNvSpPr>
      </xdr:nvSpPr>
      <xdr:spPr>
        <a:xfrm>
          <a:off x="6381750" y="8401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59</xdr:row>
      <xdr:rowOff>85725</xdr:rowOff>
    </xdr:from>
    <xdr:to>
      <xdr:col>8</xdr:col>
      <xdr:colOff>409575</xdr:colOff>
      <xdr:row>59</xdr:row>
      <xdr:rowOff>85725</xdr:rowOff>
    </xdr:to>
    <xdr:sp>
      <xdr:nvSpPr>
        <xdr:cNvPr id="98" name="Line 99"/>
        <xdr:cNvSpPr>
          <a:spLocks/>
        </xdr:cNvSpPr>
      </xdr:nvSpPr>
      <xdr:spPr>
        <a:xfrm>
          <a:off x="6381750" y="9696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55</xdr:row>
      <xdr:rowOff>85725</xdr:rowOff>
    </xdr:from>
    <xdr:to>
      <xdr:col>3</xdr:col>
      <xdr:colOff>409575</xdr:colOff>
      <xdr:row>55</xdr:row>
      <xdr:rowOff>85725</xdr:rowOff>
    </xdr:to>
    <xdr:sp>
      <xdr:nvSpPr>
        <xdr:cNvPr id="99" name="Line 100"/>
        <xdr:cNvSpPr>
          <a:spLocks/>
        </xdr:cNvSpPr>
      </xdr:nvSpPr>
      <xdr:spPr>
        <a:xfrm>
          <a:off x="2514600" y="904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55</xdr:row>
      <xdr:rowOff>85725</xdr:rowOff>
    </xdr:from>
    <xdr:to>
      <xdr:col>3</xdr:col>
      <xdr:colOff>409575</xdr:colOff>
      <xdr:row>55</xdr:row>
      <xdr:rowOff>85725</xdr:rowOff>
    </xdr:to>
    <xdr:sp>
      <xdr:nvSpPr>
        <xdr:cNvPr id="100" name="Line 101"/>
        <xdr:cNvSpPr>
          <a:spLocks/>
        </xdr:cNvSpPr>
      </xdr:nvSpPr>
      <xdr:spPr>
        <a:xfrm>
          <a:off x="2514600" y="904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59</xdr:row>
      <xdr:rowOff>85725</xdr:rowOff>
    </xdr:from>
    <xdr:to>
      <xdr:col>3</xdr:col>
      <xdr:colOff>409575</xdr:colOff>
      <xdr:row>59</xdr:row>
      <xdr:rowOff>85725</xdr:rowOff>
    </xdr:to>
    <xdr:sp>
      <xdr:nvSpPr>
        <xdr:cNvPr id="101" name="Line 102"/>
        <xdr:cNvSpPr>
          <a:spLocks/>
        </xdr:cNvSpPr>
      </xdr:nvSpPr>
      <xdr:spPr>
        <a:xfrm>
          <a:off x="2514600" y="9696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55</xdr:row>
      <xdr:rowOff>85725</xdr:rowOff>
    </xdr:from>
    <xdr:to>
      <xdr:col>8</xdr:col>
      <xdr:colOff>409575</xdr:colOff>
      <xdr:row>55</xdr:row>
      <xdr:rowOff>85725</xdr:rowOff>
    </xdr:to>
    <xdr:sp>
      <xdr:nvSpPr>
        <xdr:cNvPr id="102" name="Line 103"/>
        <xdr:cNvSpPr>
          <a:spLocks/>
        </xdr:cNvSpPr>
      </xdr:nvSpPr>
      <xdr:spPr>
        <a:xfrm>
          <a:off x="6381750" y="904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55</xdr:row>
      <xdr:rowOff>85725</xdr:rowOff>
    </xdr:from>
    <xdr:to>
      <xdr:col>8</xdr:col>
      <xdr:colOff>409575</xdr:colOff>
      <xdr:row>55</xdr:row>
      <xdr:rowOff>85725</xdr:rowOff>
    </xdr:to>
    <xdr:sp>
      <xdr:nvSpPr>
        <xdr:cNvPr id="103" name="Line 104"/>
        <xdr:cNvSpPr>
          <a:spLocks/>
        </xdr:cNvSpPr>
      </xdr:nvSpPr>
      <xdr:spPr>
        <a:xfrm>
          <a:off x="6381750" y="904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57</xdr:row>
      <xdr:rowOff>85725</xdr:rowOff>
    </xdr:from>
    <xdr:to>
      <xdr:col>8</xdr:col>
      <xdr:colOff>409575</xdr:colOff>
      <xdr:row>57</xdr:row>
      <xdr:rowOff>85725</xdr:rowOff>
    </xdr:to>
    <xdr:sp>
      <xdr:nvSpPr>
        <xdr:cNvPr id="104" name="Line 105"/>
        <xdr:cNvSpPr>
          <a:spLocks/>
        </xdr:cNvSpPr>
      </xdr:nvSpPr>
      <xdr:spPr>
        <a:xfrm>
          <a:off x="6381750" y="9372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23</xdr:row>
      <xdr:rowOff>85725</xdr:rowOff>
    </xdr:from>
    <xdr:to>
      <xdr:col>3</xdr:col>
      <xdr:colOff>409575</xdr:colOff>
      <xdr:row>23</xdr:row>
      <xdr:rowOff>85725</xdr:rowOff>
    </xdr:to>
    <xdr:sp>
      <xdr:nvSpPr>
        <xdr:cNvPr id="105" name="Line 106"/>
        <xdr:cNvSpPr>
          <a:spLocks/>
        </xdr:cNvSpPr>
      </xdr:nvSpPr>
      <xdr:spPr>
        <a:xfrm>
          <a:off x="2514600" y="3867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85725</xdr:rowOff>
    </xdr:from>
    <xdr:to>
      <xdr:col>8</xdr:col>
      <xdr:colOff>409575</xdr:colOff>
      <xdr:row>23</xdr:row>
      <xdr:rowOff>85725</xdr:rowOff>
    </xdr:to>
    <xdr:sp>
      <xdr:nvSpPr>
        <xdr:cNvPr id="106" name="Line 107"/>
        <xdr:cNvSpPr>
          <a:spLocks/>
        </xdr:cNvSpPr>
      </xdr:nvSpPr>
      <xdr:spPr>
        <a:xfrm>
          <a:off x="6381750" y="3867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85725</xdr:rowOff>
    </xdr:from>
    <xdr:to>
      <xdr:col>8</xdr:col>
      <xdr:colOff>409575</xdr:colOff>
      <xdr:row>23</xdr:row>
      <xdr:rowOff>85725</xdr:rowOff>
    </xdr:to>
    <xdr:sp>
      <xdr:nvSpPr>
        <xdr:cNvPr id="107" name="Line 108"/>
        <xdr:cNvSpPr>
          <a:spLocks/>
        </xdr:cNvSpPr>
      </xdr:nvSpPr>
      <xdr:spPr>
        <a:xfrm>
          <a:off x="6381750" y="3867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85725</xdr:rowOff>
    </xdr:from>
    <xdr:to>
      <xdr:col>3</xdr:col>
      <xdr:colOff>409575</xdr:colOff>
      <xdr:row>39</xdr:row>
      <xdr:rowOff>85725</xdr:rowOff>
    </xdr:to>
    <xdr:sp>
      <xdr:nvSpPr>
        <xdr:cNvPr id="108" name="Line 109"/>
        <xdr:cNvSpPr>
          <a:spLocks/>
        </xdr:cNvSpPr>
      </xdr:nvSpPr>
      <xdr:spPr>
        <a:xfrm>
          <a:off x="2514600" y="6457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85725</xdr:rowOff>
    </xdr:from>
    <xdr:to>
      <xdr:col>3</xdr:col>
      <xdr:colOff>409575</xdr:colOff>
      <xdr:row>39</xdr:row>
      <xdr:rowOff>85725</xdr:rowOff>
    </xdr:to>
    <xdr:sp>
      <xdr:nvSpPr>
        <xdr:cNvPr id="109" name="Line 110"/>
        <xdr:cNvSpPr>
          <a:spLocks/>
        </xdr:cNvSpPr>
      </xdr:nvSpPr>
      <xdr:spPr>
        <a:xfrm>
          <a:off x="2514600" y="6457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39</xdr:row>
      <xdr:rowOff>85725</xdr:rowOff>
    </xdr:from>
    <xdr:to>
      <xdr:col>8</xdr:col>
      <xdr:colOff>409575</xdr:colOff>
      <xdr:row>39</xdr:row>
      <xdr:rowOff>85725</xdr:rowOff>
    </xdr:to>
    <xdr:sp>
      <xdr:nvSpPr>
        <xdr:cNvPr id="110" name="Line 111"/>
        <xdr:cNvSpPr>
          <a:spLocks/>
        </xdr:cNvSpPr>
      </xdr:nvSpPr>
      <xdr:spPr>
        <a:xfrm>
          <a:off x="6381750" y="6457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39</xdr:row>
      <xdr:rowOff>85725</xdr:rowOff>
    </xdr:from>
    <xdr:to>
      <xdr:col>8</xdr:col>
      <xdr:colOff>409575</xdr:colOff>
      <xdr:row>39</xdr:row>
      <xdr:rowOff>85725</xdr:rowOff>
    </xdr:to>
    <xdr:sp>
      <xdr:nvSpPr>
        <xdr:cNvPr id="111" name="Line 112"/>
        <xdr:cNvSpPr>
          <a:spLocks/>
        </xdr:cNvSpPr>
      </xdr:nvSpPr>
      <xdr:spPr>
        <a:xfrm>
          <a:off x="6381750" y="6457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85725</xdr:rowOff>
    </xdr:from>
    <xdr:to>
      <xdr:col>3</xdr:col>
      <xdr:colOff>409575</xdr:colOff>
      <xdr:row>37</xdr:row>
      <xdr:rowOff>85725</xdr:rowOff>
    </xdr:to>
    <xdr:sp>
      <xdr:nvSpPr>
        <xdr:cNvPr id="112" name="Line 113"/>
        <xdr:cNvSpPr>
          <a:spLocks/>
        </xdr:cNvSpPr>
      </xdr:nvSpPr>
      <xdr:spPr>
        <a:xfrm>
          <a:off x="2514600" y="6134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85725</xdr:rowOff>
    </xdr:from>
    <xdr:to>
      <xdr:col>3</xdr:col>
      <xdr:colOff>409575</xdr:colOff>
      <xdr:row>37</xdr:row>
      <xdr:rowOff>85725</xdr:rowOff>
    </xdr:to>
    <xdr:sp>
      <xdr:nvSpPr>
        <xdr:cNvPr id="113" name="Line 114"/>
        <xdr:cNvSpPr>
          <a:spLocks/>
        </xdr:cNvSpPr>
      </xdr:nvSpPr>
      <xdr:spPr>
        <a:xfrm>
          <a:off x="2514600" y="6134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85725</xdr:rowOff>
    </xdr:from>
    <xdr:to>
      <xdr:col>3</xdr:col>
      <xdr:colOff>409575</xdr:colOff>
      <xdr:row>35</xdr:row>
      <xdr:rowOff>85725</xdr:rowOff>
    </xdr:to>
    <xdr:sp>
      <xdr:nvSpPr>
        <xdr:cNvPr id="114" name="Line 115"/>
        <xdr:cNvSpPr>
          <a:spLocks/>
        </xdr:cNvSpPr>
      </xdr:nvSpPr>
      <xdr:spPr>
        <a:xfrm>
          <a:off x="2514600" y="5810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85725</xdr:rowOff>
    </xdr:from>
    <xdr:to>
      <xdr:col>3</xdr:col>
      <xdr:colOff>409575</xdr:colOff>
      <xdr:row>35</xdr:row>
      <xdr:rowOff>85725</xdr:rowOff>
    </xdr:to>
    <xdr:sp>
      <xdr:nvSpPr>
        <xdr:cNvPr id="115" name="Line 116"/>
        <xdr:cNvSpPr>
          <a:spLocks/>
        </xdr:cNvSpPr>
      </xdr:nvSpPr>
      <xdr:spPr>
        <a:xfrm>
          <a:off x="2514600" y="5810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37</xdr:row>
      <xdr:rowOff>85725</xdr:rowOff>
    </xdr:from>
    <xdr:to>
      <xdr:col>8</xdr:col>
      <xdr:colOff>409575</xdr:colOff>
      <xdr:row>37</xdr:row>
      <xdr:rowOff>85725</xdr:rowOff>
    </xdr:to>
    <xdr:sp>
      <xdr:nvSpPr>
        <xdr:cNvPr id="116" name="Line 117"/>
        <xdr:cNvSpPr>
          <a:spLocks/>
        </xdr:cNvSpPr>
      </xdr:nvSpPr>
      <xdr:spPr>
        <a:xfrm>
          <a:off x="6381750" y="6134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37</xdr:row>
      <xdr:rowOff>85725</xdr:rowOff>
    </xdr:from>
    <xdr:to>
      <xdr:col>8</xdr:col>
      <xdr:colOff>409575</xdr:colOff>
      <xdr:row>37</xdr:row>
      <xdr:rowOff>85725</xdr:rowOff>
    </xdr:to>
    <xdr:sp>
      <xdr:nvSpPr>
        <xdr:cNvPr id="117" name="Line 118"/>
        <xdr:cNvSpPr>
          <a:spLocks/>
        </xdr:cNvSpPr>
      </xdr:nvSpPr>
      <xdr:spPr>
        <a:xfrm>
          <a:off x="6381750" y="6134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85725</xdr:rowOff>
    </xdr:from>
    <xdr:to>
      <xdr:col>8</xdr:col>
      <xdr:colOff>409575</xdr:colOff>
      <xdr:row>35</xdr:row>
      <xdr:rowOff>85725</xdr:rowOff>
    </xdr:to>
    <xdr:sp>
      <xdr:nvSpPr>
        <xdr:cNvPr id="118" name="Line 119"/>
        <xdr:cNvSpPr>
          <a:spLocks/>
        </xdr:cNvSpPr>
      </xdr:nvSpPr>
      <xdr:spPr>
        <a:xfrm>
          <a:off x="6381750" y="5810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85725</xdr:rowOff>
    </xdr:from>
    <xdr:to>
      <xdr:col>8</xdr:col>
      <xdr:colOff>409575</xdr:colOff>
      <xdr:row>35</xdr:row>
      <xdr:rowOff>85725</xdr:rowOff>
    </xdr:to>
    <xdr:sp>
      <xdr:nvSpPr>
        <xdr:cNvPr id="119" name="Line 120"/>
        <xdr:cNvSpPr>
          <a:spLocks/>
        </xdr:cNvSpPr>
      </xdr:nvSpPr>
      <xdr:spPr>
        <a:xfrm>
          <a:off x="6381750" y="5810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9" width="9.140625" style="165" customWidth="1"/>
    <col min="10" max="10" width="5.7109375" style="165" customWidth="1"/>
    <col min="11" max="11" width="9.140625" style="165" customWidth="1"/>
    <col min="12" max="16384" width="9.140625" style="166" customWidth="1"/>
  </cols>
  <sheetData>
    <row r="1" spans="1:10" ht="15.75">
      <c r="A1" s="163" t="s">
        <v>67</v>
      </c>
      <c r="B1" s="164"/>
      <c r="C1" s="164"/>
      <c r="D1" s="164"/>
      <c r="E1" s="164"/>
      <c r="F1" s="164"/>
      <c r="G1" s="164"/>
      <c r="H1" s="164"/>
      <c r="I1" s="164"/>
      <c r="J1" s="164"/>
    </row>
    <row r="3" ht="12.75">
      <c r="A3" s="167" t="s">
        <v>61</v>
      </c>
    </row>
    <row r="5" ht="12.75">
      <c r="A5" s="165" t="s">
        <v>77</v>
      </c>
    </row>
    <row r="6" ht="12.75">
      <c r="A6" s="165" t="s">
        <v>78</v>
      </c>
    </row>
    <row r="7" ht="12.75">
      <c r="A7" s="165" t="s">
        <v>93</v>
      </c>
    </row>
    <row r="8" ht="12.75">
      <c r="A8" s="165" t="s">
        <v>94</v>
      </c>
    </row>
    <row r="10" ht="12.75">
      <c r="A10" s="165" t="s">
        <v>76</v>
      </c>
    </row>
    <row r="12" spans="1:10" ht="12.75">
      <c r="A12" s="168" t="s">
        <v>62</v>
      </c>
      <c r="B12" s="169"/>
      <c r="C12" s="170"/>
      <c r="D12" s="168" t="s">
        <v>63</v>
      </c>
      <c r="E12" s="171"/>
      <c r="F12" s="171"/>
      <c r="G12" s="171"/>
      <c r="H12" s="171"/>
      <c r="I12" s="171"/>
      <c r="J12" s="172"/>
    </row>
    <row r="13" spans="1:10" ht="12.75">
      <c r="A13" s="173" t="s">
        <v>64</v>
      </c>
      <c r="B13" s="174"/>
      <c r="C13" s="175"/>
      <c r="D13" s="173" t="s">
        <v>65</v>
      </c>
      <c r="E13" s="174"/>
      <c r="F13" s="174"/>
      <c r="G13" s="174"/>
      <c r="H13" s="174"/>
      <c r="I13" s="174"/>
      <c r="J13" s="175"/>
    </row>
    <row r="14" spans="1:12" ht="12.75">
      <c r="A14" s="182" t="s">
        <v>68</v>
      </c>
      <c r="B14" s="183"/>
      <c r="C14" s="184"/>
      <c r="D14" s="182" t="s">
        <v>73</v>
      </c>
      <c r="E14" s="183"/>
      <c r="F14" s="183"/>
      <c r="G14" s="183"/>
      <c r="H14" s="183"/>
      <c r="I14" s="183"/>
      <c r="J14" s="184"/>
      <c r="K14" s="185"/>
      <c r="L14" s="186"/>
    </row>
    <row r="15" spans="1:10" ht="12.75">
      <c r="A15" s="182" t="s">
        <v>69</v>
      </c>
      <c r="B15" s="183"/>
      <c r="C15" s="184"/>
      <c r="D15" s="182" t="s">
        <v>74</v>
      </c>
      <c r="E15" s="183"/>
      <c r="F15" s="183"/>
      <c r="G15" s="183"/>
      <c r="H15" s="183"/>
      <c r="I15" s="183"/>
      <c r="J15" s="184"/>
    </row>
    <row r="16" spans="1:10" ht="12.75">
      <c r="A16" s="182" t="s">
        <v>70</v>
      </c>
      <c r="B16" s="183"/>
      <c r="C16" s="184"/>
      <c r="D16" s="182" t="s">
        <v>75</v>
      </c>
      <c r="E16" s="183"/>
      <c r="F16" s="183"/>
      <c r="G16" s="183"/>
      <c r="H16" s="183"/>
      <c r="I16" s="183"/>
      <c r="J16" s="184"/>
    </row>
    <row r="17" spans="1:10" ht="12.75">
      <c r="A17" s="176" t="s">
        <v>71</v>
      </c>
      <c r="B17" s="177"/>
      <c r="C17" s="178"/>
      <c r="D17" s="176" t="s">
        <v>72</v>
      </c>
      <c r="E17" s="177"/>
      <c r="F17" s="177"/>
      <c r="G17" s="177"/>
      <c r="H17" s="177"/>
      <c r="I17" s="177"/>
      <c r="J17" s="178"/>
    </row>
    <row r="18" spans="1:10" ht="12.7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80"/>
    </row>
    <row r="19" ht="12.75">
      <c r="A19" s="167" t="s">
        <v>66</v>
      </c>
    </row>
    <row r="21" ht="12.75">
      <c r="A21" s="165" t="s">
        <v>95</v>
      </c>
    </row>
    <row r="22" ht="12.75">
      <c r="A22" s="165" t="s">
        <v>142</v>
      </c>
    </row>
    <row r="23" ht="12.75">
      <c r="A23" s="165" t="s">
        <v>96</v>
      </c>
    </row>
    <row r="24" ht="12.75">
      <c r="A24" s="165" t="s">
        <v>97</v>
      </c>
    </row>
    <row r="25" ht="12.75">
      <c r="A25" s="165" t="s">
        <v>98</v>
      </c>
    </row>
    <row r="26" spans="2:3" ht="12.75">
      <c r="B26" s="188"/>
      <c r="C26" s="185" t="s">
        <v>79</v>
      </c>
    </row>
    <row r="27" spans="3:10" ht="12.75">
      <c r="C27" s="187" t="s">
        <v>80</v>
      </c>
      <c r="D27" s="181"/>
      <c r="E27" s="181"/>
      <c r="F27" s="181"/>
      <c r="G27" s="181"/>
      <c r="H27" s="181"/>
      <c r="I27" s="181"/>
      <c r="J27" s="181"/>
    </row>
    <row r="28" spans="3:10" ht="12.75">
      <c r="C28" s="187" t="s">
        <v>83</v>
      </c>
      <c r="D28" s="181"/>
      <c r="E28" s="181"/>
      <c r="F28" s="181"/>
      <c r="G28" s="181"/>
      <c r="H28" s="181"/>
      <c r="I28" s="181"/>
      <c r="J28" s="181"/>
    </row>
    <row r="29" spans="3:10" ht="12.75">
      <c r="C29" s="187" t="s">
        <v>82</v>
      </c>
      <c r="D29" s="181"/>
      <c r="E29" s="181"/>
      <c r="F29" s="181"/>
      <c r="G29" s="181"/>
      <c r="H29" s="181"/>
      <c r="I29" s="181"/>
      <c r="J29" s="181"/>
    </row>
    <row r="30" spans="1:10" ht="12.75">
      <c r="A30" s="165" t="s">
        <v>99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 ht="12.75">
      <c r="A31" s="165" t="s">
        <v>100</v>
      </c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 ht="12.75">
      <c r="A32" s="165" t="s">
        <v>101</v>
      </c>
      <c r="B32" s="181"/>
      <c r="C32" s="181"/>
      <c r="D32" s="181"/>
      <c r="E32" s="181"/>
      <c r="F32" s="181"/>
      <c r="G32" s="181"/>
      <c r="H32" s="181"/>
      <c r="I32" s="181"/>
      <c r="J32" s="181"/>
    </row>
    <row r="33" spans="3:10" ht="12.75">
      <c r="C33" s="181" t="s">
        <v>12</v>
      </c>
      <c r="D33" s="181"/>
      <c r="E33" s="181"/>
      <c r="F33" s="181"/>
      <c r="G33" s="181"/>
      <c r="H33" s="181"/>
      <c r="I33" s="181"/>
      <c r="J33" s="181"/>
    </row>
    <row r="34" spans="2:10" ht="12.75">
      <c r="B34" s="188" t="s">
        <v>87</v>
      </c>
      <c r="C34" s="165" t="s">
        <v>86</v>
      </c>
      <c r="D34" s="181"/>
      <c r="E34" s="181"/>
      <c r="F34" s="181"/>
      <c r="G34" s="181"/>
      <c r="H34" s="181"/>
      <c r="I34" s="181"/>
      <c r="J34" s="181"/>
    </row>
    <row r="35" spans="3:10" ht="12.75">
      <c r="C35" s="181" t="s">
        <v>81</v>
      </c>
      <c r="D35" s="181"/>
      <c r="E35" s="181"/>
      <c r="F35" s="181"/>
      <c r="G35" s="181"/>
      <c r="H35" s="181"/>
      <c r="I35" s="181"/>
      <c r="J35" s="181"/>
    </row>
    <row r="36" spans="1:10" ht="12.75">
      <c r="A36" s="181"/>
      <c r="C36" s="181" t="s">
        <v>84</v>
      </c>
      <c r="D36" s="181"/>
      <c r="E36" s="181"/>
      <c r="F36" s="181"/>
      <c r="G36" s="181"/>
      <c r="H36" s="181"/>
      <c r="I36" s="181"/>
      <c r="J36" s="181"/>
    </row>
    <row r="37" spans="1:10" ht="12.75">
      <c r="A37" s="181"/>
      <c r="C37" s="181" t="s">
        <v>85</v>
      </c>
      <c r="D37" s="181"/>
      <c r="E37" s="181"/>
      <c r="F37" s="181"/>
      <c r="G37" s="181"/>
      <c r="H37" s="181"/>
      <c r="I37" s="181"/>
      <c r="J37" s="181"/>
    </row>
    <row r="38" spans="2:10" ht="12.75">
      <c r="B38" s="189" t="s">
        <v>91</v>
      </c>
      <c r="C38" s="181" t="s">
        <v>88</v>
      </c>
      <c r="D38" s="181"/>
      <c r="E38" s="181"/>
      <c r="F38" s="181"/>
      <c r="G38" s="181"/>
      <c r="H38" s="181"/>
      <c r="I38" s="181"/>
      <c r="J38" s="181"/>
    </row>
    <row r="39" spans="2:10" ht="12.75">
      <c r="B39" s="181"/>
      <c r="C39" s="181" t="s">
        <v>89</v>
      </c>
      <c r="D39" s="181"/>
      <c r="E39" s="181"/>
      <c r="F39" s="181"/>
      <c r="G39" s="181"/>
      <c r="H39" s="181"/>
      <c r="I39" s="181"/>
      <c r="J39" s="181"/>
    </row>
    <row r="40" spans="2:10" ht="12.75">
      <c r="B40" s="181"/>
      <c r="C40" s="181" t="s">
        <v>90</v>
      </c>
      <c r="D40" s="181"/>
      <c r="E40" s="181"/>
      <c r="F40" s="181"/>
      <c r="G40" s="181"/>
      <c r="H40" s="181"/>
      <c r="I40" s="181"/>
      <c r="J40" s="181"/>
    </row>
    <row r="41" spans="1:10" ht="12.75">
      <c r="A41" s="165" t="s">
        <v>102</v>
      </c>
      <c r="B41" s="181"/>
      <c r="C41" s="181"/>
      <c r="D41" s="181"/>
      <c r="E41" s="181"/>
      <c r="F41" s="181"/>
      <c r="G41" s="181"/>
      <c r="H41" s="181"/>
      <c r="I41" s="181"/>
      <c r="J41" s="181"/>
    </row>
    <row r="42" spans="1:10" ht="12.75">
      <c r="A42" s="165" t="s">
        <v>92</v>
      </c>
      <c r="B42" s="181"/>
      <c r="C42" s="181"/>
      <c r="D42" s="181"/>
      <c r="E42" s="181"/>
      <c r="F42" s="181"/>
      <c r="G42" s="181"/>
      <c r="H42" s="181"/>
      <c r="I42" s="181"/>
      <c r="J42" s="181"/>
    </row>
    <row r="43" spans="1:10" ht="12.75">
      <c r="A43" s="165" t="s">
        <v>103</v>
      </c>
      <c r="B43" s="181"/>
      <c r="C43" s="181"/>
      <c r="D43" s="181"/>
      <c r="E43" s="181"/>
      <c r="F43" s="181"/>
      <c r="G43" s="181"/>
      <c r="H43" s="181"/>
      <c r="I43" s="181"/>
      <c r="J43" s="181"/>
    </row>
    <row r="44" spans="1:10" ht="12.75">
      <c r="A44" s="165" t="s">
        <v>143</v>
      </c>
      <c r="B44" s="181"/>
      <c r="C44" s="181"/>
      <c r="D44" s="181"/>
      <c r="E44" s="181"/>
      <c r="F44" s="181"/>
      <c r="G44" s="181"/>
      <c r="H44" s="181"/>
      <c r="I44" s="181"/>
      <c r="J44" s="181"/>
    </row>
    <row r="45" spans="1:10" ht="12.75">
      <c r="A45" s="165" t="s">
        <v>144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ht="12.75">
      <c r="A46" s="165" t="s">
        <v>104</v>
      </c>
      <c r="C46" s="181"/>
      <c r="D46" s="181"/>
      <c r="E46" s="181"/>
      <c r="F46" s="181"/>
      <c r="G46" s="181"/>
      <c r="H46" s="181"/>
      <c r="I46" s="181"/>
      <c r="J46" s="181"/>
    </row>
    <row r="47" spans="1:10" ht="12.75">
      <c r="A47" s="165" t="s">
        <v>105</v>
      </c>
      <c r="B47" s="181"/>
      <c r="F47" s="181"/>
      <c r="G47" s="181"/>
      <c r="H47" s="181"/>
      <c r="I47" s="181"/>
      <c r="J47" s="181"/>
    </row>
    <row r="48" spans="1:10" ht="12.75">
      <c r="A48" s="165" t="s">
        <v>106</v>
      </c>
      <c r="B48" s="181"/>
      <c r="C48" s="181"/>
      <c r="D48" s="181"/>
      <c r="E48" s="181"/>
      <c r="F48" s="181"/>
      <c r="G48" s="181"/>
      <c r="H48" s="181"/>
      <c r="I48" s="181"/>
      <c r="J48" s="181"/>
    </row>
    <row r="49" spans="1:10" ht="12.75">
      <c r="A49" s="165" t="s">
        <v>107</v>
      </c>
      <c r="C49" s="181"/>
      <c r="D49" s="181"/>
      <c r="E49" s="181"/>
      <c r="F49" s="181"/>
      <c r="G49" s="181"/>
      <c r="H49" s="181"/>
      <c r="I49" s="181"/>
      <c r="J49" s="181"/>
    </row>
    <row r="50" spans="1:10" ht="12.75">
      <c r="A50" s="187" t="s">
        <v>108</v>
      </c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10" ht="12.75">
      <c r="A51" s="187" t="s">
        <v>109</v>
      </c>
      <c r="B51" s="181"/>
      <c r="C51" s="181"/>
      <c r="D51" s="181"/>
      <c r="E51" s="181"/>
      <c r="F51" s="181"/>
      <c r="G51" s="181"/>
      <c r="H51" s="181"/>
      <c r="I51" s="181"/>
      <c r="J51" s="181"/>
    </row>
    <row r="52" spans="1:10" ht="12.75">
      <c r="A52" s="187" t="s">
        <v>110</v>
      </c>
      <c r="B52" s="181"/>
      <c r="C52" s="181"/>
      <c r="D52" s="181"/>
      <c r="E52" s="181"/>
      <c r="F52" s="181"/>
      <c r="G52" s="181"/>
      <c r="H52" s="181"/>
      <c r="I52" s="181"/>
      <c r="J52" s="181"/>
    </row>
    <row r="53" spans="1:10" ht="12.75">
      <c r="A53" s="187" t="s">
        <v>111</v>
      </c>
      <c r="B53" s="181"/>
      <c r="C53" s="181"/>
      <c r="D53" s="181"/>
      <c r="E53" s="181"/>
      <c r="F53" s="181"/>
      <c r="G53" s="181"/>
      <c r="H53" s="181"/>
      <c r="I53" s="181"/>
      <c r="J53" s="181"/>
    </row>
    <row r="54" spans="2:10" ht="12.75">
      <c r="B54" s="181"/>
      <c r="C54" s="181"/>
      <c r="D54" s="181"/>
      <c r="E54" s="181"/>
      <c r="F54" s="181"/>
      <c r="G54" s="181"/>
      <c r="H54" s="181"/>
      <c r="I54" s="181"/>
      <c r="J54" s="181"/>
    </row>
    <row r="55" spans="1:10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</row>
    <row r="56" spans="1:10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</row>
    <row r="57" spans="1:10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</row>
    <row r="58" spans="1:10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</row>
    <row r="59" spans="1:10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60" spans="1:10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10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</row>
    <row r="62" spans="1:10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10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</row>
    <row r="64" spans="1:10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</row>
    <row r="65" spans="1:10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</row>
  </sheetData>
  <sheetProtection sheet="1" objects="1" scenarios="1"/>
  <printOptions/>
  <pageMargins left="1" right="0.5" top="1" bottom="1" header="0.5" footer="0.5"/>
  <pageSetup horizontalDpi="600" verticalDpi="600" orientation="portrait" scale="9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3.7109375" style="10" customWidth="1"/>
    <col min="3" max="3" width="6.7109375" style="10" customWidth="1"/>
    <col min="4" max="6" width="3.7109375" style="10" customWidth="1"/>
    <col min="7" max="7" width="7.7109375" style="10" customWidth="1"/>
    <col min="8" max="8" width="2.8515625" style="10" customWidth="1"/>
    <col min="9" max="9" width="5.7109375" style="10" customWidth="1"/>
    <col min="10" max="10" width="1.7109375" style="10" customWidth="1"/>
    <col min="11" max="11" width="14.7109375" style="10" customWidth="1"/>
    <col min="12" max="12" width="17.00390625" style="10" customWidth="1"/>
    <col min="13" max="13" width="9.140625" style="103" customWidth="1"/>
    <col min="14" max="19" width="0" style="103" hidden="1" customWidth="1"/>
    <col min="20" max="21" width="14.7109375" style="103" hidden="1" customWidth="1"/>
    <col min="22" max="22" width="14.7109375" style="239" hidden="1" customWidth="1"/>
    <col min="23" max="24" width="9.140625" style="90" customWidth="1"/>
    <col min="25" max="25" width="9.140625" style="91" customWidth="1"/>
    <col min="26" max="26" width="9.140625" style="32" customWidth="1"/>
    <col min="27" max="27" width="9.140625" style="92" customWidth="1"/>
    <col min="28" max="28" width="9.140625" style="19" customWidth="1"/>
    <col min="29" max="16384" width="9.140625" style="10" customWidth="1"/>
  </cols>
  <sheetData>
    <row r="1" ht="12.75" customHeight="1" thickBot="1">
      <c r="W1" s="42" t="s">
        <v>141</v>
      </c>
    </row>
    <row r="2" spans="1:29" ht="16.5" thickBot="1">
      <c r="A2" s="7"/>
      <c r="B2" s="97" t="s">
        <v>14</v>
      </c>
      <c r="C2" s="98"/>
      <c r="D2" s="98"/>
      <c r="E2" s="98"/>
      <c r="F2" s="98"/>
      <c r="G2" s="98"/>
      <c r="H2" s="98"/>
      <c r="I2" s="98"/>
      <c r="J2" s="98"/>
      <c r="K2" s="98"/>
      <c r="L2" s="127"/>
      <c r="M2" s="128"/>
      <c r="N2" s="128"/>
      <c r="O2" s="128"/>
      <c r="P2" s="128"/>
      <c r="Q2" s="128"/>
      <c r="R2" s="128"/>
      <c r="S2" s="128"/>
      <c r="T2" s="128"/>
      <c r="U2" s="128"/>
      <c r="V2" s="240"/>
      <c r="W2" s="129"/>
      <c r="X2" s="129"/>
      <c r="Y2" s="129"/>
      <c r="Z2" s="129"/>
      <c r="AA2" s="129"/>
      <c r="AB2" s="129"/>
      <c r="AC2" s="7"/>
    </row>
    <row r="3" spans="2:28" ht="12.75" customHeight="1">
      <c r="B3" s="99" t="s">
        <v>0</v>
      </c>
      <c r="C3" s="100"/>
      <c r="D3" s="130"/>
      <c r="E3" s="130"/>
      <c r="F3" s="131"/>
      <c r="G3" s="132" t="s">
        <v>112</v>
      </c>
      <c r="H3" s="130"/>
      <c r="I3" s="130"/>
      <c r="J3" s="131"/>
      <c r="K3" s="93" t="s">
        <v>18</v>
      </c>
      <c r="L3" s="95" t="s">
        <v>18</v>
      </c>
      <c r="N3" s="104" t="s">
        <v>1</v>
      </c>
      <c r="P3" s="105"/>
      <c r="Q3" s="105"/>
      <c r="R3" s="105"/>
      <c r="S3" s="105"/>
      <c r="T3" s="105"/>
      <c r="U3" s="104"/>
      <c r="V3" s="241"/>
      <c r="W3" s="64"/>
      <c r="X3" s="64"/>
      <c r="Y3" s="65"/>
      <c r="Z3" s="43"/>
      <c r="AA3" s="66"/>
      <c r="AB3" s="37"/>
    </row>
    <row r="4" spans="2:28" ht="12.75" customHeight="1">
      <c r="B4" s="102" t="s">
        <v>16</v>
      </c>
      <c r="C4" s="101" t="s">
        <v>5</v>
      </c>
      <c r="D4" s="101" t="s">
        <v>6</v>
      </c>
      <c r="E4" s="101" t="s">
        <v>11</v>
      </c>
      <c r="F4" s="101" t="s">
        <v>7</v>
      </c>
      <c r="G4" s="133" t="s">
        <v>13</v>
      </c>
      <c r="H4" s="134"/>
      <c r="I4" s="134"/>
      <c r="J4" s="135"/>
      <c r="K4" s="94" t="s">
        <v>19</v>
      </c>
      <c r="L4" s="136" t="s">
        <v>4</v>
      </c>
      <c r="N4" s="104" t="s">
        <v>2</v>
      </c>
      <c r="P4" s="105"/>
      <c r="Q4" s="105"/>
      <c r="R4" s="105"/>
      <c r="S4" s="105"/>
      <c r="T4" s="105"/>
      <c r="U4" s="104"/>
      <c r="V4" s="241"/>
      <c r="W4" s="64"/>
      <c r="X4" s="64"/>
      <c r="Y4" s="65"/>
      <c r="Z4" s="43"/>
      <c r="AA4" s="66"/>
      <c r="AB4" s="37"/>
    </row>
    <row r="5" spans="2:28" ht="12.75" customHeight="1">
      <c r="B5" s="190" t="s">
        <v>1</v>
      </c>
      <c r="C5" s="191">
        <v>27</v>
      </c>
      <c r="D5" s="192">
        <v>11</v>
      </c>
      <c r="E5" s="192">
        <v>13</v>
      </c>
      <c r="F5" s="193">
        <v>16</v>
      </c>
      <c r="G5" s="194" t="str">
        <f aca="true" t="shared" si="0" ref="G5:G24">IF(OR(AND($C5=0,$D5=0,$E5=0,$F5=0),(AND($C5="",$D5="",$E5="",$F5=""))),"",$O5&amp;"' -")</f>
        <v>27' -</v>
      </c>
      <c r="H5" s="195">
        <f aca="true" t="shared" si="1" ref="H5:H24">IF(OR(AND($C5=0,$D5=0,$E5=0,$F5=0),(AND($C5="",$D5="",$E5="",$F5=""))),"",$Q5)</f>
        <v>11</v>
      </c>
      <c r="I5" s="196">
        <f aca="true" t="shared" si="2" ref="I5:I24">IF(OR(AND($C5=0,$D5=0,$E5=0,$F5=0),(AND($C5="",$D5="",$E5="",$F5=""))),"",IF($S5=0,"''",$S5/$T5))</f>
        <v>0.8125</v>
      </c>
      <c r="J5" s="197" t="str">
        <f aca="true" t="shared" si="3" ref="J5:J24">IF(OR(AND($C5=0,$D5=0,$E5=0,$F5=0),(AND($C5="",$D5="",$E5="",$F5=""))),"",IF($S5=0,"","''"))</f>
        <v>''</v>
      </c>
      <c r="K5" s="198">
        <f aca="true" t="shared" si="4" ref="K5:K24">IF(OR(AND($C5=0,$D5=0,$E5=0,$F5=0),(AND($C5="",$D5="",$E5="",$F5=""))),"",ABS($U5))</f>
        <v>27.984375</v>
      </c>
      <c r="L5" s="247">
        <f aca="true" t="shared" si="5" ref="L5:L24">IF(OR(AND($C5=0,$D5=0,$E5=0,$F5=0),(AND($C5="",$D5="",$E5="",$F5=""))),"",ABS($V5))</f>
        <v>8529.6375</v>
      </c>
      <c r="O5" s="105">
        <f>ROUND($C5,0)</f>
        <v>27</v>
      </c>
      <c r="P5" s="107"/>
      <c r="Q5" s="105">
        <f>ROUND($D5,0)</f>
        <v>11</v>
      </c>
      <c r="R5" s="105"/>
      <c r="S5" s="105">
        <f>ROUND($E5,0)</f>
        <v>13</v>
      </c>
      <c r="T5" s="108">
        <f>ROUND($F5,0)</f>
        <v>16</v>
      </c>
      <c r="U5" s="48">
        <f aca="true" t="shared" si="6" ref="U5:U24">IF(OR(AND($C5=0,$D5=0,$E5=0,$F5=0),(AND($C5="",$D5="",$E5="",$F5=""))),"",IF(OR($B5="+",$B5=""),($O5+($Q5+IF($S5&gt;0,($S5/$T5),0))/12),-($O5+($Q5+IF($S5&gt;0,($S5/$T5),0))/12)))</f>
        <v>27.984375</v>
      </c>
      <c r="V5" s="242">
        <f aca="true" t="shared" si="7" ref="V5:V24">IF(OR(AND($C5=0,$D5=0,$E5=0,$F5=0),(AND($C5="",$D5="",$E5="",$F5=""))),"",$U5*304.8)</f>
        <v>8529.6375</v>
      </c>
      <c r="W5" s="64"/>
      <c r="X5" s="64"/>
      <c r="Y5" s="65"/>
      <c r="Z5" s="43"/>
      <c r="AA5" s="66"/>
      <c r="AB5" s="37"/>
    </row>
    <row r="6" spans="2:28" ht="12.75" customHeight="1">
      <c r="B6" s="199" t="s">
        <v>1</v>
      </c>
      <c r="C6" s="200">
        <v>6</v>
      </c>
      <c r="D6" s="201">
        <v>0</v>
      </c>
      <c r="E6" s="201">
        <v>1</v>
      </c>
      <c r="F6" s="202">
        <v>4</v>
      </c>
      <c r="G6" s="203" t="str">
        <f t="shared" si="0"/>
        <v>6' -</v>
      </c>
      <c r="H6" s="204">
        <f t="shared" si="1"/>
        <v>0</v>
      </c>
      <c r="I6" s="205">
        <f t="shared" si="2"/>
        <v>0.25</v>
      </c>
      <c r="J6" s="206" t="str">
        <f t="shared" si="3"/>
        <v>''</v>
      </c>
      <c r="K6" s="207">
        <f t="shared" si="4"/>
        <v>6.020833333333333</v>
      </c>
      <c r="L6" s="248">
        <f t="shared" si="5"/>
        <v>1835.15</v>
      </c>
      <c r="O6" s="105">
        <f aca="true" t="shared" si="8" ref="O6:O24">IF(OR(AND($C6=0,$D6=0,$E6=0,$F6=0),(AND($C6="",$D6="",$E6="",$F6=""))),"",ROUND($C6,0))</f>
        <v>6</v>
      </c>
      <c r="P6" s="107"/>
      <c r="Q6" s="105">
        <f aca="true" t="shared" si="9" ref="Q6:Q24">IF(OR(AND($C6=0,$D6=0,$E6=0,$F6=0),(AND($C6="",$D6="",$E6="",$F6=""))),"",ROUND($D6,0))</f>
        <v>0</v>
      </c>
      <c r="R6" s="105"/>
      <c r="S6" s="105">
        <f aca="true" t="shared" si="10" ref="S6:S24">IF(OR(AND($C6=0,$D6=0,$E6=0,$F6=0),(AND($C6="",$D6="",$E6="",$F6=""))),"",ROUND($E6,0))</f>
        <v>1</v>
      </c>
      <c r="T6" s="108">
        <f aca="true" t="shared" si="11" ref="T6:T24">IF(OR(AND($C6=0,$D6=0,$E6=0,$F6=0),(AND($C6="",$D6="",$E6="",$F6=""))),"",ROUND($F6,0))</f>
        <v>4</v>
      </c>
      <c r="U6" s="48">
        <f t="shared" si="6"/>
        <v>6.020833333333333</v>
      </c>
      <c r="V6" s="242">
        <f t="shared" si="7"/>
        <v>1835.15</v>
      </c>
      <c r="W6" s="64"/>
      <c r="X6" s="64"/>
      <c r="Y6" s="65"/>
      <c r="Z6" s="43"/>
      <c r="AA6" s="66"/>
      <c r="AB6" s="37"/>
    </row>
    <row r="7" spans="2:28" ht="12.75" customHeight="1">
      <c r="B7" s="208"/>
      <c r="C7" s="200"/>
      <c r="D7" s="201"/>
      <c r="E7" s="201"/>
      <c r="F7" s="202"/>
      <c r="G7" s="203">
        <f t="shared" si="0"/>
      </c>
      <c r="H7" s="204">
        <f t="shared" si="1"/>
      </c>
      <c r="I7" s="205">
        <f t="shared" si="2"/>
      </c>
      <c r="J7" s="206">
        <f t="shared" si="3"/>
      </c>
      <c r="K7" s="207">
        <f t="shared" si="4"/>
      </c>
      <c r="L7" s="248">
        <f t="shared" si="5"/>
      </c>
      <c r="O7" s="105">
        <f t="shared" si="8"/>
      </c>
      <c r="P7" s="107"/>
      <c r="Q7" s="105">
        <f t="shared" si="9"/>
      </c>
      <c r="R7" s="105"/>
      <c r="S7" s="105">
        <f t="shared" si="10"/>
      </c>
      <c r="T7" s="108">
        <f t="shared" si="11"/>
      </c>
      <c r="U7" s="48">
        <f t="shared" si="6"/>
      </c>
      <c r="V7" s="242">
        <f t="shared" si="7"/>
      </c>
      <c r="W7" s="64"/>
      <c r="X7" s="64"/>
      <c r="Y7" s="65"/>
      <c r="Z7" s="43"/>
      <c r="AA7" s="66"/>
      <c r="AB7" s="37"/>
    </row>
    <row r="8" spans="2:28" ht="12.75" customHeight="1">
      <c r="B8" s="208"/>
      <c r="C8" s="200"/>
      <c r="D8" s="201"/>
      <c r="E8" s="201"/>
      <c r="F8" s="202"/>
      <c r="G8" s="203">
        <f t="shared" si="0"/>
      </c>
      <c r="H8" s="204">
        <f t="shared" si="1"/>
      </c>
      <c r="I8" s="205">
        <f t="shared" si="2"/>
      </c>
      <c r="J8" s="206">
        <f t="shared" si="3"/>
      </c>
      <c r="K8" s="207">
        <f t="shared" si="4"/>
      </c>
      <c r="L8" s="248">
        <f t="shared" si="5"/>
      </c>
      <c r="O8" s="105">
        <f t="shared" si="8"/>
      </c>
      <c r="P8" s="107"/>
      <c r="Q8" s="105">
        <f t="shared" si="9"/>
      </c>
      <c r="R8" s="105"/>
      <c r="S8" s="105">
        <f t="shared" si="10"/>
      </c>
      <c r="T8" s="108">
        <f t="shared" si="11"/>
      </c>
      <c r="U8" s="48">
        <f t="shared" si="6"/>
      </c>
      <c r="V8" s="242">
        <f t="shared" si="7"/>
      </c>
      <c r="W8" s="64"/>
      <c r="X8" s="64"/>
      <c r="Y8" s="65"/>
      <c r="Z8" s="43"/>
      <c r="AA8" s="66"/>
      <c r="AB8" s="37"/>
    </row>
    <row r="9" spans="2:28" ht="12.75" customHeight="1">
      <c r="B9" s="208"/>
      <c r="C9" s="200"/>
      <c r="D9" s="201"/>
      <c r="E9" s="201"/>
      <c r="F9" s="202"/>
      <c r="G9" s="203">
        <f t="shared" si="0"/>
      </c>
      <c r="H9" s="204">
        <f t="shared" si="1"/>
      </c>
      <c r="I9" s="205">
        <f t="shared" si="2"/>
      </c>
      <c r="J9" s="206">
        <f t="shared" si="3"/>
      </c>
      <c r="K9" s="207">
        <f t="shared" si="4"/>
      </c>
      <c r="L9" s="248">
        <f t="shared" si="5"/>
      </c>
      <c r="O9" s="105">
        <f t="shared" si="8"/>
      </c>
      <c r="P9" s="107"/>
      <c r="Q9" s="105">
        <f t="shared" si="9"/>
      </c>
      <c r="R9" s="105"/>
      <c r="S9" s="105">
        <f t="shared" si="10"/>
      </c>
      <c r="T9" s="108">
        <f t="shared" si="11"/>
      </c>
      <c r="U9" s="48">
        <f t="shared" si="6"/>
      </c>
      <c r="V9" s="242">
        <f t="shared" si="7"/>
      </c>
      <c r="W9" s="64"/>
      <c r="X9" s="64"/>
      <c r="Y9" s="65"/>
      <c r="Z9" s="43"/>
      <c r="AA9" s="66"/>
      <c r="AB9" s="37"/>
    </row>
    <row r="10" spans="2:28" ht="12.75" customHeight="1">
      <c r="B10" s="208"/>
      <c r="C10" s="200"/>
      <c r="D10" s="201"/>
      <c r="E10" s="201"/>
      <c r="F10" s="202"/>
      <c r="G10" s="203">
        <f t="shared" si="0"/>
      </c>
      <c r="H10" s="204">
        <f t="shared" si="1"/>
      </c>
      <c r="I10" s="205">
        <f t="shared" si="2"/>
      </c>
      <c r="J10" s="206">
        <f t="shared" si="3"/>
      </c>
      <c r="K10" s="207">
        <f t="shared" si="4"/>
      </c>
      <c r="L10" s="248">
        <f t="shared" si="5"/>
      </c>
      <c r="O10" s="105">
        <f t="shared" si="8"/>
      </c>
      <c r="P10" s="107"/>
      <c r="Q10" s="105">
        <f t="shared" si="9"/>
      </c>
      <c r="R10" s="105"/>
      <c r="S10" s="105">
        <f t="shared" si="10"/>
      </c>
      <c r="T10" s="108">
        <f t="shared" si="11"/>
      </c>
      <c r="U10" s="48">
        <f t="shared" si="6"/>
      </c>
      <c r="V10" s="242">
        <f t="shared" si="7"/>
      </c>
      <c r="W10" s="64"/>
      <c r="X10" s="64"/>
      <c r="Y10" s="65"/>
      <c r="Z10" s="43"/>
      <c r="AA10" s="66"/>
      <c r="AB10" s="37"/>
    </row>
    <row r="11" spans="2:28" ht="12.75" customHeight="1">
      <c r="B11" s="208"/>
      <c r="C11" s="200"/>
      <c r="D11" s="201"/>
      <c r="E11" s="201"/>
      <c r="F11" s="202"/>
      <c r="G11" s="203">
        <f t="shared" si="0"/>
      </c>
      <c r="H11" s="204">
        <f t="shared" si="1"/>
      </c>
      <c r="I11" s="205">
        <f t="shared" si="2"/>
      </c>
      <c r="J11" s="206">
        <f t="shared" si="3"/>
      </c>
      <c r="K11" s="207">
        <f t="shared" si="4"/>
      </c>
      <c r="L11" s="248">
        <f t="shared" si="5"/>
      </c>
      <c r="O11" s="105">
        <f t="shared" si="8"/>
      </c>
      <c r="P11" s="107"/>
      <c r="Q11" s="105">
        <f t="shared" si="9"/>
      </c>
      <c r="R11" s="105"/>
      <c r="S11" s="105">
        <f t="shared" si="10"/>
      </c>
      <c r="T11" s="108">
        <f t="shared" si="11"/>
      </c>
      <c r="U11" s="48">
        <f t="shared" si="6"/>
      </c>
      <c r="V11" s="242">
        <f t="shared" si="7"/>
      </c>
      <c r="W11" s="64"/>
      <c r="X11" s="64"/>
      <c r="Y11" s="65"/>
      <c r="Z11" s="43"/>
      <c r="AA11" s="66"/>
      <c r="AB11" s="37"/>
    </row>
    <row r="12" spans="2:28" ht="12.75" customHeight="1">
      <c r="B12" s="208"/>
      <c r="C12" s="200"/>
      <c r="D12" s="201"/>
      <c r="E12" s="201"/>
      <c r="F12" s="202"/>
      <c r="G12" s="203">
        <f t="shared" si="0"/>
      </c>
      <c r="H12" s="204">
        <f t="shared" si="1"/>
      </c>
      <c r="I12" s="205">
        <f t="shared" si="2"/>
      </c>
      <c r="J12" s="206">
        <f t="shared" si="3"/>
      </c>
      <c r="K12" s="207">
        <f t="shared" si="4"/>
      </c>
      <c r="L12" s="248">
        <f t="shared" si="5"/>
      </c>
      <c r="O12" s="105">
        <f t="shared" si="8"/>
      </c>
      <c r="P12" s="107"/>
      <c r="Q12" s="105">
        <f t="shared" si="9"/>
      </c>
      <c r="R12" s="105"/>
      <c r="S12" s="105">
        <f t="shared" si="10"/>
      </c>
      <c r="T12" s="108">
        <f t="shared" si="11"/>
      </c>
      <c r="U12" s="48">
        <f t="shared" si="6"/>
      </c>
      <c r="V12" s="242">
        <f t="shared" si="7"/>
      </c>
      <c r="W12" s="64"/>
      <c r="X12" s="64"/>
      <c r="Y12" s="65"/>
      <c r="Z12" s="43"/>
      <c r="AA12" s="66"/>
      <c r="AB12" s="37"/>
    </row>
    <row r="13" spans="2:28" ht="12.75" customHeight="1">
      <c r="B13" s="208"/>
      <c r="C13" s="200"/>
      <c r="D13" s="201"/>
      <c r="E13" s="201"/>
      <c r="F13" s="202"/>
      <c r="G13" s="203">
        <f t="shared" si="0"/>
      </c>
      <c r="H13" s="204">
        <f t="shared" si="1"/>
      </c>
      <c r="I13" s="205">
        <f t="shared" si="2"/>
      </c>
      <c r="J13" s="206">
        <f t="shared" si="3"/>
      </c>
      <c r="K13" s="207">
        <f t="shared" si="4"/>
      </c>
      <c r="L13" s="248">
        <f t="shared" si="5"/>
      </c>
      <c r="O13" s="105">
        <f t="shared" si="8"/>
      </c>
      <c r="P13" s="107"/>
      <c r="Q13" s="105">
        <f t="shared" si="9"/>
      </c>
      <c r="R13" s="105"/>
      <c r="S13" s="105">
        <f t="shared" si="10"/>
      </c>
      <c r="T13" s="108">
        <f t="shared" si="11"/>
      </c>
      <c r="U13" s="48">
        <f t="shared" si="6"/>
      </c>
      <c r="V13" s="242">
        <f t="shared" si="7"/>
      </c>
      <c r="W13" s="64"/>
      <c r="X13" s="64"/>
      <c r="Y13" s="65"/>
      <c r="Z13" s="43"/>
      <c r="AA13" s="66"/>
      <c r="AB13" s="37"/>
    </row>
    <row r="14" spans="2:28" ht="12.75" customHeight="1">
      <c r="B14" s="208"/>
      <c r="C14" s="200"/>
      <c r="D14" s="201"/>
      <c r="E14" s="201"/>
      <c r="F14" s="202"/>
      <c r="G14" s="203">
        <f t="shared" si="0"/>
      </c>
      <c r="H14" s="204">
        <f t="shared" si="1"/>
      </c>
      <c r="I14" s="205">
        <f t="shared" si="2"/>
      </c>
      <c r="J14" s="206">
        <f t="shared" si="3"/>
      </c>
      <c r="K14" s="207">
        <f t="shared" si="4"/>
      </c>
      <c r="L14" s="248">
        <f t="shared" si="5"/>
      </c>
      <c r="O14" s="105">
        <f t="shared" si="8"/>
      </c>
      <c r="P14" s="107"/>
      <c r="Q14" s="105">
        <f t="shared" si="9"/>
      </c>
      <c r="R14" s="105"/>
      <c r="S14" s="105">
        <f t="shared" si="10"/>
      </c>
      <c r="T14" s="108">
        <f t="shared" si="11"/>
      </c>
      <c r="U14" s="48">
        <f t="shared" si="6"/>
      </c>
      <c r="V14" s="242">
        <f t="shared" si="7"/>
      </c>
      <c r="W14" s="64"/>
      <c r="X14" s="64"/>
      <c r="Y14" s="65"/>
      <c r="Z14" s="43"/>
      <c r="AA14" s="66"/>
      <c r="AB14" s="37"/>
    </row>
    <row r="15" spans="2:28" ht="12.75" customHeight="1">
      <c r="B15" s="208"/>
      <c r="C15" s="200"/>
      <c r="D15" s="201"/>
      <c r="E15" s="201"/>
      <c r="F15" s="202"/>
      <c r="G15" s="203">
        <f t="shared" si="0"/>
      </c>
      <c r="H15" s="204">
        <f t="shared" si="1"/>
      </c>
      <c r="I15" s="205">
        <f t="shared" si="2"/>
      </c>
      <c r="J15" s="206">
        <f t="shared" si="3"/>
      </c>
      <c r="K15" s="207">
        <f t="shared" si="4"/>
      </c>
      <c r="L15" s="248">
        <f t="shared" si="5"/>
      </c>
      <c r="O15" s="105">
        <f t="shared" si="8"/>
      </c>
      <c r="P15" s="107"/>
      <c r="Q15" s="105">
        <f t="shared" si="9"/>
      </c>
      <c r="R15" s="105"/>
      <c r="S15" s="105">
        <f t="shared" si="10"/>
      </c>
      <c r="T15" s="108">
        <f t="shared" si="11"/>
      </c>
      <c r="U15" s="48">
        <f t="shared" si="6"/>
      </c>
      <c r="V15" s="242">
        <f t="shared" si="7"/>
      </c>
      <c r="W15" s="64"/>
      <c r="X15" s="64"/>
      <c r="Y15" s="65"/>
      <c r="Z15" s="43"/>
      <c r="AA15" s="66"/>
      <c r="AB15" s="37"/>
    </row>
    <row r="16" spans="2:28" ht="12.75" customHeight="1">
      <c r="B16" s="208"/>
      <c r="C16" s="200"/>
      <c r="D16" s="201"/>
      <c r="E16" s="201"/>
      <c r="F16" s="202"/>
      <c r="G16" s="203">
        <f t="shared" si="0"/>
      </c>
      <c r="H16" s="204">
        <f t="shared" si="1"/>
      </c>
      <c r="I16" s="205">
        <f t="shared" si="2"/>
      </c>
      <c r="J16" s="206">
        <f t="shared" si="3"/>
      </c>
      <c r="K16" s="207">
        <f t="shared" si="4"/>
      </c>
      <c r="L16" s="248">
        <f t="shared" si="5"/>
      </c>
      <c r="O16" s="105">
        <f t="shared" si="8"/>
      </c>
      <c r="P16" s="107"/>
      <c r="Q16" s="105">
        <f t="shared" si="9"/>
      </c>
      <c r="R16" s="105"/>
      <c r="S16" s="105">
        <f t="shared" si="10"/>
      </c>
      <c r="T16" s="108">
        <f t="shared" si="11"/>
      </c>
      <c r="U16" s="48">
        <f t="shared" si="6"/>
      </c>
      <c r="V16" s="242">
        <f t="shared" si="7"/>
      </c>
      <c r="W16" s="64"/>
      <c r="X16" s="64"/>
      <c r="Y16" s="65"/>
      <c r="Z16" s="43"/>
      <c r="AA16" s="66"/>
      <c r="AB16" s="37"/>
    </row>
    <row r="17" spans="2:28" ht="12.75" customHeight="1">
      <c r="B17" s="208"/>
      <c r="C17" s="200"/>
      <c r="D17" s="201"/>
      <c r="E17" s="201"/>
      <c r="F17" s="202"/>
      <c r="G17" s="203">
        <f t="shared" si="0"/>
      </c>
      <c r="H17" s="204">
        <f t="shared" si="1"/>
      </c>
      <c r="I17" s="205">
        <f t="shared" si="2"/>
      </c>
      <c r="J17" s="206">
        <f t="shared" si="3"/>
      </c>
      <c r="K17" s="207">
        <f t="shared" si="4"/>
      </c>
      <c r="L17" s="248">
        <f t="shared" si="5"/>
      </c>
      <c r="O17" s="105">
        <f t="shared" si="8"/>
      </c>
      <c r="P17" s="107"/>
      <c r="Q17" s="105">
        <f t="shared" si="9"/>
      </c>
      <c r="R17" s="105"/>
      <c r="S17" s="105">
        <f t="shared" si="10"/>
      </c>
      <c r="T17" s="108">
        <f t="shared" si="11"/>
      </c>
      <c r="U17" s="48">
        <f t="shared" si="6"/>
      </c>
      <c r="V17" s="242">
        <f t="shared" si="7"/>
      </c>
      <c r="W17" s="64"/>
      <c r="X17" s="64"/>
      <c r="Y17" s="65"/>
      <c r="Z17" s="43"/>
      <c r="AA17" s="66"/>
      <c r="AB17" s="37"/>
    </row>
    <row r="18" spans="2:28" ht="12.75" customHeight="1">
      <c r="B18" s="208"/>
      <c r="C18" s="200"/>
      <c r="D18" s="201"/>
      <c r="E18" s="201"/>
      <c r="F18" s="202"/>
      <c r="G18" s="203">
        <f t="shared" si="0"/>
      </c>
      <c r="H18" s="204">
        <f t="shared" si="1"/>
      </c>
      <c r="I18" s="205">
        <f t="shared" si="2"/>
      </c>
      <c r="J18" s="206">
        <f t="shared" si="3"/>
      </c>
      <c r="K18" s="207">
        <f t="shared" si="4"/>
      </c>
      <c r="L18" s="248">
        <f t="shared" si="5"/>
      </c>
      <c r="O18" s="105">
        <f t="shared" si="8"/>
      </c>
      <c r="P18" s="107"/>
      <c r="Q18" s="105">
        <f t="shared" si="9"/>
      </c>
      <c r="R18" s="105"/>
      <c r="S18" s="105">
        <f t="shared" si="10"/>
      </c>
      <c r="T18" s="108">
        <f t="shared" si="11"/>
      </c>
      <c r="U18" s="48">
        <f t="shared" si="6"/>
      </c>
      <c r="V18" s="242">
        <f t="shared" si="7"/>
      </c>
      <c r="W18" s="64"/>
      <c r="X18" s="64"/>
      <c r="Y18" s="65"/>
      <c r="Z18" s="43"/>
      <c r="AA18" s="66"/>
      <c r="AB18" s="37"/>
    </row>
    <row r="19" spans="2:28" ht="12.75" customHeight="1">
      <c r="B19" s="293"/>
      <c r="C19" s="294"/>
      <c r="D19" s="295"/>
      <c r="E19" s="295"/>
      <c r="F19" s="296"/>
      <c r="G19" s="203">
        <f t="shared" si="0"/>
      </c>
      <c r="H19" s="204">
        <f t="shared" si="1"/>
      </c>
      <c r="I19" s="205">
        <f t="shared" si="2"/>
      </c>
      <c r="J19" s="206">
        <f t="shared" si="3"/>
      </c>
      <c r="K19" s="207">
        <f t="shared" si="4"/>
      </c>
      <c r="L19" s="248">
        <f t="shared" si="5"/>
      </c>
      <c r="O19" s="105">
        <f t="shared" si="8"/>
      </c>
      <c r="P19" s="107"/>
      <c r="Q19" s="105">
        <f t="shared" si="9"/>
      </c>
      <c r="R19" s="105"/>
      <c r="S19" s="105">
        <f t="shared" si="10"/>
      </c>
      <c r="T19" s="108">
        <f t="shared" si="11"/>
      </c>
      <c r="U19" s="48">
        <f t="shared" si="6"/>
      </c>
      <c r="V19" s="242">
        <f t="shared" si="7"/>
      </c>
      <c r="W19" s="64"/>
      <c r="X19" s="64"/>
      <c r="Y19" s="65"/>
      <c r="Z19" s="43"/>
      <c r="AA19" s="66"/>
      <c r="AB19" s="37"/>
    </row>
    <row r="20" spans="2:28" ht="12.75" customHeight="1">
      <c r="B20" s="293"/>
      <c r="C20" s="294"/>
      <c r="D20" s="295"/>
      <c r="E20" s="295"/>
      <c r="F20" s="296"/>
      <c r="G20" s="203">
        <f t="shared" si="0"/>
      </c>
      <c r="H20" s="204">
        <f t="shared" si="1"/>
      </c>
      <c r="I20" s="205">
        <f t="shared" si="2"/>
      </c>
      <c r="J20" s="206">
        <f t="shared" si="3"/>
      </c>
      <c r="K20" s="207">
        <f t="shared" si="4"/>
      </c>
      <c r="L20" s="248">
        <f t="shared" si="5"/>
      </c>
      <c r="O20" s="105">
        <f t="shared" si="8"/>
      </c>
      <c r="P20" s="107"/>
      <c r="Q20" s="105">
        <f t="shared" si="9"/>
      </c>
      <c r="R20" s="105"/>
      <c r="S20" s="105">
        <f t="shared" si="10"/>
      </c>
      <c r="T20" s="108">
        <f t="shared" si="11"/>
      </c>
      <c r="U20" s="48">
        <f t="shared" si="6"/>
      </c>
      <c r="V20" s="242">
        <f t="shared" si="7"/>
      </c>
      <c r="W20" s="64"/>
      <c r="X20" s="64"/>
      <c r="Y20" s="65"/>
      <c r="Z20" s="43"/>
      <c r="AA20" s="66"/>
      <c r="AB20" s="37"/>
    </row>
    <row r="21" spans="2:28" ht="12.75" customHeight="1">
      <c r="B21" s="293"/>
      <c r="C21" s="294"/>
      <c r="D21" s="295"/>
      <c r="E21" s="295"/>
      <c r="F21" s="296"/>
      <c r="G21" s="203">
        <f t="shared" si="0"/>
      </c>
      <c r="H21" s="204">
        <f t="shared" si="1"/>
      </c>
      <c r="I21" s="205">
        <f t="shared" si="2"/>
      </c>
      <c r="J21" s="206">
        <f t="shared" si="3"/>
      </c>
      <c r="K21" s="207">
        <f t="shared" si="4"/>
      </c>
      <c r="L21" s="248">
        <f t="shared" si="5"/>
      </c>
      <c r="O21" s="105">
        <f t="shared" si="8"/>
      </c>
      <c r="P21" s="107"/>
      <c r="Q21" s="105">
        <f t="shared" si="9"/>
      </c>
      <c r="R21" s="105"/>
      <c r="S21" s="105">
        <f t="shared" si="10"/>
      </c>
      <c r="T21" s="108">
        <f t="shared" si="11"/>
      </c>
      <c r="U21" s="48">
        <f t="shared" si="6"/>
      </c>
      <c r="V21" s="242">
        <f t="shared" si="7"/>
      </c>
      <c r="W21" s="64"/>
      <c r="X21" s="64"/>
      <c r="Y21" s="65"/>
      <c r="Z21" s="43"/>
      <c r="AA21" s="66"/>
      <c r="AB21" s="37"/>
    </row>
    <row r="22" spans="2:28" ht="12.75" customHeight="1">
      <c r="B22" s="293"/>
      <c r="C22" s="294"/>
      <c r="D22" s="295"/>
      <c r="E22" s="295"/>
      <c r="F22" s="296"/>
      <c r="G22" s="203">
        <f t="shared" si="0"/>
      </c>
      <c r="H22" s="204">
        <f t="shared" si="1"/>
      </c>
      <c r="I22" s="205">
        <f t="shared" si="2"/>
      </c>
      <c r="J22" s="206">
        <f t="shared" si="3"/>
      </c>
      <c r="K22" s="207">
        <f t="shared" si="4"/>
      </c>
      <c r="L22" s="248">
        <f t="shared" si="5"/>
      </c>
      <c r="O22" s="105">
        <f t="shared" si="8"/>
      </c>
      <c r="P22" s="107"/>
      <c r="Q22" s="105">
        <f t="shared" si="9"/>
      </c>
      <c r="R22" s="105"/>
      <c r="S22" s="105">
        <f t="shared" si="10"/>
      </c>
      <c r="T22" s="108">
        <f t="shared" si="11"/>
      </c>
      <c r="U22" s="48">
        <f t="shared" si="6"/>
      </c>
      <c r="V22" s="242">
        <f t="shared" si="7"/>
      </c>
      <c r="W22" s="64"/>
      <c r="X22" s="64"/>
      <c r="Y22" s="65"/>
      <c r="Z22" s="43"/>
      <c r="AA22" s="66"/>
      <c r="AB22" s="37"/>
    </row>
    <row r="23" spans="2:28" ht="12.75" customHeight="1">
      <c r="B23" s="293"/>
      <c r="C23" s="294"/>
      <c r="D23" s="295"/>
      <c r="E23" s="295"/>
      <c r="F23" s="296"/>
      <c r="G23" s="203">
        <f t="shared" si="0"/>
      </c>
      <c r="H23" s="204">
        <f t="shared" si="1"/>
      </c>
      <c r="I23" s="205">
        <f t="shared" si="2"/>
      </c>
      <c r="J23" s="206">
        <f t="shared" si="3"/>
      </c>
      <c r="K23" s="207">
        <f t="shared" si="4"/>
      </c>
      <c r="L23" s="248">
        <f t="shared" si="5"/>
      </c>
      <c r="O23" s="105">
        <f t="shared" si="8"/>
      </c>
      <c r="P23" s="107"/>
      <c r="Q23" s="105">
        <f t="shared" si="9"/>
      </c>
      <c r="R23" s="105"/>
      <c r="S23" s="105">
        <f t="shared" si="10"/>
      </c>
      <c r="T23" s="108">
        <f t="shared" si="11"/>
      </c>
      <c r="U23" s="48">
        <f t="shared" si="6"/>
      </c>
      <c r="V23" s="242">
        <f t="shared" si="7"/>
      </c>
      <c r="W23" s="64"/>
      <c r="X23" s="64"/>
      <c r="Y23" s="65"/>
      <c r="Z23" s="43"/>
      <c r="AA23" s="66"/>
      <c r="AB23" s="37"/>
    </row>
    <row r="24" spans="2:28" ht="12.75" customHeight="1">
      <c r="B24" s="209"/>
      <c r="C24" s="210"/>
      <c r="D24" s="211"/>
      <c r="E24" s="211"/>
      <c r="F24" s="212"/>
      <c r="G24" s="213">
        <f t="shared" si="0"/>
      </c>
      <c r="H24" s="214">
        <f t="shared" si="1"/>
      </c>
      <c r="I24" s="215">
        <f t="shared" si="2"/>
      </c>
      <c r="J24" s="216">
        <f t="shared" si="3"/>
      </c>
      <c r="K24" s="217">
        <f t="shared" si="4"/>
      </c>
      <c r="L24" s="249">
        <f t="shared" si="5"/>
      </c>
      <c r="O24" s="105">
        <f t="shared" si="8"/>
      </c>
      <c r="P24" s="107"/>
      <c r="Q24" s="105">
        <f t="shared" si="9"/>
      </c>
      <c r="R24" s="105"/>
      <c r="S24" s="105">
        <f t="shared" si="10"/>
      </c>
      <c r="T24" s="108">
        <f t="shared" si="11"/>
      </c>
      <c r="U24" s="48">
        <f t="shared" si="6"/>
      </c>
      <c r="V24" s="242">
        <f t="shared" si="7"/>
      </c>
      <c r="W24" s="64"/>
      <c r="X24" s="64"/>
      <c r="Y24" s="65"/>
      <c r="Z24" s="43"/>
      <c r="AA24" s="66"/>
      <c r="AB24" s="37"/>
    </row>
    <row r="25" spans="2:29" ht="12.75" customHeight="1">
      <c r="B25" s="1"/>
      <c r="C25" s="22"/>
      <c r="D25" s="22"/>
      <c r="E25" s="22"/>
      <c r="F25" s="21" t="s">
        <v>17</v>
      </c>
      <c r="G25" s="218" t="str">
        <f>IF($K$25&lt;0,"-"&amp;ABS($O$25),ABS($O$25))&amp;"' -"</f>
        <v>34' -</v>
      </c>
      <c r="H25" s="219">
        <f>$R$25</f>
        <v>0</v>
      </c>
      <c r="I25" s="220">
        <f>IF(OR($S$25=0,$Q$25=$R$25),"''",$S$25)</f>
        <v>0.0625</v>
      </c>
      <c r="J25" s="221" t="str">
        <f>IF(OR($S$25=0,$Q$25=$R$25),"","''")</f>
        <v>''</v>
      </c>
      <c r="K25" s="222">
        <f>SUM($U$5:$U$24)</f>
        <v>34.005208333333336</v>
      </c>
      <c r="L25" s="250">
        <f>SUM($V$5:$V$24)</f>
        <v>10364.7875</v>
      </c>
      <c r="O25" s="105">
        <f>IF($K$25&gt;=0,INT(ABS($K$25)),-INT(ABS($K$25)))</f>
        <v>34</v>
      </c>
      <c r="P25" s="48">
        <f>ABS($K$25)-ABS($O$25)</f>
        <v>0.005208333333335702</v>
      </c>
      <c r="Q25" s="105">
        <f>ROUND($P$25*12,6)</f>
        <v>0.0625</v>
      </c>
      <c r="R25" s="109">
        <f>INT(ABS($Q$25))</f>
        <v>0</v>
      </c>
      <c r="S25" s="110">
        <f>$Q$25-$R$25</f>
        <v>0.0625</v>
      </c>
      <c r="T25" s="105"/>
      <c r="U25" s="105"/>
      <c r="V25" s="243"/>
      <c r="W25" s="64"/>
      <c r="X25" s="64"/>
      <c r="Y25" s="65"/>
      <c r="Z25" s="43"/>
      <c r="AA25" s="66"/>
      <c r="AB25" s="37"/>
      <c r="AC25" s="11"/>
    </row>
    <row r="26" spans="1:29" ht="12.75" customHeight="1" thickBot="1">
      <c r="A26" s="7"/>
      <c r="B26" s="2"/>
      <c r="C26" s="23"/>
      <c r="D26" s="23"/>
      <c r="E26" s="23"/>
      <c r="F26" s="23"/>
      <c r="G26" s="23"/>
      <c r="H26" s="23"/>
      <c r="I26" s="23"/>
      <c r="J26" s="23"/>
      <c r="K26" s="23"/>
      <c r="L26" s="96"/>
      <c r="M26" s="105"/>
      <c r="N26" s="105"/>
      <c r="O26" s="105"/>
      <c r="P26" s="105"/>
      <c r="Q26" s="105"/>
      <c r="R26" s="105"/>
      <c r="S26" s="105"/>
      <c r="T26" s="111"/>
      <c r="U26" s="111"/>
      <c r="V26" s="244"/>
      <c r="W26" s="88"/>
      <c r="X26" s="88"/>
      <c r="Y26" s="63"/>
      <c r="Z26" s="88"/>
      <c r="AA26" s="89"/>
      <c r="AB26" s="58"/>
      <c r="AC26" s="12"/>
    </row>
    <row r="27" spans="1:29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W27" s="60"/>
      <c r="X27" s="60"/>
      <c r="Y27" s="13"/>
      <c r="Z27" s="26"/>
      <c r="AA27" s="15"/>
      <c r="AB27" s="16"/>
      <c r="AC27" s="7"/>
    </row>
    <row r="28" spans="1:29" ht="12.75" customHeight="1">
      <c r="A28" s="7"/>
      <c r="C28" s="33"/>
      <c r="D28" s="33"/>
      <c r="E28" s="33"/>
      <c r="F28" s="33"/>
      <c r="G28" s="33"/>
      <c r="H28" s="33"/>
      <c r="I28" s="33"/>
      <c r="J28" s="33"/>
      <c r="K28" s="33"/>
      <c r="L28" s="33"/>
      <c r="W28" s="60"/>
      <c r="X28" s="60"/>
      <c r="Y28" s="61"/>
      <c r="Z28" s="26"/>
      <c r="AA28" s="15"/>
      <c r="AB28" s="16"/>
      <c r="AC28" s="7"/>
    </row>
    <row r="29" spans="1:29" ht="12.75" customHeight="1">
      <c r="A29" s="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05"/>
      <c r="N29" s="105"/>
      <c r="O29" s="105"/>
      <c r="P29" s="105"/>
      <c r="Q29" s="105"/>
      <c r="R29" s="105"/>
      <c r="S29" s="105"/>
      <c r="T29" s="105"/>
      <c r="U29" s="105"/>
      <c r="V29" s="243"/>
      <c r="W29" s="53"/>
      <c r="X29" s="88"/>
      <c r="Y29" s="13"/>
      <c r="Z29" s="26"/>
      <c r="AA29" s="15"/>
      <c r="AB29" s="16"/>
      <c r="AC29" s="14"/>
    </row>
    <row r="30" spans="3:29" ht="12.7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05"/>
      <c r="N30" s="105"/>
      <c r="O30" s="105"/>
      <c r="P30" s="105"/>
      <c r="Q30" s="105"/>
      <c r="R30" s="105"/>
      <c r="S30" s="105"/>
      <c r="T30" s="105"/>
      <c r="U30" s="105"/>
      <c r="V30" s="245"/>
      <c r="W30" s="64"/>
      <c r="X30" s="64"/>
      <c r="Y30" s="65"/>
      <c r="Z30" s="43"/>
      <c r="AA30" s="66"/>
      <c r="AB30" s="37"/>
      <c r="AC30" s="26"/>
    </row>
    <row r="31" spans="3:39" ht="12.7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12"/>
      <c r="N31" s="112"/>
      <c r="O31" s="112"/>
      <c r="P31" s="112"/>
      <c r="Q31" s="112"/>
      <c r="R31" s="112"/>
      <c r="S31" s="112"/>
      <c r="T31" s="112"/>
      <c r="U31" s="112"/>
      <c r="V31" s="246"/>
      <c r="W31" s="39"/>
      <c r="X31" s="39"/>
      <c r="Y31" s="40"/>
      <c r="Z31" s="38"/>
      <c r="AA31" s="41"/>
      <c r="AB31" s="40"/>
      <c r="AC31" s="26"/>
      <c r="AD31" s="28"/>
      <c r="AE31" s="28"/>
      <c r="AF31" s="28"/>
      <c r="AG31" s="28"/>
      <c r="AH31" s="17"/>
      <c r="AI31" s="17"/>
      <c r="AJ31" s="17"/>
      <c r="AK31" s="17"/>
      <c r="AL31" s="17"/>
      <c r="AM31" s="17"/>
    </row>
    <row r="32" spans="3:39" ht="12.75" customHeight="1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05"/>
      <c r="N32" s="105"/>
      <c r="O32" s="105"/>
      <c r="P32" s="105"/>
      <c r="Q32" s="105"/>
      <c r="R32" s="105"/>
      <c r="S32" s="105"/>
      <c r="T32" s="105"/>
      <c r="U32" s="105"/>
      <c r="V32" s="243"/>
      <c r="W32" s="36"/>
      <c r="X32" s="36"/>
      <c r="Y32" s="36"/>
      <c r="Z32" s="36"/>
      <c r="AA32" s="36"/>
      <c r="AB32" s="36"/>
      <c r="AC32" s="27"/>
      <c r="AD32" s="28"/>
      <c r="AE32" s="29"/>
      <c r="AF32" s="30"/>
      <c r="AG32" s="30"/>
      <c r="AH32" s="24"/>
      <c r="AI32" s="24"/>
      <c r="AJ32" s="24"/>
      <c r="AK32" s="24"/>
      <c r="AL32" s="24"/>
      <c r="AM32" s="24"/>
    </row>
    <row r="33" spans="3:39" ht="12.75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83"/>
      <c r="N33" s="83"/>
      <c r="O33" s="113"/>
      <c r="P33" s="114"/>
      <c r="Q33" s="114"/>
      <c r="R33" s="114"/>
      <c r="S33" s="114"/>
      <c r="T33" s="114"/>
      <c r="U33" s="114"/>
      <c r="V33" s="300"/>
      <c r="W33" s="126"/>
      <c r="X33" s="126"/>
      <c r="Y33" s="36"/>
      <c r="Z33" s="36"/>
      <c r="AA33" s="36"/>
      <c r="AB33" s="36"/>
      <c r="AC33" s="27"/>
      <c r="AD33" s="28"/>
      <c r="AE33" s="29"/>
      <c r="AF33" s="31"/>
      <c r="AG33" s="31"/>
      <c r="AH33" s="24"/>
      <c r="AI33" s="24"/>
      <c r="AJ33" s="24"/>
      <c r="AK33" s="24"/>
      <c r="AL33" s="24"/>
      <c r="AM33" s="24"/>
    </row>
    <row r="34" spans="3:29" ht="12.75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83"/>
      <c r="N34" s="83"/>
      <c r="O34" s="113"/>
      <c r="P34" s="114"/>
      <c r="Q34" s="114"/>
      <c r="R34" s="114"/>
      <c r="S34" s="114"/>
      <c r="T34" s="114"/>
      <c r="U34" s="114"/>
      <c r="V34" s="301"/>
      <c r="W34" s="36"/>
      <c r="X34" s="126"/>
      <c r="Y34" s="36"/>
      <c r="Z34" s="36"/>
      <c r="AA34" s="36"/>
      <c r="AB34" s="36"/>
      <c r="AC34" s="33"/>
    </row>
    <row r="35" spans="3:29" ht="12.75" customHeight="1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15"/>
      <c r="N35" s="115"/>
      <c r="O35" s="105"/>
      <c r="P35" s="48"/>
      <c r="Q35" s="105"/>
      <c r="R35" s="109"/>
      <c r="S35" s="110"/>
      <c r="T35" s="104"/>
      <c r="U35" s="104"/>
      <c r="V35" s="243"/>
      <c r="W35" s="49"/>
      <c r="X35" s="47"/>
      <c r="Y35" s="50"/>
      <c r="Z35" s="80"/>
      <c r="AA35" s="51"/>
      <c r="AB35" s="54"/>
      <c r="AC35" s="33"/>
    </row>
    <row r="36" spans="3:29" ht="12.75" customHeigh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15"/>
      <c r="N36" s="115"/>
      <c r="O36" s="105"/>
      <c r="P36" s="48"/>
      <c r="Q36" s="105"/>
      <c r="R36" s="109"/>
      <c r="S36" s="110"/>
      <c r="T36" s="104"/>
      <c r="U36" s="104"/>
      <c r="V36" s="243"/>
      <c r="W36" s="49"/>
      <c r="X36" s="137"/>
      <c r="Y36" s="50"/>
      <c r="Z36" s="80"/>
      <c r="AA36" s="51"/>
      <c r="AB36" s="54"/>
      <c r="AC36" s="33"/>
    </row>
    <row r="37" spans="3:29" ht="12.7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06"/>
      <c r="N37" s="106"/>
      <c r="O37" s="106"/>
      <c r="P37" s="106"/>
      <c r="Q37" s="106"/>
      <c r="R37" s="106"/>
      <c r="S37" s="106"/>
      <c r="T37" s="106"/>
      <c r="U37" s="106"/>
      <c r="V37" s="244"/>
      <c r="W37" s="64"/>
      <c r="X37" s="64"/>
      <c r="Y37" s="65"/>
      <c r="Z37" s="83"/>
      <c r="AA37" s="84"/>
      <c r="AB37" s="56"/>
      <c r="AC37" s="33"/>
    </row>
    <row r="38" spans="3:29" ht="12.75" customHeight="1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2"/>
      <c r="N38" s="52"/>
      <c r="O38" s="105"/>
      <c r="P38" s="48"/>
      <c r="Q38" s="105"/>
      <c r="R38" s="109"/>
      <c r="S38" s="110"/>
      <c r="T38" s="52"/>
      <c r="U38" s="52"/>
      <c r="V38" s="243"/>
      <c r="W38" s="57"/>
      <c r="X38" s="52"/>
      <c r="Y38" s="50"/>
      <c r="Z38" s="80"/>
      <c r="AA38" s="51"/>
      <c r="AB38" s="54"/>
      <c r="AC38" s="33"/>
    </row>
    <row r="39" spans="3:29" ht="12.75" customHeight="1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106"/>
      <c r="N39" s="106"/>
      <c r="O39" s="106"/>
      <c r="P39" s="106"/>
      <c r="Q39" s="106"/>
      <c r="R39" s="106"/>
      <c r="S39" s="106"/>
      <c r="T39" s="106"/>
      <c r="U39" s="106"/>
      <c r="V39" s="244"/>
      <c r="W39" s="64"/>
      <c r="X39" s="88"/>
      <c r="Y39" s="63"/>
      <c r="Z39" s="88"/>
      <c r="AA39" s="89"/>
      <c r="AB39" s="58"/>
      <c r="AC39" s="33"/>
    </row>
    <row r="40" spans="3:29" ht="12.7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05"/>
      <c r="N40" s="105"/>
      <c r="O40" s="105"/>
      <c r="P40" s="105"/>
      <c r="Q40" s="105"/>
      <c r="R40" s="105"/>
      <c r="S40" s="105"/>
      <c r="T40" s="105"/>
      <c r="U40" s="105"/>
      <c r="V40" s="244"/>
      <c r="W40" s="64"/>
      <c r="X40" s="64"/>
      <c r="Y40" s="65"/>
      <c r="Z40" s="43"/>
      <c r="AA40" s="66"/>
      <c r="AB40" s="37"/>
      <c r="AC40" s="33"/>
    </row>
    <row r="41" ht="12.75" customHeight="1"/>
    <row r="42" ht="12.75" customHeight="1"/>
    <row r="43" spans="1:2" ht="12.75" customHeight="1">
      <c r="A43" s="32"/>
      <c r="B43" s="3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 sheet="1" objects="1" scenarios="1"/>
  <mergeCells count="1">
    <mergeCell ref="V33:V34"/>
  </mergeCells>
  <dataValidations count="5">
    <dataValidation type="list" allowBlank="1" showInputMessage="1" showErrorMessage="1" sqref="X36">
      <formula1>$T$35:$T$36</formula1>
    </dataValidation>
    <dataValidation type="decimal" operator="lessThanOrEqual" allowBlank="1" showInputMessage="1" showErrorMessage="1" error="Must input whole inches &lt;= 11" sqref="D6:D24">
      <formula1>11</formula1>
    </dataValidation>
    <dataValidation type="decimal" operator="greaterThanOrEqual" allowBlank="1" showInputMessage="1" showErrorMessage="1" error="Feet must be &gt;= 0" sqref="C5:C24">
      <formula1>0</formula1>
    </dataValidation>
    <dataValidation type="list" allowBlank="1" showInputMessage="1" showErrorMessage="1" sqref="B5:B24">
      <formula1>$N$3:$N$4</formula1>
    </dataValidation>
    <dataValidation type="decimal" allowBlank="1" showInputMessage="1" showErrorMessage="1" error="Must input whole inches &lt;= 11" sqref="D5">
      <formula1>0</formula1>
      <formula2>11</formula2>
    </dataValidation>
  </dataValidations>
  <printOptions/>
  <pageMargins left="1" right="0.5" top="1" bottom="1" header="0.5" footer="0.5"/>
  <pageSetup horizontalDpi="600" verticalDpi="600" orientation="portrait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3.7109375" style="10" customWidth="1"/>
    <col min="3" max="3" width="18.00390625" style="10" customWidth="1"/>
    <col min="4" max="4" width="7.7109375" style="10" customWidth="1"/>
    <col min="5" max="5" width="2.8515625" style="10" customWidth="1"/>
    <col min="6" max="6" width="5.7109375" style="10" customWidth="1"/>
    <col min="7" max="7" width="1.7109375" style="10" customWidth="1"/>
    <col min="8" max="8" width="14.7109375" style="17" customWidth="1"/>
    <col min="9" max="9" width="17.00390625" style="17" customWidth="1"/>
    <col min="10" max="10" width="9.140625" style="17" customWidth="1"/>
    <col min="11" max="17" width="0" style="17" hidden="1" customWidth="1"/>
    <col min="18" max="18" width="14.7109375" style="17" hidden="1" customWidth="1"/>
    <col min="19" max="19" width="14.7109375" style="254" hidden="1" customWidth="1"/>
    <col min="20" max="21" width="0" style="18" hidden="1" customWidth="1"/>
    <col min="22" max="22" width="0" style="19" hidden="1" customWidth="1"/>
    <col min="23" max="23" width="9.140625" style="10" customWidth="1"/>
    <col min="24" max="24" width="9.140625" style="20" customWidth="1"/>
    <col min="25" max="25" width="9.140625" style="19" customWidth="1"/>
    <col min="26" max="16384" width="9.140625" style="10" customWidth="1"/>
  </cols>
  <sheetData>
    <row r="1" ht="12.75" customHeight="1" thickBot="1">
      <c r="W1" s="42" t="s">
        <v>141</v>
      </c>
    </row>
    <row r="2" spans="1:26" ht="16.5" thickBot="1">
      <c r="A2" s="7"/>
      <c r="B2" s="97" t="s">
        <v>14</v>
      </c>
      <c r="C2" s="98"/>
      <c r="D2" s="98"/>
      <c r="E2" s="98"/>
      <c r="F2" s="98"/>
      <c r="G2" s="98"/>
      <c r="H2" s="98"/>
      <c r="I2" s="127"/>
      <c r="J2" s="43"/>
      <c r="K2" s="43"/>
      <c r="L2" s="43"/>
      <c r="M2" s="43"/>
      <c r="N2" s="43"/>
      <c r="O2" s="43"/>
      <c r="P2" s="43"/>
      <c r="Q2" s="43"/>
      <c r="R2" s="43"/>
      <c r="S2" s="255"/>
      <c r="T2" s="43"/>
      <c r="U2" s="43"/>
      <c r="V2" s="43"/>
      <c r="W2" s="43"/>
      <c r="X2" s="43"/>
      <c r="Y2" s="43"/>
      <c r="Z2" s="7"/>
    </row>
    <row r="3" spans="2:26" ht="12.75" customHeight="1">
      <c r="B3" s="116" t="s">
        <v>0</v>
      </c>
      <c r="C3" s="117"/>
      <c r="D3" s="132" t="s">
        <v>112</v>
      </c>
      <c r="E3" s="138"/>
      <c r="F3" s="138"/>
      <c r="G3" s="139"/>
      <c r="H3" s="93" t="s">
        <v>18</v>
      </c>
      <c r="I3" s="95" t="s">
        <v>18</v>
      </c>
      <c r="K3" s="104" t="s">
        <v>1</v>
      </c>
      <c r="L3" s="105"/>
      <c r="M3" s="105"/>
      <c r="N3" s="105"/>
      <c r="O3" s="105"/>
      <c r="P3" s="105"/>
      <c r="Q3" s="105"/>
      <c r="R3" s="36"/>
      <c r="Z3" s="33"/>
    </row>
    <row r="4" spans="2:26" ht="12.75" customHeight="1">
      <c r="B4" s="102" t="s">
        <v>16</v>
      </c>
      <c r="C4" s="140" t="s">
        <v>12</v>
      </c>
      <c r="D4" s="133" t="s">
        <v>13</v>
      </c>
      <c r="E4" s="134"/>
      <c r="F4" s="134"/>
      <c r="G4" s="135"/>
      <c r="H4" s="94" t="s">
        <v>19</v>
      </c>
      <c r="I4" s="136" t="s">
        <v>4</v>
      </c>
      <c r="K4" s="104" t="s">
        <v>2</v>
      </c>
      <c r="L4" s="105"/>
      <c r="M4" s="105"/>
      <c r="N4" s="105"/>
      <c r="O4" s="105"/>
      <c r="P4" s="105"/>
      <c r="Q4" s="105"/>
      <c r="R4" s="36"/>
      <c r="Z4" s="33"/>
    </row>
    <row r="5" spans="2:26" ht="12.75" customHeight="1">
      <c r="B5" s="190" t="s">
        <v>1</v>
      </c>
      <c r="C5" s="223">
        <v>27.111316</v>
      </c>
      <c r="D5" s="194" t="str">
        <f aca="true" t="shared" si="0" ref="D5:D24">IF(OR($C5=0,$C5=""),"",$L5&amp;"' -")</f>
        <v>27' -</v>
      </c>
      <c r="E5" s="195">
        <f aca="true" t="shared" si="1" ref="E5:E24">IF(OR($C5=0,$C5=""),"",$N5)</f>
        <v>11</v>
      </c>
      <c r="F5" s="196">
        <f aca="true" t="shared" si="2" ref="F5:F24">IF(OR($C5=0,$C5=""),"",IF($P5=0,"''",$P5/$Q5))</f>
        <v>0.8125</v>
      </c>
      <c r="G5" s="197" t="str">
        <f aca="true" t="shared" si="3" ref="G5:G24">IF(OR($C5=0,$C5=""),"",IF($P5=0,"","''"))</f>
        <v>''</v>
      </c>
      <c r="H5" s="198">
        <f aca="true" t="shared" si="4" ref="H5:H24">IF(OR($C5=0,$C5=""),"",ABS($R5))</f>
        <v>27.984375</v>
      </c>
      <c r="I5" s="251">
        <f aca="true" t="shared" si="5" ref="I5:I24">IF(OR($C5=0,$C5=""),"",ABS($S5))</f>
        <v>8529.6375</v>
      </c>
      <c r="L5" s="105">
        <f aca="true" t="shared" si="6" ref="L5:L24">IF(OR($C5=0,$C5=""),"",INT($C5))</f>
        <v>27</v>
      </c>
      <c r="M5" s="107">
        <f aca="true" t="shared" si="7" ref="M5:M24">IF(OR($C5=0,$C5=""),"",ROUND(($C5-INT($C5))*100,4))</f>
        <v>11.1316</v>
      </c>
      <c r="N5" s="105">
        <f aca="true" t="shared" si="8" ref="N5:N24">IF(OR($C5=0,$C5=""),"",INT(ABS($M5)))</f>
        <v>11</v>
      </c>
      <c r="O5" s="105">
        <f aca="true" t="shared" si="9" ref="O5:O24">IF(OR($C5=0,$C5=""),"",ROUND(($M5-$N5)*100,2))</f>
        <v>13.16</v>
      </c>
      <c r="P5" s="105">
        <f aca="true" t="shared" si="10" ref="P5:P24">IF(OR($C5=0,$C5=""),"",INT(ABS($O5)))</f>
        <v>13</v>
      </c>
      <c r="Q5" s="108">
        <f aca="true" t="shared" si="11" ref="Q5:Q24">IF(OR($C5=0,$C5=""),"",ROUND(($O5-$P5)*100,0))</f>
        <v>16</v>
      </c>
      <c r="R5" s="48">
        <f aca="true" t="shared" si="12" ref="R5:R24">IF(OR($C5=0,$C5=""),"",IF(OR($B5="+",$B5=""),(ABS($L5)+($N5+IF($P5&gt;0,($P5/$Q5),0))/12),-(ABS($L5)+($N5+IF($P5&gt;0,($P5/$Q5),0))/12)))</f>
        <v>27.984375</v>
      </c>
      <c r="S5" s="242">
        <f aca="true" t="shared" si="13" ref="S5:S24">IF(OR($C5=0,$C5=""),"",$R5*304.8)</f>
        <v>8529.6375</v>
      </c>
      <c r="Z5" s="33"/>
    </row>
    <row r="6" spans="2:26" ht="12.75" customHeight="1">
      <c r="B6" s="199" t="s">
        <v>1</v>
      </c>
      <c r="C6" s="224">
        <v>6.000104</v>
      </c>
      <c r="D6" s="203" t="str">
        <f t="shared" si="0"/>
        <v>6' -</v>
      </c>
      <c r="E6" s="204">
        <f t="shared" si="1"/>
        <v>0</v>
      </c>
      <c r="F6" s="205">
        <f t="shared" si="2"/>
        <v>0.25</v>
      </c>
      <c r="G6" s="206" t="str">
        <f t="shared" si="3"/>
        <v>''</v>
      </c>
      <c r="H6" s="207">
        <f t="shared" si="4"/>
        <v>6.020833333333333</v>
      </c>
      <c r="I6" s="252">
        <f t="shared" si="5"/>
        <v>1835.15</v>
      </c>
      <c r="J6" s="36"/>
      <c r="K6" s="36"/>
      <c r="L6" s="105">
        <f t="shared" si="6"/>
        <v>6</v>
      </c>
      <c r="M6" s="107">
        <f t="shared" si="7"/>
        <v>0.0104</v>
      </c>
      <c r="N6" s="105">
        <f t="shared" si="8"/>
        <v>0</v>
      </c>
      <c r="O6" s="105">
        <f t="shared" si="9"/>
        <v>1.04</v>
      </c>
      <c r="P6" s="105">
        <f t="shared" si="10"/>
        <v>1</v>
      </c>
      <c r="Q6" s="108">
        <f t="shared" si="11"/>
        <v>4</v>
      </c>
      <c r="R6" s="48">
        <f t="shared" si="12"/>
        <v>6.020833333333333</v>
      </c>
      <c r="S6" s="242">
        <f t="shared" si="13"/>
        <v>1835.15</v>
      </c>
      <c r="Z6" s="33"/>
    </row>
    <row r="7" spans="2:26" ht="12.75" customHeight="1">
      <c r="B7" s="199"/>
      <c r="C7" s="224"/>
      <c r="D7" s="203">
        <f t="shared" si="0"/>
      </c>
      <c r="E7" s="204">
        <f t="shared" si="1"/>
      </c>
      <c r="F7" s="205">
        <f t="shared" si="2"/>
      </c>
      <c r="G7" s="206">
        <f t="shared" si="3"/>
      </c>
      <c r="H7" s="207">
        <f t="shared" si="4"/>
      </c>
      <c r="I7" s="252">
        <f t="shared" si="5"/>
      </c>
      <c r="J7" s="36"/>
      <c r="K7" s="36"/>
      <c r="L7" s="105">
        <f t="shared" si="6"/>
      </c>
      <c r="M7" s="107">
        <f t="shared" si="7"/>
      </c>
      <c r="N7" s="105">
        <f t="shared" si="8"/>
      </c>
      <c r="O7" s="105">
        <f t="shared" si="9"/>
      </c>
      <c r="P7" s="105">
        <f t="shared" si="10"/>
      </c>
      <c r="Q7" s="108">
        <f t="shared" si="11"/>
      </c>
      <c r="R7" s="48">
        <f t="shared" si="12"/>
      </c>
      <c r="S7" s="242">
        <f t="shared" si="13"/>
      </c>
      <c r="Z7" s="33"/>
    </row>
    <row r="8" spans="2:26" ht="12.75" customHeight="1">
      <c r="B8" s="208"/>
      <c r="C8" s="224"/>
      <c r="D8" s="203">
        <f t="shared" si="0"/>
      </c>
      <c r="E8" s="204">
        <f t="shared" si="1"/>
      </c>
      <c r="F8" s="205">
        <f t="shared" si="2"/>
      </c>
      <c r="G8" s="206">
        <f t="shared" si="3"/>
      </c>
      <c r="H8" s="207">
        <f t="shared" si="4"/>
      </c>
      <c r="I8" s="252">
        <f t="shared" si="5"/>
      </c>
      <c r="J8" s="36"/>
      <c r="K8" s="36"/>
      <c r="L8" s="105">
        <f t="shared" si="6"/>
      </c>
      <c r="M8" s="107">
        <f t="shared" si="7"/>
      </c>
      <c r="N8" s="105">
        <f t="shared" si="8"/>
      </c>
      <c r="O8" s="105">
        <f t="shared" si="9"/>
      </c>
      <c r="P8" s="105">
        <f t="shared" si="10"/>
      </c>
      <c r="Q8" s="108">
        <f t="shared" si="11"/>
      </c>
      <c r="R8" s="48">
        <f t="shared" si="12"/>
      </c>
      <c r="S8" s="242">
        <f t="shared" si="13"/>
      </c>
      <c r="Z8" s="33"/>
    </row>
    <row r="9" spans="2:26" ht="12.75" customHeight="1">
      <c r="B9" s="208"/>
      <c r="C9" s="224"/>
      <c r="D9" s="203">
        <f t="shared" si="0"/>
      </c>
      <c r="E9" s="204">
        <f t="shared" si="1"/>
      </c>
      <c r="F9" s="205">
        <f t="shared" si="2"/>
      </c>
      <c r="G9" s="206">
        <f t="shared" si="3"/>
      </c>
      <c r="H9" s="207">
        <f t="shared" si="4"/>
      </c>
      <c r="I9" s="252">
        <f t="shared" si="5"/>
      </c>
      <c r="J9" s="36"/>
      <c r="K9" s="36"/>
      <c r="L9" s="105">
        <f t="shared" si="6"/>
      </c>
      <c r="M9" s="107">
        <f t="shared" si="7"/>
      </c>
      <c r="N9" s="105">
        <f t="shared" si="8"/>
      </c>
      <c r="O9" s="105">
        <f t="shared" si="9"/>
      </c>
      <c r="P9" s="105">
        <f t="shared" si="10"/>
      </c>
      <c r="Q9" s="108">
        <f t="shared" si="11"/>
      </c>
      <c r="R9" s="48">
        <f t="shared" si="12"/>
      </c>
      <c r="S9" s="242">
        <f t="shared" si="13"/>
      </c>
      <c r="Z9" s="33"/>
    </row>
    <row r="10" spans="2:26" ht="12.75" customHeight="1">
      <c r="B10" s="208"/>
      <c r="C10" s="224"/>
      <c r="D10" s="203">
        <f t="shared" si="0"/>
      </c>
      <c r="E10" s="204">
        <f t="shared" si="1"/>
      </c>
      <c r="F10" s="205">
        <f t="shared" si="2"/>
      </c>
      <c r="G10" s="206">
        <f t="shared" si="3"/>
      </c>
      <c r="H10" s="207">
        <f t="shared" si="4"/>
      </c>
      <c r="I10" s="252">
        <f t="shared" si="5"/>
      </c>
      <c r="J10" s="36"/>
      <c r="K10" s="36"/>
      <c r="L10" s="105">
        <f t="shared" si="6"/>
      </c>
      <c r="M10" s="107">
        <f t="shared" si="7"/>
      </c>
      <c r="N10" s="105">
        <f t="shared" si="8"/>
      </c>
      <c r="O10" s="105">
        <f t="shared" si="9"/>
      </c>
      <c r="P10" s="105">
        <f t="shared" si="10"/>
      </c>
      <c r="Q10" s="108">
        <f t="shared" si="11"/>
      </c>
      <c r="R10" s="48">
        <f t="shared" si="12"/>
      </c>
      <c r="S10" s="242">
        <f t="shared" si="13"/>
      </c>
      <c r="Z10" s="33"/>
    </row>
    <row r="11" spans="2:26" ht="12.75" customHeight="1">
      <c r="B11" s="208"/>
      <c r="C11" s="224"/>
      <c r="D11" s="203">
        <f t="shared" si="0"/>
      </c>
      <c r="E11" s="204">
        <f t="shared" si="1"/>
      </c>
      <c r="F11" s="205">
        <f t="shared" si="2"/>
      </c>
      <c r="G11" s="206">
        <f t="shared" si="3"/>
      </c>
      <c r="H11" s="207">
        <f t="shared" si="4"/>
      </c>
      <c r="I11" s="252">
        <f t="shared" si="5"/>
      </c>
      <c r="J11" s="36"/>
      <c r="K11" s="36"/>
      <c r="L11" s="105">
        <f t="shared" si="6"/>
      </c>
      <c r="M11" s="107">
        <f t="shared" si="7"/>
      </c>
      <c r="N11" s="105">
        <f t="shared" si="8"/>
      </c>
      <c r="O11" s="105">
        <f t="shared" si="9"/>
      </c>
      <c r="P11" s="105">
        <f t="shared" si="10"/>
      </c>
      <c r="Q11" s="108">
        <f t="shared" si="11"/>
      </c>
      <c r="R11" s="48">
        <f t="shared" si="12"/>
      </c>
      <c r="S11" s="242">
        <f t="shared" si="13"/>
      </c>
      <c r="Z11" s="33"/>
    </row>
    <row r="12" spans="2:26" ht="12.75" customHeight="1">
      <c r="B12" s="208"/>
      <c r="C12" s="224"/>
      <c r="D12" s="203">
        <f t="shared" si="0"/>
      </c>
      <c r="E12" s="204">
        <f t="shared" si="1"/>
      </c>
      <c r="F12" s="205">
        <f t="shared" si="2"/>
      </c>
      <c r="G12" s="206">
        <f t="shared" si="3"/>
      </c>
      <c r="H12" s="207">
        <f t="shared" si="4"/>
      </c>
      <c r="I12" s="252">
        <f t="shared" si="5"/>
      </c>
      <c r="J12" s="36"/>
      <c r="K12" s="36"/>
      <c r="L12" s="105">
        <f t="shared" si="6"/>
      </c>
      <c r="M12" s="107">
        <f t="shared" si="7"/>
      </c>
      <c r="N12" s="105">
        <f t="shared" si="8"/>
      </c>
      <c r="O12" s="105">
        <f t="shared" si="9"/>
      </c>
      <c r="P12" s="105">
        <f t="shared" si="10"/>
      </c>
      <c r="Q12" s="108">
        <f t="shared" si="11"/>
      </c>
      <c r="R12" s="48">
        <f t="shared" si="12"/>
      </c>
      <c r="S12" s="242">
        <f t="shared" si="13"/>
      </c>
      <c r="Z12" s="33"/>
    </row>
    <row r="13" spans="2:26" ht="12.75" customHeight="1">
      <c r="B13" s="208"/>
      <c r="C13" s="224"/>
      <c r="D13" s="203">
        <f t="shared" si="0"/>
      </c>
      <c r="E13" s="204">
        <f t="shared" si="1"/>
      </c>
      <c r="F13" s="205">
        <f t="shared" si="2"/>
      </c>
      <c r="G13" s="206">
        <f t="shared" si="3"/>
      </c>
      <c r="H13" s="207">
        <f t="shared" si="4"/>
      </c>
      <c r="I13" s="252">
        <f t="shared" si="5"/>
      </c>
      <c r="J13" s="36"/>
      <c r="K13" s="36"/>
      <c r="L13" s="105">
        <f t="shared" si="6"/>
      </c>
      <c r="M13" s="107">
        <f t="shared" si="7"/>
      </c>
      <c r="N13" s="105">
        <f t="shared" si="8"/>
      </c>
      <c r="O13" s="105">
        <f t="shared" si="9"/>
      </c>
      <c r="P13" s="105">
        <f t="shared" si="10"/>
      </c>
      <c r="Q13" s="108">
        <f t="shared" si="11"/>
      </c>
      <c r="R13" s="48">
        <f t="shared" si="12"/>
      </c>
      <c r="S13" s="242">
        <f t="shared" si="13"/>
      </c>
      <c r="Z13" s="33"/>
    </row>
    <row r="14" spans="2:26" ht="12.75" customHeight="1">
      <c r="B14" s="208"/>
      <c r="C14" s="224"/>
      <c r="D14" s="203">
        <f t="shared" si="0"/>
      </c>
      <c r="E14" s="204">
        <f t="shared" si="1"/>
      </c>
      <c r="F14" s="205">
        <f t="shared" si="2"/>
      </c>
      <c r="G14" s="206">
        <f t="shared" si="3"/>
      </c>
      <c r="H14" s="207">
        <f t="shared" si="4"/>
      </c>
      <c r="I14" s="252">
        <f t="shared" si="5"/>
      </c>
      <c r="J14" s="36"/>
      <c r="K14" s="36"/>
      <c r="L14" s="105">
        <f t="shared" si="6"/>
      </c>
      <c r="M14" s="107">
        <f t="shared" si="7"/>
      </c>
      <c r="N14" s="105">
        <f t="shared" si="8"/>
      </c>
      <c r="O14" s="105">
        <f t="shared" si="9"/>
      </c>
      <c r="P14" s="105">
        <f t="shared" si="10"/>
      </c>
      <c r="Q14" s="108">
        <f t="shared" si="11"/>
      </c>
      <c r="R14" s="48">
        <f t="shared" si="12"/>
      </c>
      <c r="S14" s="242">
        <f t="shared" si="13"/>
      </c>
      <c r="Z14" s="33"/>
    </row>
    <row r="15" spans="2:26" ht="12.75" customHeight="1">
      <c r="B15" s="208"/>
      <c r="C15" s="224"/>
      <c r="D15" s="203">
        <f t="shared" si="0"/>
      </c>
      <c r="E15" s="204">
        <f t="shared" si="1"/>
      </c>
      <c r="F15" s="205">
        <f t="shared" si="2"/>
      </c>
      <c r="G15" s="206">
        <f t="shared" si="3"/>
      </c>
      <c r="H15" s="207">
        <f t="shared" si="4"/>
      </c>
      <c r="I15" s="252">
        <f t="shared" si="5"/>
      </c>
      <c r="J15" s="36"/>
      <c r="K15" s="36"/>
      <c r="L15" s="105">
        <f t="shared" si="6"/>
      </c>
      <c r="M15" s="107">
        <f t="shared" si="7"/>
      </c>
      <c r="N15" s="105">
        <f t="shared" si="8"/>
      </c>
      <c r="O15" s="105">
        <f t="shared" si="9"/>
      </c>
      <c r="P15" s="105">
        <f t="shared" si="10"/>
      </c>
      <c r="Q15" s="108">
        <f t="shared" si="11"/>
      </c>
      <c r="R15" s="48">
        <f t="shared" si="12"/>
      </c>
      <c r="S15" s="242">
        <f t="shared" si="13"/>
      </c>
      <c r="Z15" s="33"/>
    </row>
    <row r="16" spans="2:26" ht="12.75" customHeight="1">
      <c r="B16" s="208"/>
      <c r="C16" s="224"/>
      <c r="D16" s="203">
        <f t="shared" si="0"/>
      </c>
      <c r="E16" s="204">
        <f t="shared" si="1"/>
      </c>
      <c r="F16" s="205">
        <f t="shared" si="2"/>
      </c>
      <c r="G16" s="206">
        <f t="shared" si="3"/>
      </c>
      <c r="H16" s="207">
        <f t="shared" si="4"/>
      </c>
      <c r="I16" s="252">
        <f t="shared" si="5"/>
      </c>
      <c r="J16" s="36"/>
      <c r="K16" s="36"/>
      <c r="L16" s="105">
        <f t="shared" si="6"/>
      </c>
      <c r="M16" s="107">
        <f t="shared" si="7"/>
      </c>
      <c r="N16" s="105">
        <f t="shared" si="8"/>
      </c>
      <c r="O16" s="105">
        <f t="shared" si="9"/>
      </c>
      <c r="P16" s="105">
        <f t="shared" si="10"/>
      </c>
      <c r="Q16" s="108">
        <f t="shared" si="11"/>
      </c>
      <c r="R16" s="48">
        <f t="shared" si="12"/>
      </c>
      <c r="S16" s="242">
        <f t="shared" si="13"/>
      </c>
      <c r="Z16" s="33"/>
    </row>
    <row r="17" spans="2:26" ht="12.75" customHeight="1">
      <c r="B17" s="208"/>
      <c r="C17" s="224"/>
      <c r="D17" s="203">
        <f t="shared" si="0"/>
      </c>
      <c r="E17" s="204">
        <f t="shared" si="1"/>
      </c>
      <c r="F17" s="205">
        <f t="shared" si="2"/>
      </c>
      <c r="G17" s="206">
        <f t="shared" si="3"/>
      </c>
      <c r="H17" s="207">
        <f t="shared" si="4"/>
      </c>
      <c r="I17" s="252">
        <f t="shared" si="5"/>
      </c>
      <c r="J17" s="36"/>
      <c r="K17" s="36"/>
      <c r="L17" s="105">
        <f t="shared" si="6"/>
      </c>
      <c r="M17" s="107">
        <f t="shared" si="7"/>
      </c>
      <c r="N17" s="105">
        <f t="shared" si="8"/>
      </c>
      <c r="O17" s="105">
        <f t="shared" si="9"/>
      </c>
      <c r="P17" s="105">
        <f t="shared" si="10"/>
      </c>
      <c r="Q17" s="108">
        <f t="shared" si="11"/>
      </c>
      <c r="R17" s="48">
        <f t="shared" si="12"/>
      </c>
      <c r="S17" s="242">
        <f t="shared" si="13"/>
      </c>
      <c r="Z17" s="33"/>
    </row>
    <row r="18" spans="2:26" ht="12.75" customHeight="1">
      <c r="B18" s="208"/>
      <c r="C18" s="224"/>
      <c r="D18" s="203">
        <f t="shared" si="0"/>
      </c>
      <c r="E18" s="204">
        <f t="shared" si="1"/>
      </c>
      <c r="F18" s="205">
        <f t="shared" si="2"/>
      </c>
      <c r="G18" s="206">
        <f t="shared" si="3"/>
      </c>
      <c r="H18" s="207">
        <f t="shared" si="4"/>
      </c>
      <c r="I18" s="252">
        <f t="shared" si="5"/>
      </c>
      <c r="J18" s="36"/>
      <c r="K18" s="36"/>
      <c r="L18" s="105">
        <f t="shared" si="6"/>
      </c>
      <c r="M18" s="107">
        <f t="shared" si="7"/>
      </c>
      <c r="N18" s="105">
        <f t="shared" si="8"/>
      </c>
      <c r="O18" s="105">
        <f t="shared" si="9"/>
      </c>
      <c r="P18" s="105">
        <f t="shared" si="10"/>
      </c>
      <c r="Q18" s="108">
        <f t="shared" si="11"/>
      </c>
      <c r="R18" s="48">
        <f t="shared" si="12"/>
      </c>
      <c r="S18" s="242">
        <f t="shared" si="13"/>
      </c>
      <c r="Z18" s="33"/>
    </row>
    <row r="19" spans="2:26" ht="12.75" customHeight="1">
      <c r="B19" s="293"/>
      <c r="C19" s="297"/>
      <c r="D19" s="203">
        <f t="shared" si="0"/>
      </c>
      <c r="E19" s="204">
        <f t="shared" si="1"/>
      </c>
      <c r="F19" s="205">
        <f t="shared" si="2"/>
      </c>
      <c r="G19" s="206">
        <f t="shared" si="3"/>
      </c>
      <c r="H19" s="207">
        <f t="shared" si="4"/>
      </c>
      <c r="I19" s="252">
        <f t="shared" si="5"/>
      </c>
      <c r="J19" s="36"/>
      <c r="K19" s="36"/>
      <c r="L19" s="105">
        <f t="shared" si="6"/>
      </c>
      <c r="M19" s="107">
        <f t="shared" si="7"/>
      </c>
      <c r="N19" s="105">
        <f t="shared" si="8"/>
      </c>
      <c r="O19" s="105">
        <f t="shared" si="9"/>
      </c>
      <c r="P19" s="105">
        <f t="shared" si="10"/>
      </c>
      <c r="Q19" s="108">
        <f t="shared" si="11"/>
      </c>
      <c r="R19" s="48">
        <f t="shared" si="12"/>
      </c>
      <c r="S19" s="242">
        <f t="shared" si="13"/>
      </c>
      <c r="Z19" s="33"/>
    </row>
    <row r="20" spans="2:26" ht="12.75" customHeight="1">
      <c r="B20" s="293"/>
      <c r="C20" s="297"/>
      <c r="D20" s="203">
        <f t="shared" si="0"/>
      </c>
      <c r="E20" s="204">
        <f t="shared" si="1"/>
      </c>
      <c r="F20" s="205">
        <f t="shared" si="2"/>
      </c>
      <c r="G20" s="206">
        <f t="shared" si="3"/>
      </c>
      <c r="H20" s="207">
        <f t="shared" si="4"/>
      </c>
      <c r="I20" s="252">
        <f t="shared" si="5"/>
      </c>
      <c r="J20" s="36"/>
      <c r="K20" s="36"/>
      <c r="L20" s="105">
        <f t="shared" si="6"/>
      </c>
      <c r="M20" s="107">
        <f t="shared" si="7"/>
      </c>
      <c r="N20" s="105">
        <f t="shared" si="8"/>
      </c>
      <c r="O20" s="105">
        <f t="shared" si="9"/>
      </c>
      <c r="P20" s="105">
        <f t="shared" si="10"/>
      </c>
      <c r="Q20" s="108">
        <f t="shared" si="11"/>
      </c>
      <c r="R20" s="48">
        <f t="shared" si="12"/>
      </c>
      <c r="S20" s="242">
        <f t="shared" si="13"/>
      </c>
      <c r="Z20" s="33"/>
    </row>
    <row r="21" spans="2:26" ht="12.75" customHeight="1">
      <c r="B21" s="293"/>
      <c r="C21" s="297"/>
      <c r="D21" s="203">
        <f t="shared" si="0"/>
      </c>
      <c r="E21" s="204">
        <f t="shared" si="1"/>
      </c>
      <c r="F21" s="205">
        <f t="shared" si="2"/>
      </c>
      <c r="G21" s="206">
        <f t="shared" si="3"/>
      </c>
      <c r="H21" s="207">
        <f t="shared" si="4"/>
      </c>
      <c r="I21" s="252">
        <f t="shared" si="5"/>
      </c>
      <c r="J21" s="36"/>
      <c r="K21" s="36"/>
      <c r="L21" s="105">
        <f t="shared" si="6"/>
      </c>
      <c r="M21" s="107">
        <f t="shared" si="7"/>
      </c>
      <c r="N21" s="105">
        <f t="shared" si="8"/>
      </c>
      <c r="O21" s="105">
        <f t="shared" si="9"/>
      </c>
      <c r="P21" s="105">
        <f t="shared" si="10"/>
      </c>
      <c r="Q21" s="108">
        <f t="shared" si="11"/>
      </c>
      <c r="R21" s="48">
        <f t="shared" si="12"/>
      </c>
      <c r="S21" s="242">
        <f t="shared" si="13"/>
      </c>
      <c r="Z21" s="33"/>
    </row>
    <row r="22" spans="2:26" ht="12.75" customHeight="1">
      <c r="B22" s="293"/>
      <c r="C22" s="297"/>
      <c r="D22" s="203">
        <f t="shared" si="0"/>
      </c>
      <c r="E22" s="204">
        <f t="shared" si="1"/>
      </c>
      <c r="F22" s="205">
        <f t="shared" si="2"/>
      </c>
      <c r="G22" s="206">
        <f t="shared" si="3"/>
      </c>
      <c r="H22" s="207">
        <f t="shared" si="4"/>
      </c>
      <c r="I22" s="252">
        <f t="shared" si="5"/>
      </c>
      <c r="J22" s="36"/>
      <c r="K22" s="36"/>
      <c r="L22" s="105">
        <f t="shared" si="6"/>
      </c>
      <c r="M22" s="107">
        <f t="shared" si="7"/>
      </c>
      <c r="N22" s="105">
        <f t="shared" si="8"/>
      </c>
      <c r="O22" s="105">
        <f t="shared" si="9"/>
      </c>
      <c r="P22" s="105">
        <f t="shared" si="10"/>
      </c>
      <c r="Q22" s="108">
        <f t="shared" si="11"/>
      </c>
      <c r="R22" s="48">
        <f t="shared" si="12"/>
      </c>
      <c r="S22" s="242">
        <f t="shared" si="13"/>
      </c>
      <c r="Z22" s="33"/>
    </row>
    <row r="23" spans="2:26" ht="12.75" customHeight="1">
      <c r="B23" s="293"/>
      <c r="C23" s="297"/>
      <c r="D23" s="203">
        <f t="shared" si="0"/>
      </c>
      <c r="E23" s="204">
        <f t="shared" si="1"/>
      </c>
      <c r="F23" s="205">
        <f t="shared" si="2"/>
      </c>
      <c r="G23" s="206">
        <f t="shared" si="3"/>
      </c>
      <c r="H23" s="207">
        <f t="shared" si="4"/>
      </c>
      <c r="I23" s="252">
        <f t="shared" si="5"/>
      </c>
      <c r="J23" s="36"/>
      <c r="K23" s="36"/>
      <c r="L23" s="105">
        <f t="shared" si="6"/>
      </c>
      <c r="M23" s="107">
        <f t="shared" si="7"/>
      </c>
      <c r="N23" s="105">
        <f t="shared" si="8"/>
      </c>
      <c r="O23" s="105">
        <f t="shared" si="9"/>
      </c>
      <c r="P23" s="105">
        <f t="shared" si="10"/>
      </c>
      <c r="Q23" s="108">
        <f t="shared" si="11"/>
      </c>
      <c r="R23" s="48">
        <f t="shared" si="12"/>
      </c>
      <c r="S23" s="242">
        <f t="shared" si="13"/>
      </c>
      <c r="Z23" s="33"/>
    </row>
    <row r="24" spans="2:26" ht="12.75" customHeight="1">
      <c r="B24" s="209"/>
      <c r="C24" s="225"/>
      <c r="D24" s="213">
        <f t="shared" si="0"/>
      </c>
      <c r="E24" s="214">
        <f t="shared" si="1"/>
      </c>
      <c r="F24" s="215">
        <f t="shared" si="2"/>
      </c>
      <c r="G24" s="216">
        <f t="shared" si="3"/>
      </c>
      <c r="H24" s="217">
        <f t="shared" si="4"/>
      </c>
      <c r="I24" s="253">
        <f t="shared" si="5"/>
      </c>
      <c r="J24" s="36"/>
      <c r="K24" s="36"/>
      <c r="L24" s="105">
        <f t="shared" si="6"/>
      </c>
      <c r="M24" s="107">
        <f t="shared" si="7"/>
      </c>
      <c r="N24" s="105">
        <f t="shared" si="8"/>
      </c>
      <c r="O24" s="105">
        <f t="shared" si="9"/>
      </c>
      <c r="P24" s="105">
        <f t="shared" si="10"/>
      </c>
      <c r="Q24" s="108">
        <f t="shared" si="11"/>
      </c>
      <c r="R24" s="48">
        <f t="shared" si="12"/>
      </c>
      <c r="S24" s="242">
        <f t="shared" si="13"/>
      </c>
      <c r="Z24" s="33"/>
    </row>
    <row r="25" spans="2:26" ht="12.75" customHeight="1">
      <c r="B25" s="1"/>
      <c r="C25" s="22" t="s">
        <v>17</v>
      </c>
      <c r="D25" s="218" t="str">
        <f>IF($H$25&lt;0,"-"&amp;ABS($L$25),ABS($L$25))&amp;"' -"</f>
        <v>34' -</v>
      </c>
      <c r="E25" s="219">
        <f>$O$25</f>
        <v>0</v>
      </c>
      <c r="F25" s="220">
        <f>IF(OR($P$25=0,$N$25=$O$25),"''",$P$25)</f>
        <v>0.0625</v>
      </c>
      <c r="G25" s="221" t="str">
        <f>IF(OR($P$25=0,$N$25=$O$25),"","''")</f>
        <v>''</v>
      </c>
      <c r="H25" s="222">
        <f>SUM(R5:$R$24)</f>
        <v>34.005208333333336</v>
      </c>
      <c r="I25" s="250">
        <f>SUM($S$5:$S$24)</f>
        <v>10364.7875</v>
      </c>
      <c r="J25" s="36"/>
      <c r="K25" s="36"/>
      <c r="L25" s="105">
        <f>IF($H$25&gt;=0,INT(ABS($H$25)),-INT(ABS($H$25)))</f>
        <v>34</v>
      </c>
      <c r="M25" s="48">
        <f>ABS($H$25)-ABS($L$25)</f>
        <v>0.005208333333335702</v>
      </c>
      <c r="N25" s="105">
        <f>ROUND($M$25*12,6)</f>
        <v>0.0625</v>
      </c>
      <c r="O25" s="109">
        <f>INT(ABS($N$25))</f>
        <v>0</v>
      </c>
      <c r="P25" s="110">
        <f>$N$25-$O$25</f>
        <v>0.0625</v>
      </c>
      <c r="Q25" s="105"/>
      <c r="R25" s="105"/>
      <c r="Z25" s="118"/>
    </row>
    <row r="26" spans="1:26" ht="12.75" customHeight="1" thickBot="1">
      <c r="A26" s="7"/>
      <c r="B26" s="2"/>
      <c r="C26" s="23"/>
      <c r="D26" s="4"/>
      <c r="E26" s="3"/>
      <c r="F26" s="5"/>
      <c r="G26" s="4"/>
      <c r="H26" s="3"/>
      <c r="I26" s="120"/>
      <c r="J26" s="105"/>
      <c r="K26" s="105"/>
      <c r="L26" s="105"/>
      <c r="M26" s="105"/>
      <c r="N26" s="105"/>
      <c r="O26" s="105"/>
      <c r="P26" s="105"/>
      <c r="Q26" s="105"/>
      <c r="R26" s="111"/>
      <c r="Z26" s="119"/>
    </row>
    <row r="27" spans="1:26" ht="12.75" customHeight="1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56"/>
      <c r="T27" s="9"/>
      <c r="U27" s="9"/>
      <c r="V27" s="13"/>
      <c r="W27" s="14"/>
      <c r="X27" s="15"/>
      <c r="Y27" s="16"/>
      <c r="Z27" s="7"/>
    </row>
    <row r="28" spans="1:26" ht="12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257"/>
      <c r="T28" s="60"/>
      <c r="U28" s="60"/>
      <c r="V28" s="61"/>
      <c r="W28" s="26"/>
      <c r="X28" s="62"/>
      <c r="Y28" s="63"/>
      <c r="Z28" s="59"/>
    </row>
    <row r="29" spans="1:26" ht="12.75" customHeight="1">
      <c r="A29" s="59"/>
      <c r="B29" s="59"/>
      <c r="C29" s="26"/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257"/>
      <c r="T29" s="60"/>
      <c r="U29" s="60"/>
      <c r="V29" s="61"/>
      <c r="W29" s="26"/>
      <c r="X29" s="62"/>
      <c r="Y29" s="61"/>
      <c r="Z29" s="59"/>
    </row>
    <row r="30" spans="1:26" ht="12.75" customHeight="1">
      <c r="A30" s="32"/>
      <c r="B30" s="3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58"/>
      <c r="T30" s="64"/>
      <c r="U30" s="64"/>
      <c r="V30" s="65"/>
      <c r="W30" s="43"/>
      <c r="X30" s="66"/>
      <c r="Y30" s="65"/>
      <c r="Z30" s="26"/>
    </row>
    <row r="31" spans="1:36" ht="12.75" customHeight="1">
      <c r="A31" s="32"/>
      <c r="B31" s="32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259"/>
      <c r="T31" s="68"/>
      <c r="U31" s="68"/>
      <c r="V31" s="69"/>
      <c r="W31" s="67"/>
      <c r="X31" s="70"/>
      <c r="Y31" s="69"/>
      <c r="Z31" s="26"/>
      <c r="AA31" s="28"/>
      <c r="AB31" s="28"/>
      <c r="AC31" s="28"/>
      <c r="AD31" s="28"/>
      <c r="AE31" s="17"/>
      <c r="AF31" s="17"/>
      <c r="AG31" s="17"/>
      <c r="AH31" s="17"/>
      <c r="AI31" s="17"/>
      <c r="AJ31" s="17"/>
    </row>
    <row r="32" spans="1:36" ht="12.75" customHeight="1">
      <c r="A32" s="32"/>
      <c r="B32" s="32"/>
      <c r="C32" s="67"/>
      <c r="D32" s="67"/>
      <c r="E32" s="67"/>
      <c r="F32" s="67"/>
      <c r="G32" s="67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255"/>
      <c r="T32" s="43"/>
      <c r="U32" s="43"/>
      <c r="V32" s="43"/>
      <c r="W32" s="43"/>
      <c r="X32" s="43"/>
      <c r="Y32" s="43"/>
      <c r="Z32" s="27"/>
      <c r="AA32" s="28"/>
      <c r="AB32" s="29"/>
      <c r="AC32" s="30"/>
      <c r="AD32" s="30"/>
      <c r="AE32" s="24"/>
      <c r="AF32" s="24"/>
      <c r="AG32" s="24"/>
      <c r="AH32" s="24"/>
      <c r="AI32" s="24"/>
      <c r="AJ32" s="24"/>
    </row>
    <row r="33" spans="1:36" ht="12.75" customHeight="1">
      <c r="A33" s="32"/>
      <c r="B33" s="32"/>
      <c r="C33" s="71"/>
      <c r="D33" s="71"/>
      <c r="E33" s="71"/>
      <c r="F33" s="71"/>
      <c r="G33" s="71"/>
      <c r="H33" s="43"/>
      <c r="I33" s="43"/>
      <c r="J33" s="43"/>
      <c r="K33" s="43"/>
      <c r="L33" s="43"/>
      <c r="M33" s="44"/>
      <c r="N33" s="45"/>
      <c r="O33" s="46"/>
      <c r="P33" s="46"/>
      <c r="Q33" s="46"/>
      <c r="R33" s="46"/>
      <c r="S33" s="260"/>
      <c r="T33" s="46"/>
      <c r="U33" s="46"/>
      <c r="V33" s="43"/>
      <c r="W33" s="43"/>
      <c r="X33" s="43"/>
      <c r="Y33" s="43"/>
      <c r="Z33" s="27"/>
      <c r="AA33" s="28"/>
      <c r="AB33" s="29"/>
      <c r="AC33" s="31"/>
      <c r="AD33" s="31"/>
      <c r="AE33" s="24"/>
      <c r="AF33" s="24"/>
      <c r="AG33" s="24"/>
      <c r="AH33" s="24"/>
      <c r="AI33" s="24"/>
      <c r="AJ33" s="24"/>
    </row>
    <row r="34" spans="1:26" ht="12.75" customHeight="1">
      <c r="A34" s="32"/>
      <c r="B34" s="32"/>
      <c r="C34" s="71"/>
      <c r="D34" s="71"/>
      <c r="E34" s="71"/>
      <c r="F34" s="71"/>
      <c r="G34" s="71"/>
      <c r="H34" s="43"/>
      <c r="I34" s="43"/>
      <c r="J34" s="43"/>
      <c r="K34" s="43"/>
      <c r="L34" s="43"/>
      <c r="M34" s="44"/>
      <c r="N34" s="45"/>
      <c r="O34" s="46"/>
      <c r="P34" s="46"/>
      <c r="Q34" s="46"/>
      <c r="R34" s="46"/>
      <c r="S34" s="255"/>
      <c r="T34" s="43"/>
      <c r="U34" s="46"/>
      <c r="V34" s="43"/>
      <c r="W34" s="43"/>
      <c r="X34" s="43"/>
      <c r="Y34" s="43"/>
      <c r="Z34" s="43"/>
    </row>
    <row r="35" spans="1:26" ht="12.75" customHeight="1">
      <c r="A35" s="32"/>
      <c r="B35" s="32"/>
      <c r="C35" s="87"/>
      <c r="D35" s="87"/>
      <c r="E35" s="87"/>
      <c r="F35" s="87"/>
      <c r="G35" s="87"/>
      <c r="H35" s="72"/>
      <c r="I35" s="72"/>
      <c r="J35" s="72"/>
      <c r="K35" s="72"/>
      <c r="L35" s="72"/>
      <c r="M35" s="73"/>
      <c r="N35" s="74"/>
      <c r="O35" s="73"/>
      <c r="P35" s="75"/>
      <c r="Q35" s="76"/>
      <c r="R35" s="77"/>
      <c r="S35" s="261"/>
      <c r="T35" s="78"/>
      <c r="U35" s="76"/>
      <c r="V35" s="79"/>
      <c r="W35" s="80"/>
      <c r="X35" s="81"/>
      <c r="Y35" s="82"/>
      <c r="Z35" s="43"/>
    </row>
    <row r="36" spans="1:26" ht="12.75" customHeight="1">
      <c r="A36" s="32"/>
      <c r="B36" s="32"/>
      <c r="C36" s="87"/>
      <c r="D36" s="87"/>
      <c r="E36" s="87"/>
      <c r="F36" s="87"/>
      <c r="G36" s="87"/>
      <c r="H36" s="72"/>
      <c r="I36" s="72"/>
      <c r="J36" s="72"/>
      <c r="K36" s="72"/>
      <c r="L36" s="72"/>
      <c r="M36" s="73"/>
      <c r="N36" s="74"/>
      <c r="O36" s="73"/>
      <c r="P36" s="75"/>
      <c r="Q36" s="76"/>
      <c r="R36" s="77"/>
      <c r="S36" s="261"/>
      <c r="T36" s="78"/>
      <c r="U36" s="141"/>
      <c r="V36" s="79"/>
      <c r="W36" s="80"/>
      <c r="X36" s="81"/>
      <c r="Y36" s="82"/>
      <c r="Z36" s="43"/>
    </row>
    <row r="37" spans="1:26" ht="12.75" customHeight="1">
      <c r="A37" s="32"/>
      <c r="B37" s="32"/>
      <c r="C37" s="55"/>
      <c r="D37" s="55"/>
      <c r="E37" s="55"/>
      <c r="F37" s="55"/>
      <c r="G37" s="55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255"/>
      <c r="T37" s="64"/>
      <c r="U37" s="64"/>
      <c r="V37" s="65"/>
      <c r="W37" s="83"/>
      <c r="X37" s="84"/>
      <c r="Y37" s="82"/>
      <c r="Z37" s="43"/>
    </row>
    <row r="38" spans="1:26" ht="12.75" customHeight="1">
      <c r="A38" s="32"/>
      <c r="B38" s="32"/>
      <c r="C38" s="85"/>
      <c r="D38" s="85"/>
      <c r="E38" s="85"/>
      <c r="F38" s="85"/>
      <c r="G38" s="85"/>
      <c r="H38" s="86"/>
      <c r="I38" s="86"/>
      <c r="J38" s="86"/>
      <c r="K38" s="86"/>
      <c r="L38" s="86"/>
      <c r="M38" s="73"/>
      <c r="N38" s="74"/>
      <c r="O38" s="73"/>
      <c r="P38" s="75"/>
      <c r="Q38" s="76"/>
      <c r="R38" s="86"/>
      <c r="S38" s="262"/>
      <c r="T38" s="87"/>
      <c r="U38" s="86"/>
      <c r="V38" s="79"/>
      <c r="W38" s="80"/>
      <c r="X38" s="81"/>
      <c r="Y38" s="82"/>
      <c r="Z38" s="43"/>
    </row>
    <row r="39" spans="1:26" ht="12.75" customHeight="1">
      <c r="A39" s="32"/>
      <c r="B39" s="32"/>
      <c r="C39" s="26"/>
      <c r="D39" s="26"/>
      <c r="E39" s="26"/>
      <c r="F39" s="26"/>
      <c r="G39" s="26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263"/>
      <c r="T39" s="64"/>
      <c r="U39" s="88"/>
      <c r="V39" s="63"/>
      <c r="W39" s="88"/>
      <c r="X39" s="89"/>
      <c r="Y39" s="63"/>
      <c r="Z39" s="32"/>
    </row>
    <row r="40" spans="1:26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64"/>
      <c r="T40" s="90"/>
      <c r="U40" s="90"/>
      <c r="V40" s="91"/>
      <c r="W40" s="32"/>
      <c r="X40" s="92"/>
      <c r="Y40" s="91"/>
      <c r="Z40" s="32"/>
    </row>
    <row r="41" spans="1:26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264"/>
      <c r="T41" s="90"/>
      <c r="U41" s="90"/>
      <c r="V41" s="91"/>
      <c r="W41" s="32"/>
      <c r="X41" s="92"/>
      <c r="Y41" s="91"/>
      <c r="Z41" s="32"/>
    </row>
    <row r="42" spans="1:26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64"/>
      <c r="T42" s="90"/>
      <c r="U42" s="90"/>
      <c r="V42" s="91"/>
      <c r="W42" s="32"/>
      <c r="X42" s="92"/>
      <c r="Y42" s="91"/>
      <c r="Z42" s="32"/>
    </row>
    <row r="43" spans="1:26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264"/>
      <c r="T43" s="90"/>
      <c r="U43" s="90"/>
      <c r="V43" s="91"/>
      <c r="W43" s="32"/>
      <c r="X43" s="92"/>
      <c r="Y43" s="91"/>
      <c r="Z43" s="32"/>
    </row>
    <row r="44" spans="1:26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264"/>
      <c r="T44" s="90"/>
      <c r="U44" s="90"/>
      <c r="V44" s="91"/>
      <c r="W44" s="32"/>
      <c r="X44" s="92"/>
      <c r="Y44" s="91"/>
      <c r="Z44" s="32"/>
    </row>
    <row r="45" spans="1:26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264"/>
      <c r="T45" s="90"/>
      <c r="U45" s="90"/>
      <c r="V45" s="91"/>
      <c r="W45" s="32"/>
      <c r="X45" s="92"/>
      <c r="Y45" s="91"/>
      <c r="Z45" s="32"/>
    </row>
    <row r="46" spans="1:2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264"/>
      <c r="T46" s="90"/>
      <c r="U46" s="90"/>
      <c r="V46" s="91"/>
      <c r="W46" s="32"/>
      <c r="X46" s="92"/>
      <c r="Y46" s="91"/>
      <c r="Z46" s="32"/>
    </row>
    <row r="47" spans="1:26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264"/>
      <c r="T47" s="90"/>
      <c r="U47" s="90"/>
      <c r="V47" s="91"/>
      <c r="W47" s="32"/>
      <c r="X47" s="92"/>
      <c r="Y47" s="91"/>
      <c r="Z47" s="32"/>
    </row>
    <row r="48" spans="1:26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64"/>
      <c r="T48" s="90"/>
      <c r="U48" s="90"/>
      <c r="V48" s="91"/>
      <c r="W48" s="32"/>
      <c r="X48" s="92"/>
      <c r="Y48" s="91"/>
      <c r="Z48" s="32"/>
    </row>
    <row r="49" spans="1:26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264"/>
      <c r="T49" s="90"/>
      <c r="U49" s="90"/>
      <c r="V49" s="91"/>
      <c r="W49" s="32"/>
      <c r="X49" s="92"/>
      <c r="Y49" s="91"/>
      <c r="Z49" s="32"/>
    </row>
    <row r="50" spans="1:26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264"/>
      <c r="T50" s="90"/>
      <c r="U50" s="90"/>
      <c r="V50" s="91"/>
      <c r="W50" s="32"/>
      <c r="X50" s="92"/>
      <c r="Y50" s="91"/>
      <c r="Z50" s="32"/>
    </row>
    <row r="51" spans="1:26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64"/>
      <c r="T51" s="90"/>
      <c r="U51" s="90"/>
      <c r="V51" s="91"/>
      <c r="W51" s="32"/>
      <c r="X51" s="92"/>
      <c r="Y51" s="91"/>
      <c r="Z51" s="32"/>
    </row>
    <row r="52" spans="1:26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264"/>
      <c r="T52" s="90"/>
      <c r="U52" s="90"/>
      <c r="V52" s="91"/>
      <c r="W52" s="32"/>
      <c r="X52" s="92"/>
      <c r="Y52" s="91"/>
      <c r="Z52" s="32"/>
    </row>
    <row r="53" spans="1:26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264"/>
      <c r="T53" s="90"/>
      <c r="U53" s="90"/>
      <c r="V53" s="91"/>
      <c r="W53" s="32"/>
      <c r="X53" s="92"/>
      <c r="Y53" s="91"/>
      <c r="Z53" s="32"/>
    </row>
    <row r="54" ht="12.75" customHeight="1"/>
    <row r="55" ht="12.75" customHeight="1"/>
    <row r="56" ht="12.75" customHeight="1"/>
    <row r="57" ht="12.75" customHeight="1"/>
    <row r="58" ht="12.75" customHeight="1"/>
  </sheetData>
  <sheetProtection sheet="1" objects="1" scenarios="1"/>
  <dataValidations count="3">
    <dataValidation type="list" allowBlank="1" showInputMessage="1" showErrorMessage="1" sqref="U36">
      <formula1>$R$35:$R$36</formula1>
    </dataValidation>
    <dataValidation type="decimal" operator="greaterThanOrEqual" allowBlank="1" showInputMessage="1" showErrorMessage="1" error="Value must be &gt;= 0" sqref="C5:C24">
      <formula1>0</formula1>
    </dataValidation>
    <dataValidation type="list" allowBlank="1" showInputMessage="1" showErrorMessage="1" sqref="B5:B24">
      <formula1>$K$3:$K$4</formula1>
    </dataValidation>
  </dataValidations>
  <printOptions/>
  <pageMargins left="1" right="0.5" top="1" bottom="1" header="0.5" footer="0.5"/>
  <pageSetup horizontalDpi="600" verticalDpi="600" orientation="portrait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3.7109375" style="10" customWidth="1"/>
    <col min="3" max="3" width="18.00390625" style="10" customWidth="1"/>
    <col min="4" max="4" width="17.00390625" style="10" customWidth="1"/>
    <col min="5" max="5" width="14.7109375" style="10" customWidth="1"/>
    <col min="6" max="6" width="7.7109375" style="17" customWidth="1"/>
    <col min="7" max="7" width="2.8515625" style="17" customWidth="1"/>
    <col min="8" max="8" width="5.7109375" style="17" customWidth="1"/>
    <col min="9" max="9" width="1.7109375" style="17" customWidth="1"/>
    <col min="10" max="10" width="9.140625" style="17" customWidth="1"/>
    <col min="11" max="13" width="0" style="17" hidden="1" customWidth="1"/>
    <col min="14" max="14" width="13.7109375" style="17" hidden="1" customWidth="1"/>
    <col min="15" max="17" width="0" style="17" hidden="1" customWidth="1"/>
    <col min="18" max="18" width="10.7109375" style="10" hidden="1" customWidth="1"/>
    <col min="19" max="19" width="14.7109375" style="10" hidden="1" customWidth="1"/>
    <col min="20" max="22" width="0" style="10" hidden="1" customWidth="1"/>
    <col min="23" max="16384" width="9.140625" style="10" customWidth="1"/>
  </cols>
  <sheetData>
    <row r="1" spans="5:23" ht="12.75" customHeight="1" thickBot="1">
      <c r="E1" s="10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6"/>
      <c r="S1" s="26"/>
      <c r="W1" s="42" t="s">
        <v>141</v>
      </c>
    </row>
    <row r="2" spans="2:29" ht="16.5" thickBot="1">
      <c r="B2" s="97" t="s">
        <v>15</v>
      </c>
      <c r="C2" s="98"/>
      <c r="D2" s="98"/>
      <c r="E2" s="98"/>
      <c r="F2" s="98"/>
      <c r="G2" s="98"/>
      <c r="H2" s="98"/>
      <c r="I2" s="127"/>
      <c r="J2" s="43"/>
      <c r="K2" s="43"/>
      <c r="L2" s="43"/>
      <c r="M2" s="43"/>
      <c r="N2" s="43"/>
      <c r="O2" s="43"/>
      <c r="P2" s="43"/>
      <c r="Q2" s="43"/>
      <c r="R2" s="27"/>
      <c r="S2" s="27"/>
      <c r="T2" s="28"/>
      <c r="U2" s="29"/>
      <c r="V2" s="30"/>
      <c r="W2" s="30"/>
      <c r="X2" s="24"/>
      <c r="Y2" s="24"/>
      <c r="Z2" s="24"/>
      <c r="AA2" s="24"/>
      <c r="AB2" s="24"/>
      <c r="AC2" s="24"/>
    </row>
    <row r="3" spans="2:29" ht="12.75" customHeight="1">
      <c r="B3" s="122" t="s">
        <v>0</v>
      </c>
      <c r="C3" s="135"/>
      <c r="D3" s="93" t="s">
        <v>112</v>
      </c>
      <c r="E3" s="93" t="s">
        <v>18</v>
      </c>
      <c r="F3" s="125" t="s">
        <v>3</v>
      </c>
      <c r="G3" s="130"/>
      <c r="H3" s="130"/>
      <c r="I3" s="142"/>
      <c r="K3" s="104" t="s">
        <v>1</v>
      </c>
      <c r="L3" s="115" t="s">
        <v>8</v>
      </c>
      <c r="M3" s="44"/>
      <c r="N3" s="45"/>
      <c r="O3" s="46"/>
      <c r="P3" s="46"/>
      <c r="Q3" s="46"/>
      <c r="U3" s="29"/>
      <c r="V3" s="31"/>
      <c r="W3" s="31"/>
      <c r="X3" s="24"/>
      <c r="Y3" s="24"/>
      <c r="Z3" s="24"/>
      <c r="AA3" s="24"/>
      <c r="AB3" s="24"/>
      <c r="AC3" s="24"/>
    </row>
    <row r="4" spans="2:17" ht="12.75" customHeight="1">
      <c r="B4" s="123" t="s">
        <v>16</v>
      </c>
      <c r="C4" s="121" t="s">
        <v>4</v>
      </c>
      <c r="D4" s="121" t="s">
        <v>4</v>
      </c>
      <c r="E4" s="94" t="s">
        <v>19</v>
      </c>
      <c r="F4" s="124" t="s">
        <v>13</v>
      </c>
      <c r="G4" s="134"/>
      <c r="H4" s="134"/>
      <c r="I4" s="143"/>
      <c r="K4" s="104" t="s">
        <v>2</v>
      </c>
      <c r="L4" s="115" t="s">
        <v>9</v>
      </c>
      <c r="M4" s="44"/>
      <c r="N4" s="45"/>
      <c r="O4" s="46"/>
      <c r="P4" s="46"/>
      <c r="Q4" s="46"/>
    </row>
    <row r="5" spans="2:19" ht="12.75" customHeight="1">
      <c r="B5" s="190" t="s">
        <v>1</v>
      </c>
      <c r="C5" s="232">
        <v>8529.6</v>
      </c>
      <c r="D5" s="235">
        <f aca="true" t="shared" si="0" ref="D5:D24">IF(OR($C5=0,$C5=""),"",$C5)</f>
        <v>8529.6</v>
      </c>
      <c r="E5" s="198">
        <f aca="true" t="shared" si="1" ref="E5:E24">IF(OR($C5=0,$C5=""),"",ABS($S5))</f>
        <v>27.984251968503937</v>
      </c>
      <c r="F5" s="194" t="str">
        <f aca="true" t="shared" si="2" ref="F5:F24">IF(OR($C5=0,$C5=""),"",$M5&amp;"' -")</f>
        <v>27' -</v>
      </c>
      <c r="G5" s="195">
        <f aca="true" t="shared" si="3" ref="G5:G24">IF(OR($C5=0,$C5=""),"",IF($Q5&lt;&gt;1,$P5,$P5+1))</f>
        <v>11</v>
      </c>
      <c r="H5" s="205">
        <f aca="true" t="shared" si="4" ref="H5:H24">IF(OR($C5=0,$C5=""),"",IF(OR($Q5=0,$O5=$P5),"''",IF($Q5&lt;&gt;1,$Q5,"")))</f>
        <v>0.8125</v>
      </c>
      <c r="I5" s="302" t="str">
        <f aca="true" t="shared" si="5" ref="I5:I24">IF(OR($C5=0,$C5=""),"",IF($Q5=0,"","''"))</f>
        <v>''</v>
      </c>
      <c r="L5" s="105"/>
      <c r="M5" s="105">
        <f aca="true" t="shared" si="6" ref="M5:M24">IF(OR($C5=0,$C5=""),"",INT(ABS($S5)))</f>
        <v>27</v>
      </c>
      <c r="N5" s="48">
        <f aca="true" t="shared" si="7" ref="N5:N24">IF(OR($C5=0,$C5=""),"",ABS($S5)-ABS($M5))</f>
        <v>0.984251968503937</v>
      </c>
      <c r="O5" s="105">
        <f aca="true" t="shared" si="8" ref="O5:O24">IF(OR($C5=0,$C5=""),"",ROUND($N5*12,6))</f>
        <v>11.811024</v>
      </c>
      <c r="P5" s="109">
        <f aca="true" t="shared" si="9" ref="P5:P24">IF(OR($C5=0,$C5=""),"",INT(ABS($O5)))</f>
        <v>11</v>
      </c>
      <c r="Q5" s="110">
        <f aca="true" t="shared" si="10" ref="Q5:Q24">IF(OR($C5=0,$C5=""),"",ROUND(($O5-$P5)*IF($C$28="1/16",16,32),0)/(IF($C$28="1/16",16,32)))</f>
        <v>0.8125</v>
      </c>
      <c r="R5" s="105">
        <f aca="true" t="shared" si="11" ref="R5:R24">IF(OR($C5=0,$C5=""),"",IF(OR($B5="+",$B5=""),$C5,-$C5))</f>
        <v>8529.6</v>
      </c>
      <c r="S5" s="48">
        <f aca="true" t="shared" si="12" ref="S5:S24">IF(OR($C5=0,$C5=""),"",IF(OR($B5="+",$B5=""),$C5/304.8,-$C5/304.8))</f>
        <v>27.984251968503937</v>
      </c>
    </row>
    <row r="6" spans="2:19" ht="12.75" customHeight="1">
      <c r="B6" s="199" t="s">
        <v>1</v>
      </c>
      <c r="C6" s="233">
        <v>1835.2</v>
      </c>
      <c r="D6" s="236">
        <f t="shared" si="0"/>
        <v>1835.2</v>
      </c>
      <c r="E6" s="207">
        <f t="shared" si="1"/>
        <v>6.020997375328084</v>
      </c>
      <c r="F6" s="203" t="str">
        <f t="shared" si="2"/>
        <v>6' -</v>
      </c>
      <c r="G6" s="204">
        <f t="shared" si="3"/>
        <v>0</v>
      </c>
      <c r="H6" s="205">
        <f t="shared" si="4"/>
        <v>0.25</v>
      </c>
      <c r="I6" s="303" t="str">
        <f t="shared" si="5"/>
        <v>''</v>
      </c>
      <c r="L6" s="105"/>
      <c r="M6" s="105">
        <f t="shared" si="6"/>
        <v>6</v>
      </c>
      <c r="N6" s="48">
        <f t="shared" si="7"/>
        <v>0.020997375328083656</v>
      </c>
      <c r="O6" s="105">
        <f t="shared" si="8"/>
        <v>0.251969</v>
      </c>
      <c r="P6" s="109">
        <f t="shared" si="9"/>
        <v>0</v>
      </c>
      <c r="Q6" s="110">
        <f t="shared" si="10"/>
        <v>0.25</v>
      </c>
      <c r="R6" s="105">
        <f t="shared" si="11"/>
        <v>1835.2</v>
      </c>
      <c r="S6" s="48">
        <f t="shared" si="12"/>
        <v>6.020997375328084</v>
      </c>
    </row>
    <row r="7" spans="2:19" ht="12.75" customHeight="1">
      <c r="B7" s="199"/>
      <c r="C7" s="233"/>
      <c r="D7" s="236">
        <f t="shared" si="0"/>
      </c>
      <c r="E7" s="207">
        <f t="shared" si="1"/>
      </c>
      <c r="F7" s="203">
        <f t="shared" si="2"/>
      </c>
      <c r="G7" s="204">
        <f t="shared" si="3"/>
      </c>
      <c r="H7" s="205">
        <f t="shared" si="4"/>
      </c>
      <c r="I7" s="303">
        <f t="shared" si="5"/>
      </c>
      <c r="L7" s="105"/>
      <c r="M7" s="105">
        <f t="shared" si="6"/>
      </c>
      <c r="N7" s="48">
        <f t="shared" si="7"/>
      </c>
      <c r="O7" s="105">
        <f t="shared" si="8"/>
      </c>
      <c r="P7" s="109">
        <f t="shared" si="9"/>
      </c>
      <c r="Q7" s="110">
        <f t="shared" si="10"/>
      </c>
      <c r="R7" s="105">
        <f t="shared" si="11"/>
      </c>
      <c r="S7" s="48">
        <f t="shared" si="12"/>
      </c>
    </row>
    <row r="8" spans="2:19" ht="12.75" customHeight="1">
      <c r="B8" s="199"/>
      <c r="C8" s="233"/>
      <c r="D8" s="236">
        <f t="shared" si="0"/>
      </c>
      <c r="E8" s="207">
        <f t="shared" si="1"/>
      </c>
      <c r="F8" s="203">
        <f t="shared" si="2"/>
      </c>
      <c r="G8" s="204">
        <f t="shared" si="3"/>
      </c>
      <c r="H8" s="205">
        <f t="shared" si="4"/>
      </c>
      <c r="I8" s="303">
        <f t="shared" si="5"/>
      </c>
      <c r="L8" s="105"/>
      <c r="M8" s="105">
        <f t="shared" si="6"/>
      </c>
      <c r="N8" s="48">
        <f t="shared" si="7"/>
      </c>
      <c r="O8" s="105">
        <f t="shared" si="8"/>
      </c>
      <c r="P8" s="109">
        <f t="shared" si="9"/>
      </c>
      <c r="Q8" s="110">
        <f t="shared" si="10"/>
      </c>
      <c r="R8" s="105">
        <f t="shared" si="11"/>
      </c>
      <c r="S8" s="48">
        <f t="shared" si="12"/>
      </c>
    </row>
    <row r="9" spans="2:19" ht="12.75" customHeight="1">
      <c r="B9" s="199"/>
      <c r="C9" s="233"/>
      <c r="D9" s="236">
        <f t="shared" si="0"/>
      </c>
      <c r="E9" s="207">
        <f t="shared" si="1"/>
      </c>
      <c r="F9" s="203">
        <f t="shared" si="2"/>
      </c>
      <c r="G9" s="204">
        <f t="shared" si="3"/>
      </c>
      <c r="H9" s="205">
        <f t="shared" si="4"/>
      </c>
      <c r="I9" s="303">
        <f t="shared" si="5"/>
      </c>
      <c r="L9" s="105"/>
      <c r="M9" s="105">
        <f t="shared" si="6"/>
      </c>
      <c r="N9" s="48">
        <f t="shared" si="7"/>
      </c>
      <c r="O9" s="105">
        <f t="shared" si="8"/>
      </c>
      <c r="P9" s="109">
        <f t="shared" si="9"/>
      </c>
      <c r="Q9" s="110">
        <f t="shared" si="10"/>
      </c>
      <c r="R9" s="105">
        <f t="shared" si="11"/>
      </c>
      <c r="S9" s="48">
        <f t="shared" si="12"/>
      </c>
    </row>
    <row r="10" spans="2:19" ht="12.75" customHeight="1">
      <c r="B10" s="199"/>
      <c r="C10" s="233"/>
      <c r="D10" s="236">
        <f t="shared" si="0"/>
      </c>
      <c r="E10" s="207">
        <f t="shared" si="1"/>
      </c>
      <c r="F10" s="203">
        <f t="shared" si="2"/>
      </c>
      <c r="G10" s="204">
        <f t="shared" si="3"/>
      </c>
      <c r="H10" s="205">
        <f t="shared" si="4"/>
      </c>
      <c r="I10" s="303">
        <f t="shared" si="5"/>
      </c>
      <c r="L10" s="105"/>
      <c r="M10" s="105">
        <f t="shared" si="6"/>
      </c>
      <c r="N10" s="48">
        <f t="shared" si="7"/>
      </c>
      <c r="O10" s="105">
        <f t="shared" si="8"/>
      </c>
      <c r="P10" s="109">
        <f t="shared" si="9"/>
      </c>
      <c r="Q10" s="110">
        <f t="shared" si="10"/>
      </c>
      <c r="R10" s="105">
        <f t="shared" si="11"/>
      </c>
      <c r="S10" s="48">
        <f t="shared" si="12"/>
      </c>
    </row>
    <row r="11" spans="2:19" ht="12.75" customHeight="1">
      <c r="B11" s="199"/>
      <c r="C11" s="233"/>
      <c r="D11" s="236">
        <f t="shared" si="0"/>
      </c>
      <c r="E11" s="207">
        <f t="shared" si="1"/>
      </c>
      <c r="F11" s="203">
        <f t="shared" si="2"/>
      </c>
      <c r="G11" s="204">
        <f t="shared" si="3"/>
      </c>
      <c r="H11" s="205">
        <f t="shared" si="4"/>
      </c>
      <c r="I11" s="303">
        <f t="shared" si="5"/>
      </c>
      <c r="L11" s="105"/>
      <c r="M11" s="105">
        <f t="shared" si="6"/>
      </c>
      <c r="N11" s="48">
        <f t="shared" si="7"/>
      </c>
      <c r="O11" s="105">
        <f t="shared" si="8"/>
      </c>
      <c r="P11" s="109">
        <f t="shared" si="9"/>
      </c>
      <c r="Q11" s="110">
        <f t="shared" si="10"/>
      </c>
      <c r="R11" s="105">
        <f t="shared" si="11"/>
      </c>
      <c r="S11" s="48">
        <f t="shared" si="12"/>
      </c>
    </row>
    <row r="12" spans="2:19" ht="12.75" customHeight="1">
      <c r="B12" s="199"/>
      <c r="C12" s="233"/>
      <c r="D12" s="236">
        <f t="shared" si="0"/>
      </c>
      <c r="E12" s="207">
        <f t="shared" si="1"/>
      </c>
      <c r="F12" s="203">
        <f t="shared" si="2"/>
      </c>
      <c r="G12" s="204">
        <f t="shared" si="3"/>
      </c>
      <c r="H12" s="205">
        <f t="shared" si="4"/>
      </c>
      <c r="I12" s="303">
        <f t="shared" si="5"/>
      </c>
      <c r="L12" s="105"/>
      <c r="M12" s="105">
        <f t="shared" si="6"/>
      </c>
      <c r="N12" s="48">
        <f t="shared" si="7"/>
      </c>
      <c r="O12" s="105">
        <f t="shared" si="8"/>
      </c>
      <c r="P12" s="109">
        <f t="shared" si="9"/>
      </c>
      <c r="Q12" s="110">
        <f t="shared" si="10"/>
      </c>
      <c r="R12" s="105">
        <f t="shared" si="11"/>
      </c>
      <c r="S12" s="48">
        <f t="shared" si="12"/>
      </c>
    </row>
    <row r="13" spans="2:19" ht="12.75" customHeight="1">
      <c r="B13" s="199"/>
      <c r="C13" s="233"/>
      <c r="D13" s="236">
        <f t="shared" si="0"/>
      </c>
      <c r="E13" s="207">
        <f t="shared" si="1"/>
      </c>
      <c r="F13" s="203">
        <f t="shared" si="2"/>
      </c>
      <c r="G13" s="204">
        <f t="shared" si="3"/>
      </c>
      <c r="H13" s="205">
        <f t="shared" si="4"/>
      </c>
      <c r="I13" s="303">
        <f t="shared" si="5"/>
      </c>
      <c r="L13" s="105"/>
      <c r="M13" s="105">
        <f t="shared" si="6"/>
      </c>
      <c r="N13" s="48">
        <f t="shared" si="7"/>
      </c>
      <c r="O13" s="105">
        <f t="shared" si="8"/>
      </c>
      <c r="P13" s="109">
        <f t="shared" si="9"/>
      </c>
      <c r="Q13" s="110">
        <f t="shared" si="10"/>
      </c>
      <c r="R13" s="105">
        <f t="shared" si="11"/>
      </c>
      <c r="S13" s="48">
        <f t="shared" si="12"/>
      </c>
    </row>
    <row r="14" spans="2:19" ht="12.75" customHeight="1">
      <c r="B14" s="199"/>
      <c r="C14" s="233"/>
      <c r="D14" s="236">
        <f t="shared" si="0"/>
      </c>
      <c r="E14" s="207">
        <f t="shared" si="1"/>
      </c>
      <c r="F14" s="203">
        <f t="shared" si="2"/>
      </c>
      <c r="G14" s="204">
        <f t="shared" si="3"/>
      </c>
      <c r="H14" s="205">
        <f t="shared" si="4"/>
      </c>
      <c r="I14" s="303">
        <f t="shared" si="5"/>
      </c>
      <c r="L14" s="105"/>
      <c r="M14" s="105">
        <f t="shared" si="6"/>
      </c>
      <c r="N14" s="48">
        <f t="shared" si="7"/>
      </c>
      <c r="O14" s="105">
        <f t="shared" si="8"/>
      </c>
      <c r="P14" s="109">
        <f t="shared" si="9"/>
      </c>
      <c r="Q14" s="110">
        <f t="shared" si="10"/>
      </c>
      <c r="R14" s="105">
        <f t="shared" si="11"/>
      </c>
      <c r="S14" s="48">
        <f t="shared" si="12"/>
      </c>
    </row>
    <row r="15" spans="2:19" ht="12.75" customHeight="1">
      <c r="B15" s="199"/>
      <c r="C15" s="233"/>
      <c r="D15" s="236">
        <f t="shared" si="0"/>
      </c>
      <c r="E15" s="207">
        <f t="shared" si="1"/>
      </c>
      <c r="F15" s="203">
        <f t="shared" si="2"/>
      </c>
      <c r="G15" s="204">
        <f t="shared" si="3"/>
      </c>
      <c r="H15" s="205">
        <f t="shared" si="4"/>
      </c>
      <c r="I15" s="303">
        <f t="shared" si="5"/>
      </c>
      <c r="L15" s="105"/>
      <c r="M15" s="105">
        <f t="shared" si="6"/>
      </c>
      <c r="N15" s="48">
        <f t="shared" si="7"/>
      </c>
      <c r="O15" s="105">
        <f t="shared" si="8"/>
      </c>
      <c r="P15" s="109">
        <f t="shared" si="9"/>
      </c>
      <c r="Q15" s="110">
        <f t="shared" si="10"/>
      </c>
      <c r="R15" s="105">
        <f t="shared" si="11"/>
      </c>
      <c r="S15" s="48">
        <f t="shared" si="12"/>
      </c>
    </row>
    <row r="16" spans="2:19" ht="12.75" customHeight="1">
      <c r="B16" s="199"/>
      <c r="C16" s="233"/>
      <c r="D16" s="236">
        <f t="shared" si="0"/>
      </c>
      <c r="E16" s="207">
        <f t="shared" si="1"/>
      </c>
      <c r="F16" s="203">
        <f t="shared" si="2"/>
      </c>
      <c r="G16" s="204">
        <f t="shared" si="3"/>
      </c>
      <c r="H16" s="205">
        <f t="shared" si="4"/>
      </c>
      <c r="I16" s="303">
        <f t="shared" si="5"/>
      </c>
      <c r="L16" s="105"/>
      <c r="M16" s="105">
        <f t="shared" si="6"/>
      </c>
      <c r="N16" s="48">
        <f t="shared" si="7"/>
      </c>
      <c r="O16" s="105">
        <f t="shared" si="8"/>
      </c>
      <c r="P16" s="109">
        <f t="shared" si="9"/>
      </c>
      <c r="Q16" s="110">
        <f t="shared" si="10"/>
      </c>
      <c r="R16" s="105">
        <f t="shared" si="11"/>
      </c>
      <c r="S16" s="48">
        <f t="shared" si="12"/>
      </c>
    </row>
    <row r="17" spans="2:19" ht="12.75" customHeight="1">
      <c r="B17" s="199"/>
      <c r="C17" s="233"/>
      <c r="D17" s="236">
        <f t="shared" si="0"/>
      </c>
      <c r="E17" s="207">
        <f t="shared" si="1"/>
      </c>
      <c r="F17" s="203">
        <f t="shared" si="2"/>
      </c>
      <c r="G17" s="204">
        <f t="shared" si="3"/>
      </c>
      <c r="H17" s="205">
        <f t="shared" si="4"/>
      </c>
      <c r="I17" s="303">
        <f t="shared" si="5"/>
      </c>
      <c r="L17" s="105"/>
      <c r="M17" s="105">
        <f t="shared" si="6"/>
      </c>
      <c r="N17" s="48">
        <f t="shared" si="7"/>
      </c>
      <c r="O17" s="105">
        <f t="shared" si="8"/>
      </c>
      <c r="P17" s="109">
        <f t="shared" si="9"/>
      </c>
      <c r="Q17" s="110">
        <f t="shared" si="10"/>
      </c>
      <c r="R17" s="105">
        <f t="shared" si="11"/>
      </c>
      <c r="S17" s="48">
        <f t="shared" si="12"/>
      </c>
    </row>
    <row r="18" spans="2:19" ht="12.75" customHeight="1">
      <c r="B18" s="199"/>
      <c r="C18" s="233"/>
      <c r="D18" s="236">
        <f t="shared" si="0"/>
      </c>
      <c r="E18" s="207">
        <f t="shared" si="1"/>
      </c>
      <c r="F18" s="203">
        <f t="shared" si="2"/>
      </c>
      <c r="G18" s="204">
        <f t="shared" si="3"/>
      </c>
      <c r="H18" s="205">
        <f t="shared" si="4"/>
      </c>
      <c r="I18" s="303">
        <f t="shared" si="5"/>
      </c>
      <c r="L18" s="105"/>
      <c r="M18" s="105">
        <f t="shared" si="6"/>
      </c>
      <c r="N18" s="48">
        <f t="shared" si="7"/>
      </c>
      <c r="O18" s="105">
        <f t="shared" si="8"/>
      </c>
      <c r="P18" s="109">
        <f t="shared" si="9"/>
      </c>
      <c r="Q18" s="110">
        <f t="shared" si="10"/>
      </c>
      <c r="R18" s="105">
        <f t="shared" si="11"/>
      </c>
      <c r="S18" s="48">
        <f t="shared" si="12"/>
      </c>
    </row>
    <row r="19" spans="2:19" ht="12.75" customHeight="1">
      <c r="B19" s="298"/>
      <c r="C19" s="299"/>
      <c r="D19" s="236">
        <f t="shared" si="0"/>
      </c>
      <c r="E19" s="207">
        <f t="shared" si="1"/>
      </c>
      <c r="F19" s="203">
        <f t="shared" si="2"/>
      </c>
      <c r="G19" s="204">
        <f t="shared" si="3"/>
      </c>
      <c r="H19" s="205">
        <f t="shared" si="4"/>
      </c>
      <c r="I19" s="303">
        <f t="shared" si="5"/>
      </c>
      <c r="L19" s="105"/>
      <c r="M19" s="105">
        <f t="shared" si="6"/>
      </c>
      <c r="N19" s="48">
        <f t="shared" si="7"/>
      </c>
      <c r="O19" s="105">
        <f t="shared" si="8"/>
      </c>
      <c r="P19" s="109">
        <f t="shared" si="9"/>
      </c>
      <c r="Q19" s="110">
        <f t="shared" si="10"/>
      </c>
      <c r="R19" s="105">
        <f t="shared" si="11"/>
      </c>
      <c r="S19" s="48">
        <f t="shared" si="12"/>
      </c>
    </row>
    <row r="20" spans="2:19" ht="12.75" customHeight="1">
      <c r="B20" s="298"/>
      <c r="C20" s="299"/>
      <c r="D20" s="236">
        <f t="shared" si="0"/>
      </c>
      <c r="E20" s="207">
        <f t="shared" si="1"/>
      </c>
      <c r="F20" s="203">
        <f t="shared" si="2"/>
      </c>
      <c r="G20" s="204">
        <f t="shared" si="3"/>
      </c>
      <c r="H20" s="205">
        <f t="shared" si="4"/>
      </c>
      <c r="I20" s="303">
        <f t="shared" si="5"/>
      </c>
      <c r="L20" s="105"/>
      <c r="M20" s="105">
        <f t="shared" si="6"/>
      </c>
      <c r="N20" s="48">
        <f t="shared" si="7"/>
      </c>
      <c r="O20" s="105">
        <f t="shared" si="8"/>
      </c>
      <c r="P20" s="109">
        <f t="shared" si="9"/>
      </c>
      <c r="Q20" s="110">
        <f t="shared" si="10"/>
      </c>
      <c r="R20" s="105">
        <f t="shared" si="11"/>
      </c>
      <c r="S20" s="48">
        <f t="shared" si="12"/>
      </c>
    </row>
    <row r="21" spans="2:19" ht="12.75" customHeight="1">
      <c r="B21" s="298"/>
      <c r="C21" s="299"/>
      <c r="D21" s="236">
        <f t="shared" si="0"/>
      </c>
      <c r="E21" s="207">
        <f t="shared" si="1"/>
      </c>
      <c r="F21" s="203">
        <f t="shared" si="2"/>
      </c>
      <c r="G21" s="204">
        <f t="shared" si="3"/>
      </c>
      <c r="H21" s="205">
        <f t="shared" si="4"/>
      </c>
      <c r="I21" s="303">
        <f t="shared" si="5"/>
      </c>
      <c r="L21" s="105"/>
      <c r="M21" s="105">
        <f t="shared" si="6"/>
      </c>
      <c r="N21" s="48">
        <f t="shared" si="7"/>
      </c>
      <c r="O21" s="105">
        <f t="shared" si="8"/>
      </c>
      <c r="P21" s="109">
        <f t="shared" si="9"/>
      </c>
      <c r="Q21" s="110">
        <f t="shared" si="10"/>
      </c>
      <c r="R21" s="105">
        <f t="shared" si="11"/>
      </c>
      <c r="S21" s="48">
        <f t="shared" si="12"/>
      </c>
    </row>
    <row r="22" spans="2:19" ht="12.75" customHeight="1">
      <c r="B22" s="298"/>
      <c r="C22" s="299"/>
      <c r="D22" s="236">
        <f t="shared" si="0"/>
      </c>
      <c r="E22" s="207">
        <f t="shared" si="1"/>
      </c>
      <c r="F22" s="203">
        <f t="shared" si="2"/>
      </c>
      <c r="G22" s="204">
        <f t="shared" si="3"/>
      </c>
      <c r="H22" s="205">
        <f t="shared" si="4"/>
      </c>
      <c r="I22" s="303">
        <f t="shared" si="5"/>
      </c>
      <c r="L22" s="105"/>
      <c r="M22" s="105">
        <f t="shared" si="6"/>
      </c>
      <c r="N22" s="48">
        <f t="shared" si="7"/>
      </c>
      <c r="O22" s="105">
        <f t="shared" si="8"/>
      </c>
      <c r="P22" s="109">
        <f t="shared" si="9"/>
      </c>
      <c r="Q22" s="110">
        <f t="shared" si="10"/>
      </c>
      <c r="R22" s="105">
        <f t="shared" si="11"/>
      </c>
      <c r="S22" s="48">
        <f t="shared" si="12"/>
      </c>
    </row>
    <row r="23" spans="2:19" ht="12.75" customHeight="1">
      <c r="B23" s="298"/>
      <c r="C23" s="299"/>
      <c r="D23" s="236">
        <f t="shared" si="0"/>
      </c>
      <c r="E23" s="207">
        <f t="shared" si="1"/>
      </c>
      <c r="F23" s="203">
        <f t="shared" si="2"/>
      </c>
      <c r="G23" s="204">
        <f t="shared" si="3"/>
      </c>
      <c r="H23" s="205">
        <f t="shared" si="4"/>
      </c>
      <c r="I23" s="303">
        <f t="shared" si="5"/>
      </c>
      <c r="L23" s="105"/>
      <c r="M23" s="105">
        <f t="shared" si="6"/>
      </c>
      <c r="N23" s="48">
        <f t="shared" si="7"/>
      </c>
      <c r="O23" s="105">
        <f t="shared" si="8"/>
      </c>
      <c r="P23" s="109">
        <f t="shared" si="9"/>
      </c>
      <c r="Q23" s="110">
        <f t="shared" si="10"/>
      </c>
      <c r="R23" s="105">
        <f t="shared" si="11"/>
      </c>
      <c r="S23" s="48">
        <f t="shared" si="12"/>
      </c>
    </row>
    <row r="24" spans="2:19" ht="12.75" customHeight="1">
      <c r="B24" s="209"/>
      <c r="C24" s="234"/>
      <c r="D24" s="237">
        <f t="shared" si="0"/>
      </c>
      <c r="E24" s="217">
        <f t="shared" si="1"/>
      </c>
      <c r="F24" s="213">
        <f t="shared" si="2"/>
      </c>
      <c r="G24" s="214">
        <f t="shared" si="3"/>
      </c>
      <c r="H24" s="215">
        <f t="shared" si="4"/>
      </c>
      <c r="I24" s="304">
        <f t="shared" si="5"/>
      </c>
      <c r="L24" s="105"/>
      <c r="M24" s="105">
        <f t="shared" si="6"/>
      </c>
      <c r="N24" s="48">
        <f t="shared" si="7"/>
      </c>
      <c r="O24" s="105">
        <f t="shared" si="8"/>
      </c>
      <c r="P24" s="109">
        <f t="shared" si="9"/>
      </c>
      <c r="Q24" s="110">
        <f t="shared" si="10"/>
      </c>
      <c r="R24" s="105">
        <f t="shared" si="11"/>
      </c>
      <c r="S24" s="48">
        <f t="shared" si="12"/>
      </c>
    </row>
    <row r="25" spans="2:19" ht="12.75" customHeight="1">
      <c r="B25" s="34"/>
      <c r="C25" s="22" t="s">
        <v>17</v>
      </c>
      <c r="D25" s="238">
        <f>SUM($R$5:$R$24)</f>
        <v>10364.800000000001</v>
      </c>
      <c r="E25" s="222">
        <f>SUM($S$5:$S$24)</f>
        <v>34.00524934383202</v>
      </c>
      <c r="F25" s="218" t="str">
        <f>IF($E$25&lt;0,"-"&amp;ABS($M$25),ABS($M$25))&amp;"' -"</f>
        <v>34' -</v>
      </c>
      <c r="G25" s="219">
        <f>IF($Q$25&lt;&gt;1,$P$25,$P$25+1)</f>
        <v>0</v>
      </c>
      <c r="H25" s="220">
        <f>IF(OR($Q$25=0,$O$25=$P$25),"''",IF($Q$25&lt;&gt;1,$Q$25,""))</f>
        <v>0.0625</v>
      </c>
      <c r="I25" s="226" t="str">
        <f>IF(OR($Q$25=0,$O$25=$P$25),"","''")</f>
        <v>''</v>
      </c>
      <c r="L25" s="105"/>
      <c r="M25" s="105">
        <f>IF($E$25&gt;=0,INT(ABS($E$25)),-INT(ABS($E$25)))</f>
        <v>34</v>
      </c>
      <c r="N25" s="48">
        <f>ABS($E$25)-ABS($M$25)</f>
        <v>0.005249343832019804</v>
      </c>
      <c r="O25" s="105">
        <f>ROUND($N$25*12,6)</f>
        <v>0.062992</v>
      </c>
      <c r="P25" s="109">
        <f>INT(ABS($O$25))</f>
        <v>0</v>
      </c>
      <c r="Q25" s="110">
        <f>ROUND(($O$25-$P$25)*IF($C$28="1/16",16,32),0)/(IF($C$28="1/16",16,32))</f>
        <v>0.0625</v>
      </c>
      <c r="R25" s="33"/>
      <c r="S25" s="33"/>
    </row>
    <row r="26" spans="2:17" ht="12.75" customHeight="1" thickBot="1">
      <c r="B26" s="2"/>
      <c r="C26" s="35"/>
      <c r="D26" s="35"/>
      <c r="E26" s="35"/>
      <c r="F26" s="4"/>
      <c r="G26" s="3"/>
      <c r="H26" s="5"/>
      <c r="I26" s="6"/>
      <c r="J26" s="106"/>
      <c r="K26" s="106"/>
      <c r="L26" s="106"/>
      <c r="M26" s="106"/>
      <c r="N26" s="106"/>
      <c r="O26" s="106"/>
      <c r="P26" s="106"/>
      <c r="Q26" s="106"/>
    </row>
    <row r="27" ht="12.75" customHeight="1"/>
    <row r="28" spans="2:4" ht="12.75" customHeight="1">
      <c r="B28" s="25" t="s">
        <v>10</v>
      </c>
      <c r="C28" s="162" t="s">
        <v>8</v>
      </c>
      <c r="D28" s="144" t="s">
        <v>6</v>
      </c>
    </row>
    <row r="29" ht="12.75" customHeight="1"/>
    <row r="30" ht="12.75" customHeight="1">
      <c r="A30" s="3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 sheet="1" objects="1" scenarios="1"/>
  <dataValidations count="3">
    <dataValidation type="decimal" operator="greaterThanOrEqual" allowBlank="1" showInputMessage="1" showErrorMessage="1" error="Value must be &gt;= 0" sqref="C5:C24">
      <formula1>0</formula1>
    </dataValidation>
    <dataValidation type="list" allowBlank="1" showInputMessage="1" showErrorMessage="1" prompt="Select either 1/16&quot; or 1/32&quot; accuracy for conversion of Metric to English units." sqref="C28">
      <formula1>$L$3:$L$4</formula1>
    </dataValidation>
    <dataValidation type="list" allowBlank="1" showInputMessage="1" showErrorMessage="1" sqref="B5:B24">
      <formula1>$K$3:$K$4</formula1>
    </dataValidation>
  </dataValidations>
  <printOptions/>
  <pageMargins left="1" right="0.5" top="1" bottom="1" header="0.5" footer="0.5"/>
  <pageSetup horizontalDpi="600" verticalDpi="600" orientation="portrait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10" customWidth="1"/>
    <col min="2" max="2" width="15.7109375" style="10" customWidth="1"/>
    <col min="3" max="3" width="12.7109375" style="10" customWidth="1"/>
    <col min="4" max="4" width="8.140625" style="10" customWidth="1"/>
    <col min="5" max="5" width="14.7109375" style="10" customWidth="1"/>
    <col min="6" max="6" width="6.7109375" style="10" customWidth="1"/>
    <col min="7" max="7" width="15.7109375" style="10" customWidth="1"/>
    <col min="8" max="8" width="12.7109375" style="10" customWidth="1"/>
    <col min="9" max="9" width="8.140625" style="10" customWidth="1"/>
    <col min="10" max="10" width="14.7109375" style="10" customWidth="1"/>
    <col min="11" max="11" width="8.140625" style="10" customWidth="1"/>
    <col min="12" max="16384" width="9.140625" style="10" customWidth="1"/>
  </cols>
  <sheetData>
    <row r="1" ht="13.5" thickBot="1">
      <c r="L1" s="42" t="s">
        <v>141</v>
      </c>
    </row>
    <row r="2" spans="2:10" ht="16.5" thickBot="1">
      <c r="B2" s="158" t="s">
        <v>40</v>
      </c>
      <c r="C2" s="150"/>
      <c r="D2" s="150"/>
      <c r="E2" s="127"/>
      <c r="G2" s="158" t="s">
        <v>41</v>
      </c>
      <c r="H2" s="150"/>
      <c r="I2" s="150"/>
      <c r="J2" s="127"/>
    </row>
    <row r="3" spans="2:10" ht="12.75">
      <c r="B3" s="151" t="s">
        <v>35</v>
      </c>
      <c r="C3" s="152" t="s">
        <v>25</v>
      </c>
      <c r="D3" s="153"/>
      <c r="E3" s="154" t="s">
        <v>26</v>
      </c>
      <c r="G3" s="151" t="s">
        <v>35</v>
      </c>
      <c r="H3" s="152" t="s">
        <v>26</v>
      </c>
      <c r="I3" s="153"/>
      <c r="J3" s="154" t="s">
        <v>25</v>
      </c>
    </row>
    <row r="4" spans="2:10" ht="12.75">
      <c r="B4" s="156"/>
      <c r="C4" s="145" t="s">
        <v>33</v>
      </c>
      <c r="D4" s="157"/>
      <c r="E4" s="273" t="s">
        <v>11</v>
      </c>
      <c r="G4" s="156"/>
      <c r="H4" s="145" t="str">
        <f>$E$4</f>
        <v>N</v>
      </c>
      <c r="I4" s="157"/>
      <c r="J4" s="273" t="str">
        <f>$C$4</f>
        <v>lb</v>
      </c>
    </row>
    <row r="5" spans="2:10" ht="12.75">
      <c r="B5" s="156" t="s">
        <v>27</v>
      </c>
      <c r="C5" s="229">
        <v>1</v>
      </c>
      <c r="D5" s="146" t="s">
        <v>29</v>
      </c>
      <c r="E5" s="268">
        <f>$C$5*4.448221615</f>
        <v>4.448221615</v>
      </c>
      <c r="G5" s="156" t="s">
        <v>27</v>
      </c>
      <c r="H5" s="227">
        <v>1</v>
      </c>
      <c r="I5" s="146" t="s">
        <v>29</v>
      </c>
      <c r="J5" s="267">
        <f>$H$5/4.448221615</f>
        <v>0.22480894311287594</v>
      </c>
    </row>
    <row r="6" spans="2:10" ht="12.75">
      <c r="B6" s="156" t="s">
        <v>39</v>
      </c>
      <c r="C6" s="145" t="s">
        <v>34</v>
      </c>
      <c r="D6" s="157"/>
      <c r="E6" s="273" t="s">
        <v>20</v>
      </c>
      <c r="G6" s="156" t="s">
        <v>39</v>
      </c>
      <c r="H6" s="145" t="str">
        <f>$E$6</f>
        <v>KN</v>
      </c>
      <c r="I6" s="157"/>
      <c r="J6" s="273" t="str">
        <f>$C$6</f>
        <v>kip</v>
      </c>
    </row>
    <row r="7" spans="2:10" ht="12.75">
      <c r="B7" s="151"/>
      <c r="C7" s="229">
        <v>1</v>
      </c>
      <c r="D7" s="147" t="s">
        <v>29</v>
      </c>
      <c r="E7" s="268">
        <f>$C$7*4.448221615</f>
        <v>4.448221615</v>
      </c>
      <c r="G7" s="151"/>
      <c r="H7" s="227">
        <v>1</v>
      </c>
      <c r="I7" s="147" t="s">
        <v>29</v>
      </c>
      <c r="J7" s="267">
        <f>$H$7/4.448221615</f>
        <v>0.22480894311287594</v>
      </c>
    </row>
    <row r="8" spans="2:10" ht="12.75">
      <c r="B8" s="155"/>
      <c r="C8" s="145" t="s">
        <v>33</v>
      </c>
      <c r="D8" s="157"/>
      <c r="E8" s="148" t="s">
        <v>32</v>
      </c>
      <c r="G8" s="155"/>
      <c r="H8" s="146" t="str">
        <f>$E$8</f>
        <v>kg</v>
      </c>
      <c r="I8" s="157"/>
      <c r="J8" s="148" t="str">
        <f>$C$8</f>
        <v>lb</v>
      </c>
    </row>
    <row r="9" spans="2:10" ht="12.75">
      <c r="B9" s="156" t="s">
        <v>31</v>
      </c>
      <c r="C9" s="229">
        <v>1</v>
      </c>
      <c r="D9" s="146" t="s">
        <v>29</v>
      </c>
      <c r="E9" s="268">
        <f>$C$9*0.45359237</f>
        <v>0.45359237</v>
      </c>
      <c r="G9" s="156" t="s">
        <v>31</v>
      </c>
      <c r="H9" s="227">
        <v>1</v>
      </c>
      <c r="I9" s="146" t="s">
        <v>29</v>
      </c>
      <c r="J9" s="267">
        <f>$H$9/0.45359237</f>
        <v>2.2046226218487757</v>
      </c>
    </row>
    <row r="10" spans="2:10" ht="12.75">
      <c r="B10" s="156" t="s">
        <v>137</v>
      </c>
      <c r="C10" s="146" t="s">
        <v>34</v>
      </c>
      <c r="D10" s="157"/>
      <c r="E10" s="273" t="s">
        <v>32</v>
      </c>
      <c r="G10" s="156" t="s">
        <v>137</v>
      </c>
      <c r="H10" s="146" t="str">
        <f>$E$10</f>
        <v>kg</v>
      </c>
      <c r="I10" s="157"/>
      <c r="J10" s="273" t="str">
        <f>$C$10</f>
        <v>kip</v>
      </c>
    </row>
    <row r="11" spans="2:10" ht="12.75">
      <c r="B11" s="151"/>
      <c r="C11" s="229">
        <v>1</v>
      </c>
      <c r="D11" s="147" t="s">
        <v>29</v>
      </c>
      <c r="E11" s="268">
        <f>$C$11*453.59237</f>
        <v>453.59237</v>
      </c>
      <c r="G11" s="151"/>
      <c r="H11" s="227">
        <v>1</v>
      </c>
      <c r="I11" s="147" t="s">
        <v>29</v>
      </c>
      <c r="J11" s="267">
        <f>$H$11/453.59237</f>
        <v>0.002204622621848776</v>
      </c>
    </row>
    <row r="12" spans="2:10" ht="12.75">
      <c r="B12" s="155"/>
      <c r="C12" s="159" t="s">
        <v>52</v>
      </c>
      <c r="D12" s="157"/>
      <c r="E12" s="280" t="s">
        <v>43</v>
      </c>
      <c r="G12" s="155"/>
      <c r="H12" s="160" t="str">
        <f>$E$12</f>
        <v>N/cm</v>
      </c>
      <c r="I12" s="157"/>
      <c r="J12" s="274" t="str">
        <f>$C$12</f>
        <v>lb/in</v>
      </c>
    </row>
    <row r="13" spans="2:10" ht="12.75">
      <c r="B13" s="156"/>
      <c r="C13" s="229">
        <v>1</v>
      </c>
      <c r="D13" s="146" t="s">
        <v>29</v>
      </c>
      <c r="E13" s="268">
        <f>$C$13*4.448221615/2.54</f>
        <v>1.7512683523622046</v>
      </c>
      <c r="G13" s="156"/>
      <c r="H13" s="227">
        <v>1</v>
      </c>
      <c r="I13" s="146" t="s">
        <v>29</v>
      </c>
      <c r="J13" s="267">
        <f>$H$13/4.448221615*2.54</f>
        <v>0.5710147155067049</v>
      </c>
    </row>
    <row r="14" spans="2:10" ht="12.75">
      <c r="B14" s="156"/>
      <c r="C14" s="146" t="s">
        <v>53</v>
      </c>
      <c r="D14" s="157"/>
      <c r="E14" s="273" t="s">
        <v>21</v>
      </c>
      <c r="G14" s="156"/>
      <c r="H14" s="145" t="str">
        <f>$E$14</f>
        <v>N/m</v>
      </c>
      <c r="I14" s="157"/>
      <c r="J14" s="273" t="str">
        <f>$C$14</f>
        <v>lb/ft</v>
      </c>
    </row>
    <row r="15" spans="2:10" ht="12.75">
      <c r="B15" s="156" t="s">
        <v>36</v>
      </c>
      <c r="C15" s="230">
        <v>1</v>
      </c>
      <c r="D15" s="146" t="s">
        <v>29</v>
      </c>
      <c r="E15" s="268">
        <f>$C$15*4.448221615/0.3048</f>
        <v>14.593902936351704</v>
      </c>
      <c r="G15" s="156" t="s">
        <v>36</v>
      </c>
      <c r="H15" s="227">
        <v>1</v>
      </c>
      <c r="I15" s="146" t="s">
        <v>29</v>
      </c>
      <c r="J15" s="267">
        <f>$H$15/4.448221615*0.3048</f>
        <v>0.06852176586080459</v>
      </c>
    </row>
    <row r="16" spans="2:10" ht="12.75">
      <c r="B16" s="156" t="s">
        <v>38</v>
      </c>
      <c r="C16" s="146" t="s">
        <v>54</v>
      </c>
      <c r="D16" s="157"/>
      <c r="E16" s="280" t="s">
        <v>42</v>
      </c>
      <c r="G16" s="156" t="s">
        <v>38</v>
      </c>
      <c r="H16" s="161" t="str">
        <f>$E$16</f>
        <v>KN/cm</v>
      </c>
      <c r="I16" s="157"/>
      <c r="J16" s="273" t="str">
        <f>$C$16</f>
        <v>kip/in</v>
      </c>
    </row>
    <row r="17" spans="2:10" ht="12.75">
      <c r="B17" s="156"/>
      <c r="C17" s="229">
        <v>1</v>
      </c>
      <c r="D17" s="146" t="s">
        <v>29</v>
      </c>
      <c r="E17" s="268">
        <f>$C$17*4.448221615/2.54</f>
        <v>1.7512683523622046</v>
      </c>
      <c r="G17" s="156"/>
      <c r="H17" s="227">
        <v>1</v>
      </c>
      <c r="I17" s="146" t="s">
        <v>29</v>
      </c>
      <c r="J17" s="267">
        <f>$H$17/4.448221615*2.54</f>
        <v>0.5710147155067049</v>
      </c>
    </row>
    <row r="18" spans="2:10" ht="12.75">
      <c r="B18" s="156"/>
      <c r="C18" s="146" t="s">
        <v>55</v>
      </c>
      <c r="D18" s="157"/>
      <c r="E18" s="273" t="s">
        <v>22</v>
      </c>
      <c r="G18" s="156"/>
      <c r="H18" s="145" t="str">
        <f>$E$18</f>
        <v>KN/m</v>
      </c>
      <c r="I18" s="157"/>
      <c r="J18" s="273" t="str">
        <f>$C$18</f>
        <v>kip/ft</v>
      </c>
    </row>
    <row r="19" spans="2:10" ht="12.75">
      <c r="B19" s="151"/>
      <c r="C19" s="230">
        <v>1</v>
      </c>
      <c r="D19" s="147" t="s">
        <v>29</v>
      </c>
      <c r="E19" s="268">
        <f>$C$19*4.448221615/0.3048</f>
        <v>14.593902936351704</v>
      </c>
      <c r="G19" s="151"/>
      <c r="H19" s="227">
        <v>1</v>
      </c>
      <c r="I19" s="147" t="s">
        <v>29</v>
      </c>
      <c r="J19" s="267">
        <f>$H$19/4.448221615*0.3048</f>
        <v>0.06852176586080459</v>
      </c>
    </row>
    <row r="20" spans="2:10" ht="12.75">
      <c r="B20" s="269"/>
      <c r="C20" s="159" t="s">
        <v>52</v>
      </c>
      <c r="D20" s="157"/>
      <c r="E20" s="280" t="s">
        <v>114</v>
      </c>
      <c r="G20" s="269"/>
      <c r="H20" s="160" t="str">
        <f>$E$20</f>
        <v>kg/cm</v>
      </c>
      <c r="I20" s="157"/>
      <c r="J20" s="274" t="str">
        <f>$C$20</f>
        <v>lb/in</v>
      </c>
    </row>
    <row r="21" spans="2:10" ht="12.75">
      <c r="B21" s="270"/>
      <c r="C21" s="229">
        <v>1</v>
      </c>
      <c r="D21" s="146" t="s">
        <v>29</v>
      </c>
      <c r="E21" s="268">
        <f>$C$21*0.45359237/2.54</f>
        <v>0.17857967322834647</v>
      </c>
      <c r="G21" s="270"/>
      <c r="H21" s="227">
        <v>1</v>
      </c>
      <c r="I21" s="146" t="s">
        <v>29</v>
      </c>
      <c r="J21" s="267">
        <f>$H$21/0.45359237*2.54</f>
        <v>5.59974145949589</v>
      </c>
    </row>
    <row r="22" spans="2:10" ht="12.75">
      <c r="B22" s="270"/>
      <c r="C22" s="265" t="s">
        <v>53</v>
      </c>
      <c r="D22" s="157"/>
      <c r="E22" s="274" t="s">
        <v>115</v>
      </c>
      <c r="G22" s="270"/>
      <c r="H22" s="266" t="str">
        <f>$E$22</f>
        <v>kg/m</v>
      </c>
      <c r="I22" s="157"/>
      <c r="J22" s="274" t="str">
        <f>$C$22</f>
        <v>lb/ft</v>
      </c>
    </row>
    <row r="23" spans="2:10" ht="12.75">
      <c r="B23" s="270"/>
      <c r="C23" s="230">
        <v>1</v>
      </c>
      <c r="D23" s="146" t="s">
        <v>29</v>
      </c>
      <c r="E23" s="268">
        <f>$C$23*0.45359237/0.3048</f>
        <v>1.4881639435695537</v>
      </c>
      <c r="G23" s="270"/>
      <c r="H23" s="227">
        <v>1</v>
      </c>
      <c r="I23" s="146" t="s">
        <v>29</v>
      </c>
      <c r="J23" s="267">
        <f>$H$23/0.45359237*0.3048</f>
        <v>0.6719689751395068</v>
      </c>
    </row>
    <row r="24" spans="2:10" ht="12.75">
      <c r="B24" s="270" t="s">
        <v>113</v>
      </c>
      <c r="C24" s="265" t="s">
        <v>136</v>
      </c>
      <c r="D24" s="281"/>
      <c r="E24" s="274" t="s">
        <v>115</v>
      </c>
      <c r="G24" s="270" t="s">
        <v>113</v>
      </c>
      <c r="H24" s="284" t="str">
        <f>$E$24</f>
        <v>kg/m</v>
      </c>
      <c r="I24" s="281"/>
      <c r="J24" s="274" t="str">
        <f>$C$24</f>
        <v>lb/yd</v>
      </c>
    </row>
    <row r="25" spans="2:10" ht="12.75">
      <c r="B25" s="270" t="s">
        <v>38</v>
      </c>
      <c r="C25" s="282">
        <v>1</v>
      </c>
      <c r="D25" s="265" t="s">
        <v>29</v>
      </c>
      <c r="E25" s="285">
        <f>$C$25*0.45359237/0.9144</f>
        <v>0.496054647856518</v>
      </c>
      <c r="G25" s="270" t="s">
        <v>38</v>
      </c>
      <c r="H25" s="283">
        <v>1</v>
      </c>
      <c r="I25" s="265" t="s">
        <v>29</v>
      </c>
      <c r="J25" s="277">
        <f>$H$25/0.45359237*0.9144</f>
        <v>2.0159069254185202</v>
      </c>
    </row>
    <row r="26" spans="2:10" ht="12.75">
      <c r="B26" s="270"/>
      <c r="C26" s="146" t="s">
        <v>54</v>
      </c>
      <c r="D26" s="157"/>
      <c r="E26" s="280" t="s">
        <v>114</v>
      </c>
      <c r="G26" s="270"/>
      <c r="H26" s="284" t="str">
        <f>$E$26</f>
        <v>kg/cm</v>
      </c>
      <c r="I26" s="157"/>
      <c r="J26" s="274" t="str">
        <f>$C$26</f>
        <v>kip/in</v>
      </c>
    </row>
    <row r="27" spans="2:10" ht="12.75">
      <c r="B27" s="270"/>
      <c r="C27" s="229">
        <v>1</v>
      </c>
      <c r="D27" s="146" t="s">
        <v>29</v>
      </c>
      <c r="E27" s="268">
        <f>$C$27*453.59237/2.54</f>
        <v>178.57967322834645</v>
      </c>
      <c r="G27" s="270"/>
      <c r="H27" s="227">
        <v>1</v>
      </c>
      <c r="I27" s="146" t="s">
        <v>29</v>
      </c>
      <c r="J27" s="267">
        <f>$H$27/453.5924*2.54</f>
        <v>0.0055997410891364145</v>
      </c>
    </row>
    <row r="28" spans="2:10" ht="12.75">
      <c r="B28" s="270"/>
      <c r="C28" s="146" t="s">
        <v>55</v>
      </c>
      <c r="D28" s="157"/>
      <c r="E28" s="274" t="s">
        <v>115</v>
      </c>
      <c r="G28" s="270"/>
      <c r="H28" s="284" t="str">
        <f>$E$28</f>
        <v>kg/m</v>
      </c>
      <c r="I28" s="157"/>
      <c r="J28" s="274" t="str">
        <f>$C$28</f>
        <v>kip/ft</v>
      </c>
    </row>
    <row r="29" spans="2:10" ht="12.75">
      <c r="B29" s="272"/>
      <c r="C29" s="230">
        <v>1</v>
      </c>
      <c r="D29" s="147" t="s">
        <v>29</v>
      </c>
      <c r="E29" s="268">
        <f>$C$29*453.59237/0.3048</f>
        <v>1488.1639435695538</v>
      </c>
      <c r="G29" s="272"/>
      <c r="H29" s="227">
        <v>1</v>
      </c>
      <c r="I29" s="147" t="s">
        <v>29</v>
      </c>
      <c r="J29" s="267">
        <f>$H$29/453.5924*0.3048</f>
        <v>0.0006719689306963698</v>
      </c>
    </row>
    <row r="30" spans="2:10" ht="12.75">
      <c r="B30" s="269"/>
      <c r="C30" s="159" t="s">
        <v>56</v>
      </c>
      <c r="D30" s="157"/>
      <c r="E30" s="280" t="s">
        <v>44</v>
      </c>
      <c r="G30" s="269"/>
      <c r="H30" s="160" t="str">
        <f>$E$30</f>
        <v>N/cm^2</v>
      </c>
      <c r="I30" s="157"/>
      <c r="J30" s="273" t="str">
        <f>$C$30</f>
        <v>lb/in^2 = psi</v>
      </c>
    </row>
    <row r="31" spans="2:10" ht="12.75">
      <c r="B31" s="270"/>
      <c r="C31" s="229">
        <v>1</v>
      </c>
      <c r="D31" s="146" t="s">
        <v>29</v>
      </c>
      <c r="E31" s="268">
        <f>$C$31*4.448221615/(2.54^2)</f>
        <v>0.6894757292764585</v>
      </c>
      <c r="G31" s="270"/>
      <c r="H31" s="227">
        <v>1</v>
      </c>
      <c r="I31" s="146" t="s">
        <v>29</v>
      </c>
      <c r="J31" s="286">
        <f>$H$31/4.448221615*(2.54^2)</f>
        <v>1.4503773773870303</v>
      </c>
    </row>
    <row r="32" spans="2:10" ht="12.75">
      <c r="B32" s="270"/>
      <c r="C32" s="145" t="s">
        <v>57</v>
      </c>
      <c r="D32" s="157"/>
      <c r="E32" s="273" t="s">
        <v>138</v>
      </c>
      <c r="G32" s="270"/>
      <c r="H32" s="145" t="str">
        <f>$E$32</f>
        <v>N/m^2 = Pa</v>
      </c>
      <c r="I32" s="157"/>
      <c r="J32" s="273" t="str">
        <f>$C$32</f>
        <v>lb/ft^2 = psf</v>
      </c>
    </row>
    <row r="33" spans="2:10" ht="12.75">
      <c r="B33" s="270"/>
      <c r="C33" s="229">
        <v>1</v>
      </c>
      <c r="D33" s="146" t="s">
        <v>29</v>
      </c>
      <c r="E33" s="271">
        <f>$C$33*4.448221615/(0.3048^2)</f>
        <v>47.88025897753184</v>
      </c>
      <c r="G33" s="270"/>
      <c r="H33" s="227">
        <v>1</v>
      </c>
      <c r="I33" s="146" t="s">
        <v>29</v>
      </c>
      <c r="J33" s="267">
        <f>$H$33/4.448221615*(0.3048^2)</f>
        <v>0.02088543423437324</v>
      </c>
    </row>
    <row r="34" spans="2:10" ht="12.75">
      <c r="B34" s="270"/>
      <c r="C34" s="146" t="s">
        <v>58</v>
      </c>
      <c r="D34" s="157"/>
      <c r="E34" s="280" t="s">
        <v>45</v>
      </c>
      <c r="G34" s="270"/>
      <c r="H34" s="160" t="str">
        <f>$E$34</f>
        <v>KN/cm^2</v>
      </c>
      <c r="I34" s="157"/>
      <c r="J34" s="273" t="str">
        <f>$C$34</f>
        <v>kip/in^2 = ksi</v>
      </c>
    </row>
    <row r="35" spans="2:10" ht="12.75">
      <c r="B35" s="270" t="s">
        <v>37</v>
      </c>
      <c r="C35" s="229">
        <v>1</v>
      </c>
      <c r="D35" s="146" t="s">
        <v>29</v>
      </c>
      <c r="E35" s="268">
        <f>$C$35*4.448221615/(2.54^2)</f>
        <v>0.6894757292764585</v>
      </c>
      <c r="G35" s="270" t="s">
        <v>37</v>
      </c>
      <c r="H35" s="227">
        <v>1</v>
      </c>
      <c r="I35" s="146" t="s">
        <v>29</v>
      </c>
      <c r="J35" s="286">
        <f>$H$35/4.448221615*(2.54^2)</f>
        <v>1.4503773773870303</v>
      </c>
    </row>
    <row r="36" spans="2:10" ht="12.75">
      <c r="B36" s="270" t="s">
        <v>120</v>
      </c>
      <c r="C36" s="265" t="s">
        <v>58</v>
      </c>
      <c r="D36" s="157"/>
      <c r="E36" s="291" t="s">
        <v>139</v>
      </c>
      <c r="G36" s="270" t="s">
        <v>120</v>
      </c>
      <c r="H36" s="284" t="str">
        <f>$E$36</f>
        <v>KN/m^2 = KPa</v>
      </c>
      <c r="I36" s="157"/>
      <c r="J36" s="274" t="str">
        <f>$C$36</f>
        <v>kip/in^2 = ksi</v>
      </c>
    </row>
    <row r="37" spans="2:10" ht="12.75">
      <c r="B37" s="270" t="s">
        <v>48</v>
      </c>
      <c r="C37" s="289">
        <v>1</v>
      </c>
      <c r="D37" s="146" t="s">
        <v>29</v>
      </c>
      <c r="E37" s="290">
        <f>$C$37*4.448221615/(0.0254^2)</f>
        <v>6894.757292764585</v>
      </c>
      <c r="G37" s="270" t="s">
        <v>48</v>
      </c>
      <c r="H37" s="283">
        <v>1</v>
      </c>
      <c r="I37" s="146" t="s">
        <v>29</v>
      </c>
      <c r="J37" s="285">
        <f>$H$37/4.448221615*(0.0254^2)</f>
        <v>0.00014503773773870304</v>
      </c>
    </row>
    <row r="38" spans="2:10" ht="12.75">
      <c r="B38" s="270"/>
      <c r="C38" s="265" t="s">
        <v>58</v>
      </c>
      <c r="D38" s="157"/>
      <c r="E38" s="274" t="s">
        <v>140</v>
      </c>
      <c r="G38" s="270"/>
      <c r="H38" s="284" t="str">
        <f>$E$38</f>
        <v>MPa</v>
      </c>
      <c r="I38" s="157"/>
      <c r="J38" s="274" t="str">
        <f>$C$38</f>
        <v>kip/in^2 = ksi</v>
      </c>
    </row>
    <row r="39" spans="2:10" ht="12.75">
      <c r="B39" s="270"/>
      <c r="C39" s="289">
        <v>1</v>
      </c>
      <c r="D39" s="146" t="s">
        <v>29</v>
      </c>
      <c r="E39" s="290">
        <f>$C$39*4.448221615/1000/(0.0254^2)</f>
        <v>6.894757292764584</v>
      </c>
      <c r="G39" s="270"/>
      <c r="H39" s="227">
        <v>1</v>
      </c>
      <c r="I39" s="146" t="s">
        <v>29</v>
      </c>
      <c r="J39" s="268">
        <f>$H$39/4.448221615*1000*(0.0254^2)</f>
        <v>0.14503773773870304</v>
      </c>
    </row>
    <row r="40" spans="2:10" ht="12.75">
      <c r="B40" s="270"/>
      <c r="C40" s="266" t="s">
        <v>59</v>
      </c>
      <c r="D40" s="157"/>
      <c r="E40" s="291" t="s">
        <v>139</v>
      </c>
      <c r="G40" s="270"/>
      <c r="H40" s="292" t="str">
        <f>$E$40</f>
        <v>KN/m^2 = KPa</v>
      </c>
      <c r="I40" s="157"/>
      <c r="J40" s="274" t="str">
        <f>$C$40</f>
        <v>kip/ft^2 = ksf</v>
      </c>
    </row>
    <row r="41" spans="2:10" ht="12.75">
      <c r="B41" s="270"/>
      <c r="C41" s="229">
        <v>1</v>
      </c>
      <c r="D41" s="146" t="s">
        <v>29</v>
      </c>
      <c r="E41" s="271">
        <f>$C$41*4.448221615/(0.3048^2)</f>
        <v>47.88025897753184</v>
      </c>
      <c r="G41" s="270"/>
      <c r="H41" s="227">
        <v>1</v>
      </c>
      <c r="I41" s="146" t="s">
        <v>29</v>
      </c>
      <c r="J41" s="268">
        <f>$H$41/4.448221615*(0.3048^2)</f>
        <v>0.02088543423437324</v>
      </c>
    </row>
    <row r="42" spans="2:10" ht="12.75">
      <c r="B42" s="270"/>
      <c r="C42" s="266" t="s">
        <v>59</v>
      </c>
      <c r="D42" s="157"/>
      <c r="E42" s="274" t="s">
        <v>140</v>
      </c>
      <c r="G42" s="270"/>
      <c r="H42" s="266" t="str">
        <f>$E$42</f>
        <v>MPa</v>
      </c>
      <c r="I42" s="157"/>
      <c r="J42" s="274" t="str">
        <f>$C$42</f>
        <v>kip/ft^2 = ksf</v>
      </c>
    </row>
    <row r="43" spans="2:10" ht="12.75">
      <c r="B43" s="272"/>
      <c r="C43" s="229">
        <v>1</v>
      </c>
      <c r="D43" s="147" t="s">
        <v>29</v>
      </c>
      <c r="E43" s="268">
        <f>$C$43*4.448221615/1000/(0.3048^2)</f>
        <v>0.047880258977531835</v>
      </c>
      <c r="G43" s="272"/>
      <c r="H43" s="227">
        <v>1</v>
      </c>
      <c r="I43" s="147" t="s">
        <v>29</v>
      </c>
      <c r="J43" s="286">
        <f>$H$43/4.448221615*1000*(0.3048^2)</f>
        <v>20.88543423437324</v>
      </c>
    </row>
    <row r="44" spans="2:10" ht="12.75">
      <c r="B44" s="269"/>
      <c r="C44" s="159" t="s">
        <v>56</v>
      </c>
      <c r="D44" s="157"/>
      <c r="E44" s="280" t="s">
        <v>117</v>
      </c>
      <c r="G44" s="269"/>
      <c r="H44" s="160" t="str">
        <f>$E$44</f>
        <v>kg/cm^2</v>
      </c>
      <c r="I44" s="157"/>
      <c r="J44" s="274" t="str">
        <f>$C$44</f>
        <v>lb/in^2 = psi</v>
      </c>
    </row>
    <row r="45" spans="2:10" ht="12.75">
      <c r="B45" s="270"/>
      <c r="C45" s="229">
        <v>1</v>
      </c>
      <c r="D45" s="146" t="s">
        <v>29</v>
      </c>
      <c r="E45" s="268">
        <f>$C$45*0.45359237/(2.54^2)</f>
        <v>0.07030695796391594</v>
      </c>
      <c r="G45" s="270"/>
      <c r="H45" s="227">
        <v>1</v>
      </c>
      <c r="I45" s="146" t="s">
        <v>29</v>
      </c>
      <c r="J45" s="287">
        <f>$H$45/0.45359237*(2.54^2)</f>
        <v>14.223343307119562</v>
      </c>
    </row>
    <row r="46" spans="2:10" ht="12.75">
      <c r="B46" s="270"/>
      <c r="C46" s="145" t="s">
        <v>57</v>
      </c>
      <c r="D46" s="157"/>
      <c r="E46" s="280" t="s">
        <v>118</v>
      </c>
      <c r="G46" s="270"/>
      <c r="H46" s="266" t="str">
        <f>$E$46</f>
        <v>kg/m^2</v>
      </c>
      <c r="I46" s="157"/>
      <c r="J46" s="274" t="str">
        <f>$C$46</f>
        <v>lb/ft^2 = psf</v>
      </c>
    </row>
    <row r="47" spans="2:10" ht="12.75">
      <c r="B47" s="270" t="s">
        <v>116</v>
      </c>
      <c r="C47" s="229">
        <v>1</v>
      </c>
      <c r="D47" s="146" t="s">
        <v>29</v>
      </c>
      <c r="E47" s="271">
        <f>$C$47*0.45359237/(0.3048^2)</f>
        <v>4.88242763638305</v>
      </c>
      <c r="G47" s="270" t="s">
        <v>116</v>
      </c>
      <c r="H47" s="227">
        <v>1</v>
      </c>
      <c r="I47" s="146" t="s">
        <v>29</v>
      </c>
      <c r="J47" s="277">
        <f>$H$47/0.45359237*(0.3048^2)</f>
        <v>0.2048161436225217</v>
      </c>
    </row>
    <row r="48" spans="2:10" ht="12.75">
      <c r="B48" s="270" t="s">
        <v>120</v>
      </c>
      <c r="C48" s="146" t="s">
        <v>58</v>
      </c>
      <c r="D48" s="157"/>
      <c r="E48" s="280" t="s">
        <v>117</v>
      </c>
      <c r="G48" s="270" t="s">
        <v>120</v>
      </c>
      <c r="H48" s="160" t="str">
        <f>$E$48</f>
        <v>kg/cm^2</v>
      </c>
      <c r="I48" s="157"/>
      <c r="J48" s="274" t="str">
        <f>$C$48</f>
        <v>kip/in^2 = ksi</v>
      </c>
    </row>
    <row r="49" spans="2:10" ht="12.75">
      <c r="B49" s="270" t="s">
        <v>48</v>
      </c>
      <c r="C49" s="229">
        <v>1</v>
      </c>
      <c r="D49" s="146" t="s">
        <v>29</v>
      </c>
      <c r="E49" s="271">
        <f>$C$49*453.59237/(2.54^2)</f>
        <v>70.30695796391593</v>
      </c>
      <c r="G49" s="270" t="s">
        <v>48</v>
      </c>
      <c r="H49" s="227">
        <v>1</v>
      </c>
      <c r="I49" s="146" t="s">
        <v>29</v>
      </c>
      <c r="J49" s="277">
        <f>$H$49/453.59237*(2.54^2)</f>
        <v>0.014223343307119562</v>
      </c>
    </row>
    <row r="50" spans="2:10" ht="12.75">
      <c r="B50" s="270"/>
      <c r="C50" s="145" t="s">
        <v>59</v>
      </c>
      <c r="D50" s="157"/>
      <c r="E50" s="280" t="s">
        <v>118</v>
      </c>
      <c r="G50" s="270"/>
      <c r="H50" s="266" t="str">
        <f>$E$50</f>
        <v>kg/m^2</v>
      </c>
      <c r="I50" s="157"/>
      <c r="J50" s="274" t="str">
        <f>$C$50</f>
        <v>kip/ft^2 = ksf</v>
      </c>
    </row>
    <row r="51" spans="2:10" ht="12.75">
      <c r="B51" s="272"/>
      <c r="C51" s="229">
        <v>1</v>
      </c>
      <c r="D51" s="147" t="s">
        <v>29</v>
      </c>
      <c r="E51" s="271">
        <f>$C$51*453.59237/(0.3048^2)</f>
        <v>4882.42763638305</v>
      </c>
      <c r="G51" s="272"/>
      <c r="H51" s="227">
        <v>1</v>
      </c>
      <c r="I51" s="147" t="s">
        <v>29</v>
      </c>
      <c r="J51" s="277">
        <f>$H$51/453.59237*(0.3048^2)</f>
        <v>0.00020481614362252172</v>
      </c>
    </row>
    <row r="52" spans="2:10" ht="12.75">
      <c r="B52" s="269"/>
      <c r="C52" s="159" t="s">
        <v>122</v>
      </c>
      <c r="D52" s="157"/>
      <c r="E52" s="280" t="s">
        <v>126</v>
      </c>
      <c r="G52" s="269"/>
      <c r="H52" s="160" t="str">
        <f>$E$52</f>
        <v>N/cm^3</v>
      </c>
      <c r="I52" s="157"/>
      <c r="J52" s="274" t="str">
        <f>$C$52</f>
        <v>lb/in^3 = pci</v>
      </c>
    </row>
    <row r="53" spans="2:10" ht="12.75">
      <c r="B53" s="270"/>
      <c r="C53" s="229">
        <v>1</v>
      </c>
      <c r="D53" s="146" t="s">
        <v>29</v>
      </c>
      <c r="E53" s="268">
        <f>$C$53*4.448221615/(2.54^3)</f>
        <v>0.27144713751041677</v>
      </c>
      <c r="G53" s="270"/>
      <c r="H53" s="227">
        <v>1</v>
      </c>
      <c r="I53" s="146" t="s">
        <v>29</v>
      </c>
      <c r="J53" s="287">
        <f>$H$53/4.448221615*(2.54^3)</f>
        <v>3.683958538563057</v>
      </c>
    </row>
    <row r="54" spans="2:10" ht="12.75">
      <c r="B54" s="270"/>
      <c r="C54" s="145" t="s">
        <v>123</v>
      </c>
      <c r="D54" s="157"/>
      <c r="E54" s="274" t="s">
        <v>127</v>
      </c>
      <c r="G54" s="270"/>
      <c r="H54" s="278" t="str">
        <f>$E$54</f>
        <v>N/m^3</v>
      </c>
      <c r="I54" s="157"/>
      <c r="J54" s="274" t="str">
        <f>$C$54</f>
        <v>lb/ft^3 = pcf</v>
      </c>
    </row>
    <row r="55" spans="2:10" ht="12.75">
      <c r="B55" s="270"/>
      <c r="C55" s="229">
        <v>1</v>
      </c>
      <c r="D55" s="146" t="s">
        <v>29</v>
      </c>
      <c r="E55" s="271">
        <f>$C$55*4.448221615/(0.3048^3)</f>
        <v>157.0874638370467</v>
      </c>
      <c r="G55" s="270"/>
      <c r="H55" s="227">
        <v>1</v>
      </c>
      <c r="I55" s="146" t="s">
        <v>29</v>
      </c>
      <c r="J55" s="277">
        <f>$H$55/4.448221615*(0.3048^3)</f>
        <v>0.006365880354636964</v>
      </c>
    </row>
    <row r="56" spans="2:10" ht="12.75">
      <c r="B56" s="270"/>
      <c r="C56" s="145" t="s">
        <v>130</v>
      </c>
      <c r="D56" s="157"/>
      <c r="E56" s="274" t="s">
        <v>127</v>
      </c>
      <c r="G56" s="270"/>
      <c r="H56" s="278" t="str">
        <f>$E$56</f>
        <v>N/m^3</v>
      </c>
      <c r="I56" s="157"/>
      <c r="J56" s="274" t="str">
        <f>$C$56</f>
        <v>lb/yd^3 = pcy</v>
      </c>
    </row>
    <row r="57" spans="2:10" ht="12.75">
      <c r="B57" s="270" t="s">
        <v>134</v>
      </c>
      <c r="C57" s="229">
        <v>1</v>
      </c>
      <c r="D57" s="146" t="s">
        <v>29</v>
      </c>
      <c r="E57" s="271">
        <f>$C$57*4.448221615/(0.9144^3)</f>
        <v>5.8180542161869155</v>
      </c>
      <c r="G57" s="270" t="s">
        <v>134</v>
      </c>
      <c r="H57" s="227">
        <v>1</v>
      </c>
      <c r="I57" s="146" t="s">
        <v>29</v>
      </c>
      <c r="J57" s="277">
        <f>$H$57/4.448221615*(0.9144^3)</f>
        <v>0.17187876957519801</v>
      </c>
    </row>
    <row r="58" spans="2:10" ht="12.75">
      <c r="B58" s="270" t="s">
        <v>135</v>
      </c>
      <c r="C58" s="146" t="s">
        <v>124</v>
      </c>
      <c r="D58" s="157"/>
      <c r="E58" s="280" t="s">
        <v>128</v>
      </c>
      <c r="G58" s="270" t="s">
        <v>119</v>
      </c>
      <c r="H58" s="160" t="str">
        <f>$E$58</f>
        <v>KN/cm^3</v>
      </c>
      <c r="I58" s="157"/>
      <c r="J58" s="274" t="str">
        <f>$C$58</f>
        <v>kip/in^3 = kci</v>
      </c>
    </row>
    <row r="59" spans="2:10" ht="12.75">
      <c r="B59" s="270"/>
      <c r="C59" s="229">
        <v>1</v>
      </c>
      <c r="D59" s="146" t="s">
        <v>29</v>
      </c>
      <c r="E59" s="268">
        <f>$C$59*4.448221615/(2.54^3)</f>
        <v>0.27144713751041677</v>
      </c>
      <c r="G59" s="270"/>
      <c r="H59" s="227">
        <v>1</v>
      </c>
      <c r="I59" s="146" t="s">
        <v>29</v>
      </c>
      <c r="J59" s="287">
        <f>$H$59/4.448221615*(2.54^3)</f>
        <v>3.683958538563057</v>
      </c>
    </row>
    <row r="60" spans="2:10" ht="12.75">
      <c r="B60" s="270"/>
      <c r="C60" s="145" t="s">
        <v>125</v>
      </c>
      <c r="D60" s="157"/>
      <c r="E60" s="280" t="s">
        <v>129</v>
      </c>
      <c r="G60" s="270"/>
      <c r="H60" s="160" t="str">
        <f>$E$60</f>
        <v>KN/m^3</v>
      </c>
      <c r="I60" s="157"/>
      <c r="J60" s="274" t="str">
        <f>$C$60</f>
        <v>kip/ft^3 = kcf</v>
      </c>
    </row>
    <row r="61" spans="2:10" ht="12.75">
      <c r="B61" s="270"/>
      <c r="C61" s="229">
        <v>1</v>
      </c>
      <c r="D61" s="146" t="s">
        <v>29</v>
      </c>
      <c r="E61" s="271">
        <f>$C$61*4.448221615/(0.3048^3)</f>
        <v>157.0874638370467</v>
      </c>
      <c r="G61" s="270"/>
      <c r="H61" s="227">
        <v>1</v>
      </c>
      <c r="I61" s="146" t="s">
        <v>29</v>
      </c>
      <c r="J61" s="277">
        <f>$H$61/4.448221615*(0.3048^3)</f>
        <v>0.006365880354636964</v>
      </c>
    </row>
    <row r="62" spans="2:10" ht="12.75">
      <c r="B62" s="270"/>
      <c r="C62" s="145" t="s">
        <v>133</v>
      </c>
      <c r="D62" s="157"/>
      <c r="E62" s="280" t="s">
        <v>129</v>
      </c>
      <c r="G62" s="270"/>
      <c r="H62" s="278" t="str">
        <f>$E$62</f>
        <v>KN/m^3</v>
      </c>
      <c r="I62" s="157"/>
      <c r="J62" s="274" t="str">
        <f>$C$62</f>
        <v>kip/yd^3 = kcy</v>
      </c>
    </row>
    <row r="63" spans="2:10" ht="12.75">
      <c r="B63" s="272"/>
      <c r="C63" s="229">
        <v>1</v>
      </c>
      <c r="D63" s="147" t="s">
        <v>29</v>
      </c>
      <c r="E63" s="271">
        <f>$C$63*4.448221615/(0.9144^3)</f>
        <v>5.8180542161869155</v>
      </c>
      <c r="G63" s="272"/>
      <c r="H63" s="227">
        <v>1</v>
      </c>
      <c r="I63" s="147" t="s">
        <v>29</v>
      </c>
      <c r="J63" s="277">
        <f>$H$63/4.448221615*(0.9144^3)</f>
        <v>0.17187876957519801</v>
      </c>
    </row>
    <row r="64" spans="2:10" ht="12.75">
      <c r="B64" s="269"/>
      <c r="C64" s="159" t="s">
        <v>122</v>
      </c>
      <c r="D64" s="157"/>
      <c r="E64" s="280" t="s">
        <v>131</v>
      </c>
      <c r="G64" s="269"/>
      <c r="H64" s="160" t="str">
        <f>$E$64</f>
        <v>kg/cm^3</v>
      </c>
      <c r="I64" s="157"/>
      <c r="J64" s="274" t="str">
        <f>$C$64</f>
        <v>lb/in^3 = pci</v>
      </c>
    </row>
    <row r="65" spans="2:10" ht="12.75">
      <c r="B65" s="270"/>
      <c r="C65" s="229">
        <v>1</v>
      </c>
      <c r="D65" s="146" t="s">
        <v>29</v>
      </c>
      <c r="E65" s="268">
        <f>$C$65*0.45359237/(2.54^3)</f>
        <v>0.027679904710203124</v>
      </c>
      <c r="G65" s="270"/>
      <c r="H65" s="227">
        <v>1</v>
      </c>
      <c r="I65" s="146" t="s">
        <v>29</v>
      </c>
      <c r="J65" s="287">
        <f>$H$65/0.45359237*(2.54^3)</f>
        <v>36.127292000083685</v>
      </c>
    </row>
    <row r="66" spans="2:10" ht="12.75">
      <c r="B66" s="270"/>
      <c r="C66" s="145" t="s">
        <v>123</v>
      </c>
      <c r="D66" s="157"/>
      <c r="E66" s="280" t="s">
        <v>132</v>
      </c>
      <c r="G66" s="270"/>
      <c r="H66" s="278" t="str">
        <f>$E$66</f>
        <v>kg/m^3</v>
      </c>
      <c r="I66" s="157"/>
      <c r="J66" s="274" t="str">
        <f>$C$66</f>
        <v>lb/ft^3 = pcf</v>
      </c>
    </row>
    <row r="67" spans="2:10" ht="12.75">
      <c r="B67" s="270"/>
      <c r="C67" s="229">
        <v>1</v>
      </c>
      <c r="D67" s="146" t="s">
        <v>29</v>
      </c>
      <c r="E67" s="271">
        <f>$C$67*0.45359237/(0.3048^3)</f>
        <v>16.018463373960138</v>
      </c>
      <c r="G67" s="270"/>
      <c r="H67" s="227">
        <v>1</v>
      </c>
      <c r="I67" s="146" t="s">
        <v>29</v>
      </c>
      <c r="J67" s="277">
        <f>$H$67/0.45359237*(0.3048^3)</f>
        <v>0.062427960576144616</v>
      </c>
    </row>
    <row r="68" spans="2:10" ht="12.75">
      <c r="B68" s="270"/>
      <c r="C68" s="145" t="s">
        <v>130</v>
      </c>
      <c r="D68" s="157"/>
      <c r="E68" s="280" t="s">
        <v>132</v>
      </c>
      <c r="G68" s="270"/>
      <c r="H68" s="278" t="str">
        <f>$E$68</f>
        <v>kg/m^3</v>
      </c>
      <c r="I68" s="157"/>
      <c r="J68" s="274" t="str">
        <f>$C$68</f>
        <v>lb/yd^3 = pcy</v>
      </c>
    </row>
    <row r="69" spans="2:10" ht="12.75">
      <c r="B69" s="270" t="s">
        <v>121</v>
      </c>
      <c r="C69" s="229">
        <v>1</v>
      </c>
      <c r="D69" s="146" t="s">
        <v>29</v>
      </c>
      <c r="E69" s="268">
        <f>$C$69*0.45359237/(0.9144^3)</f>
        <v>0.5932764212577829</v>
      </c>
      <c r="G69" s="270" t="s">
        <v>121</v>
      </c>
      <c r="H69" s="227">
        <v>1</v>
      </c>
      <c r="I69" s="146" t="s">
        <v>29</v>
      </c>
      <c r="J69" s="287">
        <f>$H$69/0.45359237*(0.9144^3)</f>
        <v>1.6855549355559045</v>
      </c>
    </row>
    <row r="70" spans="2:10" ht="12.75">
      <c r="B70" s="270" t="s">
        <v>119</v>
      </c>
      <c r="C70" s="146" t="s">
        <v>124</v>
      </c>
      <c r="D70" s="157"/>
      <c r="E70" s="280" t="s">
        <v>131</v>
      </c>
      <c r="G70" s="270" t="s">
        <v>119</v>
      </c>
      <c r="H70" s="160" t="str">
        <f>$E$70</f>
        <v>kg/cm^3</v>
      </c>
      <c r="I70" s="157"/>
      <c r="J70" s="274" t="str">
        <f>$C$70</f>
        <v>kip/in^3 = kci</v>
      </c>
    </row>
    <row r="71" spans="2:10" ht="12.75">
      <c r="B71" s="270"/>
      <c r="C71" s="229">
        <v>1</v>
      </c>
      <c r="D71" s="146" t="s">
        <v>29</v>
      </c>
      <c r="E71" s="271">
        <f>$C$71*453.59237/(2.54^3)</f>
        <v>27.679904710203125</v>
      </c>
      <c r="G71" s="270"/>
      <c r="H71" s="227">
        <v>1</v>
      </c>
      <c r="I71" s="146" t="s">
        <v>29</v>
      </c>
      <c r="J71" s="277">
        <f>$H$71/453.59237*(2.54^3)</f>
        <v>0.03612729200008369</v>
      </c>
    </row>
    <row r="72" spans="2:10" ht="12.75">
      <c r="B72" s="270"/>
      <c r="C72" s="145" t="s">
        <v>125</v>
      </c>
      <c r="D72" s="157"/>
      <c r="E72" s="280" t="s">
        <v>132</v>
      </c>
      <c r="G72" s="270"/>
      <c r="H72" s="160" t="str">
        <f>$E$72</f>
        <v>kg/m^3</v>
      </c>
      <c r="I72" s="157"/>
      <c r="J72" s="274" t="str">
        <f>$C$72</f>
        <v>kip/ft^3 = kcf</v>
      </c>
    </row>
    <row r="73" spans="2:10" ht="12.75">
      <c r="B73" s="270"/>
      <c r="C73" s="229">
        <v>1</v>
      </c>
      <c r="D73" s="146" t="s">
        <v>29</v>
      </c>
      <c r="E73" s="271">
        <f>$C$73*453.59237/(0.3048^3)</f>
        <v>16018.463373960138</v>
      </c>
      <c r="G73" s="270"/>
      <c r="H73" s="227">
        <v>1</v>
      </c>
      <c r="I73" s="146" t="s">
        <v>29</v>
      </c>
      <c r="J73" s="277">
        <f>$H$73/453.59237*(0.3048^3)</f>
        <v>6.242796057614462E-05</v>
      </c>
    </row>
    <row r="74" spans="2:10" ht="12.75">
      <c r="B74" s="270"/>
      <c r="C74" s="145" t="s">
        <v>133</v>
      </c>
      <c r="D74" s="157"/>
      <c r="E74" s="280" t="s">
        <v>132</v>
      </c>
      <c r="G74" s="270"/>
      <c r="H74" s="278" t="str">
        <f>$E$74</f>
        <v>kg/m^3</v>
      </c>
      <c r="I74" s="157"/>
      <c r="J74" s="274" t="str">
        <f>$C$74</f>
        <v>kip/yd^3 = kcy</v>
      </c>
    </row>
    <row r="75" spans="2:10" ht="12.75">
      <c r="B75" s="272"/>
      <c r="C75" s="229">
        <v>1</v>
      </c>
      <c r="D75" s="147" t="s">
        <v>29</v>
      </c>
      <c r="E75" s="271">
        <f>$C$75*453.59237/(0.9144^3)</f>
        <v>593.276421257783</v>
      </c>
      <c r="G75" s="272"/>
      <c r="H75" s="227">
        <v>1</v>
      </c>
      <c r="I75" s="147" t="s">
        <v>29</v>
      </c>
      <c r="J75" s="277">
        <f>$H$75/453.59237*(0.9144^3)</f>
        <v>0.0016855549355559046</v>
      </c>
    </row>
    <row r="76" spans="2:10" ht="12.75">
      <c r="B76" s="270"/>
      <c r="C76" s="145" t="s">
        <v>49</v>
      </c>
      <c r="D76" s="157"/>
      <c r="E76" s="274" t="s">
        <v>46</v>
      </c>
      <c r="G76" s="270"/>
      <c r="H76" s="160" t="str">
        <f>$E$76</f>
        <v>N-cm</v>
      </c>
      <c r="I76" s="157"/>
      <c r="J76" s="274" t="str">
        <f>$C$76</f>
        <v>lb-in</v>
      </c>
    </row>
    <row r="77" spans="2:10" ht="12.75">
      <c r="B77" s="275"/>
      <c r="C77" s="229">
        <v>1</v>
      </c>
      <c r="D77" s="146" t="s">
        <v>29</v>
      </c>
      <c r="E77" s="271">
        <f>$C$77*4.448221615*2.54</f>
        <v>11.2984829021</v>
      </c>
      <c r="G77" s="275"/>
      <c r="H77" s="227">
        <v>1</v>
      </c>
      <c r="I77" s="146" t="s">
        <v>29</v>
      </c>
      <c r="J77" s="267">
        <f>$H$77/4.448221615/2.54</f>
        <v>0.08850745791845509</v>
      </c>
    </row>
    <row r="78" spans="2:10" ht="12.75">
      <c r="B78" s="270"/>
      <c r="C78" s="145" t="s">
        <v>50</v>
      </c>
      <c r="D78" s="157"/>
      <c r="E78" s="273" t="s">
        <v>23</v>
      </c>
      <c r="G78" s="270"/>
      <c r="H78" s="145" t="str">
        <f>$E$78</f>
        <v>N-m</v>
      </c>
      <c r="I78" s="157"/>
      <c r="J78" s="273" t="str">
        <f>$C$78</f>
        <v>lb-ft</v>
      </c>
    </row>
    <row r="79" spans="2:10" ht="12.75">
      <c r="B79" s="270" t="s">
        <v>28</v>
      </c>
      <c r="C79" s="229">
        <v>1</v>
      </c>
      <c r="D79" s="146" t="s">
        <v>29</v>
      </c>
      <c r="E79" s="271">
        <f>$C$79*4.448221615*0.3048</f>
        <v>1.3558179482519999</v>
      </c>
      <c r="G79" s="270" t="s">
        <v>28</v>
      </c>
      <c r="H79" s="227">
        <v>1</v>
      </c>
      <c r="I79" s="146" t="s">
        <v>29</v>
      </c>
      <c r="J79" s="267">
        <f>$H$79/4.448221615/0.3048</f>
        <v>0.737562149320459</v>
      </c>
    </row>
    <row r="80" spans="2:10" ht="12.75">
      <c r="B80" s="270" t="s">
        <v>30</v>
      </c>
      <c r="C80" s="145" t="s">
        <v>51</v>
      </c>
      <c r="D80" s="157"/>
      <c r="E80" s="273" t="s">
        <v>47</v>
      </c>
      <c r="G80" s="270" t="s">
        <v>30</v>
      </c>
      <c r="H80" s="160" t="str">
        <f>$E$80</f>
        <v>KN-cm</v>
      </c>
      <c r="I80" s="157"/>
      <c r="J80" s="274" t="str">
        <f>$C$80</f>
        <v>kip-in</v>
      </c>
    </row>
    <row r="81" spans="2:10" ht="12.75">
      <c r="B81" s="270"/>
      <c r="C81" s="229">
        <v>1</v>
      </c>
      <c r="D81" s="146" t="s">
        <v>29</v>
      </c>
      <c r="E81" s="271">
        <f>$C$81*4.448221615*2.54</f>
        <v>11.2984829021</v>
      </c>
      <c r="G81" s="270"/>
      <c r="H81" s="227">
        <v>1</v>
      </c>
      <c r="I81" s="146" t="s">
        <v>29</v>
      </c>
      <c r="J81" s="267">
        <f>$H$81/4.448221615/2.54</f>
        <v>0.08850745791845509</v>
      </c>
    </row>
    <row r="82" spans="2:10" ht="12.75">
      <c r="B82" s="270"/>
      <c r="C82" s="145" t="s">
        <v>60</v>
      </c>
      <c r="D82" s="157"/>
      <c r="E82" s="273" t="s">
        <v>24</v>
      </c>
      <c r="G82" s="270"/>
      <c r="H82" s="145" t="str">
        <f>$E$82</f>
        <v>KN-m</v>
      </c>
      <c r="I82" s="157"/>
      <c r="J82" s="273" t="str">
        <f>$C$82</f>
        <v>kip-ft</v>
      </c>
    </row>
    <row r="83" spans="2:10" ht="13.5" thickBot="1">
      <c r="B83" s="276"/>
      <c r="C83" s="231">
        <v>1</v>
      </c>
      <c r="D83" s="149" t="s">
        <v>29</v>
      </c>
      <c r="E83" s="288">
        <f>$C$83*4.448221615*0.3048</f>
        <v>1.3558179482519999</v>
      </c>
      <c r="G83" s="276"/>
      <c r="H83" s="228">
        <v>1</v>
      </c>
      <c r="I83" s="149" t="s">
        <v>29</v>
      </c>
      <c r="J83" s="279">
        <f>$H$83/4.448221615/0.3048</f>
        <v>0.737562149320459</v>
      </c>
    </row>
    <row r="85" spans="2:10" ht="12.75">
      <c r="B85" s="33"/>
      <c r="C85" s="33"/>
      <c r="D85" s="33"/>
      <c r="E85" s="33"/>
      <c r="G85" s="33"/>
      <c r="H85" s="33"/>
      <c r="I85" s="33"/>
      <c r="J85" s="33"/>
    </row>
    <row r="86" spans="2:10" ht="12.75">
      <c r="B86" s="33"/>
      <c r="C86" s="33"/>
      <c r="D86" s="33"/>
      <c r="E86" s="33"/>
      <c r="F86" s="33"/>
      <c r="G86" s="33"/>
      <c r="H86" s="33"/>
      <c r="I86" s="33"/>
      <c r="J86" s="33"/>
    </row>
  </sheetData>
  <sheetProtection sheet="1" objects="1" scenarios="1"/>
  <dataValidations count="50">
    <dataValidation allowBlank="1" showInputMessage="1" showErrorMessage="1" promptTitle="kg = kilogram" prompt=" " sqref="E8 E10 H8 H10"/>
    <dataValidation allowBlank="1" showInputMessage="1" showErrorMessage="1" promptTitle="lb = pound (mass)" prompt=" " sqref="C8 J8"/>
    <dataValidation allowBlank="1" showInputMessage="1" showErrorMessage="1" promptTitle="N/cm^2 = Newton/centimeter^2" prompt=" " sqref="E30 H30"/>
    <dataValidation allowBlank="1" showInputMessage="1" showErrorMessage="1" promptTitle="KN/cm^2= kiloNewton/centimeter^2" prompt="1 KN = 1000 Newtons" sqref="E34 H34"/>
    <dataValidation allowBlank="1" showInputMessage="1" showErrorMessage="1" promptTitle="N-cm = Newton-centimeter" prompt=" " sqref="E76 H76"/>
    <dataValidation allowBlank="1" showInputMessage="1" showErrorMessage="1" promptTitle="KN-centimeter = kiloNewton-cm" prompt="1 KN = 1000 Newtons" sqref="E80 H80"/>
    <dataValidation allowBlank="1" showInputMessage="1" showErrorMessage="1" promptTitle="lb-in = pound-inch" prompt=" " sqref="C76 J76"/>
    <dataValidation allowBlank="1" showInputMessage="1" showErrorMessage="1" promptTitle="lb-ft = pound-foot" prompt=" " sqref="C78 J78"/>
    <dataValidation allowBlank="1" showInputMessage="1" showErrorMessage="1" promptTitle="kip-in = kip-inch" prompt="1 kip = 1000 lbs." sqref="C80 J80"/>
    <dataValidation allowBlank="1" showInputMessage="1" showErrorMessage="1" promptTitle="kip-ft = kip-foot" prompt="1 kip = 1000 lbs." sqref="C82 J82"/>
    <dataValidation allowBlank="1" showInputMessage="1" showErrorMessage="1" promptTitle="1 kip = 1000 lb (mass)" prompt=" " sqref="C10 J10"/>
    <dataValidation allowBlank="1" showInputMessage="1" showErrorMessage="1" promptTitle="lb = pound (force)" prompt=" " sqref="C4 J4"/>
    <dataValidation allowBlank="1" showInputMessage="1" showErrorMessage="1" promptTitle="1 kip = 1000 pound (force)" prompt=" " sqref="C6 J6"/>
    <dataValidation allowBlank="1" showInputMessage="1" showErrorMessage="1" promptTitle="lb/in = pound/inch" prompt=" " sqref="C12 J12 C20 J20"/>
    <dataValidation allowBlank="1" showInputMessage="1" showErrorMessage="1" promptTitle="lb/ft = pound/foot" prompt=" " sqref="C14 J14 C22 J22"/>
    <dataValidation allowBlank="1" showInputMessage="1" showErrorMessage="1" promptTitle="kip/in = kip/inch" prompt="1 kip = 1000 lbs." sqref="C16 J16 C26 J26"/>
    <dataValidation allowBlank="1" showInputMessage="1" showErrorMessage="1" promptTitle="kip/ft = kip/foot" prompt="1 kip = 1000 lbs." sqref="C18 J18 C28 J28"/>
    <dataValidation allowBlank="1" showInputMessage="1" showErrorMessage="1" promptTitle="lb/in^2 = pound/inch^2 = psi" prompt=" " sqref="J44 C30 J30 C44"/>
    <dataValidation allowBlank="1" showInputMessage="1" showErrorMessage="1" promptTitle="lb/ft^2 = pound/foot^2 = psf" prompt=" " sqref="J46 C46 C32 J32"/>
    <dataValidation allowBlank="1" showInputMessage="1" showErrorMessage="1" promptTitle="kip/in^2 = kip/inch^2 = ksi" prompt="1 kip = 1000 lbs." sqref="C48 J48 C34 J34 C36 C38 J36 J38"/>
    <dataValidation allowBlank="1" showInputMessage="1" showErrorMessage="1" promptTitle="N = Newton" prompt=" " sqref="E4 H4"/>
    <dataValidation allowBlank="1" showInputMessage="1" showErrorMessage="1" promptTitle="N/cm = Newton/centimeter" prompt=" " sqref="E12 H12"/>
    <dataValidation allowBlank="1" showInputMessage="1" showErrorMessage="1" promptTitle="N/m = Newton/meter" prompt=" " sqref="E14 H14"/>
    <dataValidation allowBlank="1" showInputMessage="1" showErrorMessage="1" promptTitle="KN/cm = kiloNewton/centimeter" prompt="1 KN = 1000 Newtons" sqref="E16 H16"/>
    <dataValidation allowBlank="1" showInputMessage="1" showErrorMessage="1" promptTitle="KN = kiloNewton" prompt="1 KN = 1000 Newtons" sqref="E6 H6"/>
    <dataValidation allowBlank="1" showInputMessage="1" showErrorMessage="1" promptTitle="KN/m = kiloNewton/meter" prompt="1 KN = 1000 Newtons" sqref="E18 H18"/>
    <dataValidation allowBlank="1" showInputMessage="1" showErrorMessage="1" promptTitle="N/m^2 = Newton/meter^2" prompt="N/m^2 = Pa = Pascal" sqref="E32 H32"/>
    <dataValidation allowBlank="1" showInputMessage="1" showErrorMessage="1" promptTitle="N-m = Newton-meter" prompt=" " sqref="E78 H78"/>
    <dataValidation allowBlank="1" showInputMessage="1" showErrorMessage="1" promptTitle="KN-meter = kiloNewton-meter" prompt="1 KN = 1000 Newtons" sqref="E82 H82"/>
    <dataValidation allowBlank="1" showInputMessage="1" showErrorMessage="1" promptTitle="kip/ft^2 = kip/foot^2 = ksf" prompt="1 kip = 1000 lbs." sqref="J50 C42 J42 C50 C40 J40"/>
    <dataValidation allowBlank="1" showInputMessage="1" showErrorMessage="1" promptTitle="kg/cm = kilogram/centimeter" prompt=" " sqref="H20 E20 E26"/>
    <dataValidation allowBlank="1" showInputMessage="1" showErrorMessage="1" promptTitle="kg/m = kilogram/meter" prompt=" " sqref="E22 H22 E28 H26 E24 H24 H28"/>
    <dataValidation allowBlank="1" showInputMessage="1" showErrorMessage="1" promptTitle="kg/cm^2 = kilogram/centimeter^2" prompt=" " sqref="E48 H44 H48 E44"/>
    <dataValidation allowBlank="1" showInputMessage="1" showErrorMessage="1" promptTitle="kg/m^2 = kilogram/meter^2" prompt=" " sqref="H50 H46 E46 E50"/>
    <dataValidation allowBlank="1" showInputMessage="1" showErrorMessage="1" promptTitle="lb/in^3 = pound/inch^3 = pci" prompt=" " sqref="C64 J64 C52 J52"/>
    <dataValidation allowBlank="1" showInputMessage="1" showErrorMessage="1" promptTitle="lb/ft^3 = pound/foot^3 = pcf" prompt=" " sqref="C66 J66 C54 J54"/>
    <dataValidation allowBlank="1" showInputMessage="1" showErrorMessage="1" promptTitle="kip/in^3 = kip/inch^3 = kci" prompt="1 kip = 1000 lbs." sqref="C70 J70 C58 J58"/>
    <dataValidation allowBlank="1" showInputMessage="1" showErrorMessage="1" promptTitle="kip/ft^3 = kip/foot^3 = kcf" prompt="1 kip = 1000 lbs." sqref="C72 J72 C60 J60"/>
    <dataValidation allowBlank="1" showInputMessage="1" showErrorMessage="1" promptTitle="kg/cm^3 = kilogram/centimeter^3" prompt=" " sqref="E64 H64 E70 H70"/>
    <dataValidation allowBlank="1" showInputMessage="1" showErrorMessage="1" promptTitle="kg/m^3 = kilogram/meter^3" prompt=" " sqref="E66 H66 E68 H68 E72 H72 E74 H74"/>
    <dataValidation allowBlank="1" showInputMessage="1" showErrorMessage="1" promptTitle="N/cm^3 = Newton/centimeter^3" prompt=" " sqref="E52 H52"/>
    <dataValidation allowBlank="1" showInputMessage="1" showErrorMessage="1" promptTitle="KN/cm^3= kiloNewton/centimeter^3" prompt="1 KN = 1000 Newtons" sqref="E58 H58"/>
    <dataValidation allowBlank="1" showInputMessage="1" showErrorMessage="1" promptTitle="N/m^3 = Newton/meter^3" prompt=" " sqref="E54 E56 H54 H56"/>
    <dataValidation allowBlank="1" showInputMessage="1" showErrorMessage="1" promptTitle="KN/m^3= kiloNewton/meter^3" prompt="1 KN = 1000 Newtons" sqref="E60 H60 H62 E62"/>
    <dataValidation allowBlank="1" showInputMessage="1" showErrorMessage="1" promptTitle="lb/yd = pound/yard" prompt="1 yard = 3.0 feet" sqref="J24"/>
    <dataValidation allowBlank="1" showInputMessage="1" showErrorMessage="1" promptTitle="lb/yd = pound/yard" prompt=" 1 yard = 3.0 feet" sqref="C24"/>
    <dataValidation allowBlank="1" showInputMessage="1" showErrorMessage="1" promptTitle="lb/yd^3 = pound/yard^3 = pcy" prompt=" 1 yard = 3.0 feet" sqref="C56 J56 C68 J68"/>
    <dataValidation allowBlank="1" showInputMessage="1" showErrorMessage="1" promptTitle="kip/yd^3 = kip/yard^3 = kcy" prompt="1 kip = 1000 lbs.&#10;1 yard = 3.0 feet" sqref="C62 J62 C74 J74"/>
    <dataValidation allowBlank="1" showInputMessage="1" showErrorMessage="1" promptTitle="KN/m^2 = kiloNewton/meter^2" prompt="KN/m^2 = KPa = kiloPascal" sqref="E40 H40 E36 H36"/>
    <dataValidation allowBlank="1" showInputMessage="1" showErrorMessage="1" promptTitle="MPa = MegaPascal" prompt="MPa = 1000 KN/m^2 = 1000 kiloPascal" sqref="E38 H38 H42 E42"/>
  </dataValidations>
  <printOptions/>
  <pageMargins left="1" right="0.5" top="1" bottom="1" header="0.5" footer="0.5"/>
  <pageSetup horizontalDpi="600" verticalDpi="600" orientation="landscape" scale="80" r:id="rId4"/>
  <rowBreaks count="1" manualBreakCount="1">
    <brk id="43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"CONVCALC" Program</dc:title>
  <dc:subject/>
  <dc:creator>Alex Tomanovich, P.E. - 151 Shadow Lane, Lyman SC 29365 - Home: 864-968-2699 - Email: ATomanovich@bellsouth.net</dc:creator>
  <cp:keywords/>
  <dc:description>Conversions Calculator</dc:description>
  <cp:lastModifiedBy>Fluor</cp:lastModifiedBy>
  <cp:lastPrinted>2010-12-30T13:37:44Z</cp:lastPrinted>
  <dcterms:created xsi:type="dcterms:W3CDTF">1999-11-22T20:04:47Z</dcterms:created>
  <dcterms:modified xsi:type="dcterms:W3CDTF">2015-06-19T13:03:20Z</dcterms:modified>
  <cp:category>Structural Engineering Analysis/Design</cp:category>
  <cp:version/>
  <cp:contentType/>
  <cp:contentStatus/>
</cp:coreProperties>
</file>