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3315" windowHeight="5535" tabRatio="649" activeTab="0"/>
  </bookViews>
  <sheets>
    <sheet name="Doc" sheetId="1" r:id="rId1"/>
    <sheet name="Steel Floor Plate Design" sheetId="2" r:id="rId2"/>
  </sheets>
  <definedNames>
    <definedName name="_xlnm.Print_Area" localSheetId="0">'Doc'!$A$1:$J$50</definedName>
    <definedName name="_xlnm.Print_Area" localSheetId="1">'Steel Floor Plate Design'!$A$1:$J$54</definedName>
  </definedNames>
  <calcPr fullCalcOnLoad="1"/>
</workbook>
</file>

<file path=xl/comments2.xml><?xml version="1.0" encoding="utf-8"?>
<comments xmlns="http://schemas.openxmlformats.org/spreadsheetml/2006/main">
  <authors>
    <author>Bob Dalpiaz</author>
    <author> </author>
  </authors>
  <commentList>
    <comment ref="AA1" authorId="0">
      <text>
        <r>
          <rPr>
            <sz val="8"/>
            <rFont val="Tahoma"/>
            <family val="0"/>
          </rPr>
          <t xml:space="preserve">              "</t>
        </r>
        <r>
          <rPr>
            <b/>
            <sz val="8"/>
            <rFont val="Tahoma"/>
            <family val="2"/>
          </rPr>
          <t>FLRPLATE.xls</t>
        </r>
        <r>
          <rPr>
            <sz val="8"/>
            <rFont val="Tahoma"/>
            <family val="0"/>
          </rPr>
          <t>"
written by:  Alex Tomanovich, P.E.</t>
        </r>
      </text>
    </comment>
    <comment ref="C15" authorId="1">
      <text>
        <r>
          <rPr>
            <sz val="8"/>
            <rFont val="Tahoma"/>
            <family val="2"/>
          </rPr>
          <t>The following is from the article "</t>
        </r>
        <r>
          <rPr>
            <i/>
            <sz val="8"/>
            <color indexed="12"/>
            <rFont val="Tahoma"/>
            <family val="2"/>
          </rPr>
          <t>Are You Properly Specifying Materials?</t>
        </r>
        <r>
          <rPr>
            <sz val="8"/>
            <rFont val="Tahoma"/>
            <family val="2"/>
          </rPr>
          <t>" by Charlie J. Carter, S.E., P.E. from "</t>
        </r>
        <r>
          <rPr>
            <sz val="8"/>
            <color indexed="12"/>
            <rFont val="Tahoma"/>
            <family val="2"/>
          </rPr>
          <t>Modern Steel Construction</t>
        </r>
        <r>
          <rPr>
            <sz val="8"/>
            <rFont val="Tahoma"/>
            <family val="2"/>
          </rPr>
          <t xml:space="preserve">" magazine, January 2004:
</t>
        </r>
        <r>
          <rPr>
            <b/>
            <u val="single"/>
            <sz val="8"/>
            <rFont val="Tahoma"/>
            <family val="2"/>
          </rPr>
          <t>Raised-Pattern Floor Plates</t>
        </r>
        <r>
          <rPr>
            <sz val="8"/>
            <rFont val="Tahoma"/>
            <family val="2"/>
          </rPr>
          <t xml:space="preserve">
ASTM A786 is the standard specification for rolled steel floor plates.  As floor plate design is seldom controlled by strength considerations, ASTM A786 "Commercial Grade" commonly is specified.
If so, per ASTM A786 Section 5.1.2, "the product will be supplied 0.33 percent maximum carbon and without specific mechanical properties".  
Alternatively, if a defined strength level is desired, ASTM A786 raised-pattern floor plate can be ordered to a defined plate specification, such as ASTM A36, A572, or A588; see ASTM A786 Sections 8 and Appendix Table X1.1.</t>
        </r>
      </text>
    </comment>
    <comment ref="C14" authorId="1">
      <text>
        <r>
          <rPr>
            <sz val="8"/>
            <rFont val="Tahoma"/>
            <family val="2"/>
          </rPr>
          <t>Note: if the user wishes to compare/verify results for one-way condition (L&gt;=8*S) bending stress calculated from formulas below against values in AISC Floor Plate Bending Capacity Table at right, then a value of Fy = 21.33 ksi should be selected.
Doing so would result in an allowable bending stress, Fb = 0.75*(21.33) = 16.0 ksi, which is the designated (assumed) extreme fiber allowable bending stress that was used in the AISC Table.</t>
        </r>
      </text>
    </comment>
  </commentList>
</comments>
</file>

<file path=xl/sharedStrings.xml><?xml version="1.0" encoding="utf-8"?>
<sst xmlns="http://schemas.openxmlformats.org/spreadsheetml/2006/main" count="292" uniqueCount="165">
  <si>
    <t>Job Name:</t>
  </si>
  <si>
    <t>Job Number:</t>
  </si>
  <si>
    <t>Checker:</t>
  </si>
  <si>
    <t>Originator:</t>
  </si>
  <si>
    <t>Subject:</t>
  </si>
  <si>
    <t>Input Data:</t>
  </si>
  <si>
    <t>Long Span of Plate, L =</t>
  </si>
  <si>
    <t>Short Span of Plate, S =</t>
  </si>
  <si>
    <t>Plate Thickness, t =</t>
  </si>
  <si>
    <t>in.</t>
  </si>
  <si>
    <t>psf</t>
  </si>
  <si>
    <t>ft.</t>
  </si>
  <si>
    <t>Uniform Live Load, wLL =</t>
  </si>
  <si>
    <t>Results:</t>
  </si>
  <si>
    <t>Unif. Dead Load, wDL =</t>
  </si>
  <si>
    <t>wDL (psf)</t>
  </si>
  <si>
    <t>t (in.)</t>
  </si>
  <si>
    <t>psi</t>
  </si>
  <si>
    <t>References:</t>
  </si>
  <si>
    <t>All Edges Condition =</t>
  </si>
  <si>
    <t>Pinned</t>
  </si>
  <si>
    <t>Fixed</t>
  </si>
  <si>
    <t>Mod. of Elasticity, E =</t>
  </si>
  <si>
    <t>E = 29,000,000 psi (assumed value for steel)</t>
  </si>
  <si>
    <r>
      <t>Unif. Load, w</t>
    </r>
    <r>
      <rPr>
        <sz val="8"/>
        <color indexed="8"/>
        <rFont val="Arial"/>
        <family val="2"/>
      </rPr>
      <t>(total)</t>
    </r>
    <r>
      <rPr>
        <sz val="10"/>
        <color indexed="8"/>
        <rFont val="Arial"/>
        <family val="2"/>
      </rPr>
      <t xml:space="preserve"> =</t>
    </r>
  </si>
  <si>
    <r>
      <t>fb</t>
    </r>
    <r>
      <rPr>
        <sz val="8"/>
        <color indexed="8"/>
        <rFont val="Arial"/>
        <family val="2"/>
      </rPr>
      <t>(max)</t>
    </r>
    <r>
      <rPr>
        <sz val="10"/>
        <color indexed="8"/>
        <rFont val="Arial"/>
        <family val="2"/>
      </rPr>
      <t xml:space="preserve"> =</t>
    </r>
  </si>
  <si>
    <r>
      <t>Fb</t>
    </r>
    <r>
      <rPr>
        <sz val="8"/>
        <color indexed="8"/>
        <rFont val="Arial"/>
        <family val="2"/>
      </rPr>
      <t>(allow)</t>
    </r>
    <r>
      <rPr>
        <sz val="10"/>
        <color indexed="8"/>
        <rFont val="Arial"/>
        <family val="2"/>
      </rPr>
      <t xml:space="preserve"> =</t>
    </r>
  </si>
  <si>
    <r>
      <t>D</t>
    </r>
    <r>
      <rPr>
        <sz val="8"/>
        <color indexed="8"/>
        <rFont val="Arial"/>
        <family val="2"/>
      </rPr>
      <t>(max)</t>
    </r>
    <r>
      <rPr>
        <sz val="10"/>
        <color indexed="8"/>
        <rFont val="Arial"/>
        <family val="2"/>
      </rPr>
      <t xml:space="preserve"> =</t>
    </r>
  </si>
  <si>
    <t>wDL = floor plate self-weight in psf (per Reference #1)</t>
  </si>
  <si>
    <t>Flexural Stress:</t>
  </si>
  <si>
    <t>Deflection:</t>
  </si>
  <si>
    <t>1/8</t>
  </si>
  <si>
    <t>3/16</t>
  </si>
  <si>
    <t>1/4</t>
  </si>
  <si>
    <t>5/16</t>
  </si>
  <si>
    <t>3/8</t>
  </si>
  <si>
    <t>7/16</t>
  </si>
  <si>
    <t>1/2</t>
  </si>
  <si>
    <t>9/16</t>
  </si>
  <si>
    <t>5/8</t>
  </si>
  <si>
    <t>2</t>
  </si>
  <si>
    <t>11/16</t>
  </si>
  <si>
    <t>3/4</t>
  </si>
  <si>
    <t>13/16</t>
  </si>
  <si>
    <t>7/8</t>
  </si>
  <si>
    <t>15/16</t>
  </si>
  <si>
    <t>1</t>
  </si>
  <si>
    <t>1-1/16</t>
  </si>
  <si>
    <t>1-1/8</t>
  </si>
  <si>
    <t>1-3/16</t>
  </si>
  <si>
    <t>1-1/4</t>
  </si>
  <si>
    <t>1-5/16</t>
  </si>
  <si>
    <t>1-3/8</t>
  </si>
  <si>
    <t>1-7/16</t>
  </si>
  <si>
    <t>1-1/2</t>
  </si>
  <si>
    <t>1-9/16</t>
  </si>
  <si>
    <t>1-5/8</t>
  </si>
  <si>
    <t>1-11/16</t>
  </si>
  <si>
    <t>1-3/4</t>
  </si>
  <si>
    <t>1-13/16</t>
  </si>
  <si>
    <t>1-7/8</t>
  </si>
  <si>
    <t>1-15/16</t>
  </si>
  <si>
    <t>2'-0"</t>
  </si>
  <si>
    <t>1'-6"</t>
  </si>
  <si>
    <t>2'-6"</t>
  </si>
  <si>
    <t>3'-0"</t>
  </si>
  <si>
    <t>3'-6"</t>
  </si>
  <si>
    <t>4'-0"</t>
  </si>
  <si>
    <t>4'-6"</t>
  </si>
  <si>
    <t>5'-0"</t>
  </si>
  <si>
    <t>6'-0"</t>
  </si>
  <si>
    <t>7'-0"</t>
  </si>
  <si>
    <t>(in.)</t>
  </si>
  <si>
    <t>(psf)</t>
  </si>
  <si>
    <t>Weight</t>
  </si>
  <si>
    <t>Plate</t>
  </si>
  <si>
    <t>Thickness</t>
  </si>
  <si>
    <t>Theoretical</t>
  </si>
  <si>
    <t>(in.^3/ft.)</t>
  </si>
  <si>
    <t>Section</t>
  </si>
  <si>
    <t>Modulus</t>
  </si>
  <si>
    <t>SPAN</t>
  </si>
  <si>
    <t>Deflection</t>
  </si>
  <si>
    <t>Coefficient</t>
  </si>
  <si>
    <t>E = 29,000 ksi</t>
  </si>
  <si>
    <r>
      <t>D</t>
    </r>
    <r>
      <rPr>
        <sz val="8"/>
        <color indexed="8"/>
        <rFont val="Arial"/>
        <family val="2"/>
      </rPr>
      <t>(ratio)</t>
    </r>
    <r>
      <rPr>
        <sz val="10"/>
        <color indexed="8"/>
        <rFont val="Arial"/>
        <family val="2"/>
      </rPr>
      <t xml:space="preserve"> =</t>
    </r>
  </si>
  <si>
    <r>
      <t xml:space="preserve">Allow. </t>
    </r>
    <r>
      <rPr>
        <sz val="10"/>
        <color indexed="8"/>
        <rFont val="Symbol"/>
        <family val="1"/>
      </rPr>
      <t>D</t>
    </r>
    <r>
      <rPr>
        <sz val="8"/>
        <color indexed="8"/>
        <rFont val="Arial"/>
        <family val="2"/>
      </rPr>
      <t>(ratio)</t>
    </r>
    <r>
      <rPr>
        <sz val="10"/>
        <color indexed="8"/>
        <rFont val="Arial"/>
        <family val="2"/>
      </rPr>
      <t xml:space="preserve"> =</t>
    </r>
  </si>
  <si>
    <t>---</t>
  </si>
  <si>
    <t>2.  To find the actual deflections for the loads given above, divide the coefficient of deflection for the span by the thickness of the plate in inches.</t>
  </si>
  <si>
    <t>3.  To find the deflection caused by loads less than shown above, first find the deflection caused by the loads given above.  Multiply this by the</t>
  </si>
  <si>
    <t>Nomenclature for Rectangular Flat Plates</t>
  </si>
  <si>
    <t>All Edges Pinned</t>
  </si>
  <si>
    <t>All Edges Fixed</t>
  </si>
  <si>
    <r>
      <t xml:space="preserve">Aspect Ratio, </t>
    </r>
    <r>
      <rPr>
        <sz val="10"/>
        <rFont val="Symbol"/>
        <family val="1"/>
      </rPr>
      <t>a</t>
    </r>
    <r>
      <rPr>
        <sz val="10"/>
        <rFont val="Arial"/>
        <family val="0"/>
      </rPr>
      <t xml:space="preserve"> =</t>
    </r>
  </si>
  <si>
    <r>
      <t>a</t>
    </r>
    <r>
      <rPr>
        <sz val="10"/>
        <rFont val="Arial"/>
        <family val="0"/>
      </rPr>
      <t xml:space="preserve"> = S/L</t>
    </r>
  </si>
  <si>
    <r>
      <t>D</t>
    </r>
    <r>
      <rPr>
        <sz val="8"/>
        <color indexed="12"/>
        <rFont val="Arial"/>
        <family val="2"/>
      </rPr>
      <t>(max)</t>
    </r>
    <r>
      <rPr>
        <sz val="10"/>
        <color indexed="12"/>
        <rFont val="Arial"/>
        <family val="2"/>
      </rPr>
      <t xml:space="preserve"> for one-way span (pinned edges) =</t>
    </r>
  </si>
  <si>
    <r>
      <t>D</t>
    </r>
    <r>
      <rPr>
        <sz val="8"/>
        <color indexed="12"/>
        <rFont val="Arial"/>
        <family val="2"/>
      </rPr>
      <t>(max)</t>
    </r>
    <r>
      <rPr>
        <sz val="10"/>
        <color indexed="12"/>
        <rFont val="Arial"/>
        <family val="2"/>
      </rPr>
      <t xml:space="preserve"> for one-way span (fixed edges) =</t>
    </r>
  </si>
  <si>
    <t>For reference and results comparison purposes:</t>
  </si>
  <si>
    <t>For Rectangular Flat Plates Subjected to Uniformly Distributed Live Loading</t>
  </si>
  <si>
    <t>Program Description:</t>
  </si>
  <si>
    <t>This program is a workbook consisting of two (2) worksheets, described as follows:</t>
  </si>
  <si>
    <t>Worksheet Name</t>
  </si>
  <si>
    <t>Description</t>
  </si>
  <si>
    <t>Doc</t>
  </si>
  <si>
    <t>This documentation sheet</t>
  </si>
  <si>
    <t>Program Assumptions and Limitations:</t>
  </si>
  <si>
    <t>"FLRPLATE" --- STEEL CHECKERED FLOOR PLATE DESIGN</t>
  </si>
  <si>
    <t>Steel Floor Plate Design</t>
  </si>
  <si>
    <t>Steel checkered floor plate design for uniformly distributed loading</t>
  </si>
  <si>
    <t>"FLRPLATE" is a spreadsheet program written in MS-Excel for the purpose of designing steel checkered floor</t>
  </si>
  <si>
    <t>plate subjected to uniformly distributed loading.</t>
  </si>
  <si>
    <t xml:space="preserve">2.   This program follows the procedures and guidelines of the AISC 9th Edition Allowable Stress (ASD) Manual,  </t>
  </si>
  <si>
    <t xml:space="preserve">      for Stress and Strain", by Raymond J. Roark, for rectangular flat plates subjected to uniform pressure.</t>
  </si>
  <si>
    <r>
      <t>fb</t>
    </r>
    <r>
      <rPr>
        <sz val="8"/>
        <color indexed="12"/>
        <rFont val="Arial"/>
        <family val="2"/>
      </rPr>
      <t>(max)</t>
    </r>
    <r>
      <rPr>
        <sz val="10"/>
        <color indexed="12"/>
        <rFont val="Arial"/>
        <family val="2"/>
      </rPr>
      <t xml:space="preserve"> for one-way span (pinned edges) =</t>
    </r>
  </si>
  <si>
    <r>
      <t>fb</t>
    </r>
    <r>
      <rPr>
        <sz val="8"/>
        <color indexed="12"/>
        <rFont val="Arial"/>
        <family val="2"/>
      </rPr>
      <t>(max)</t>
    </r>
    <r>
      <rPr>
        <sz val="10"/>
        <color indexed="12"/>
        <rFont val="Arial"/>
        <family val="2"/>
      </rPr>
      <t xml:space="preserve"> for one-way span (fixed edges) =</t>
    </r>
  </si>
  <si>
    <r>
      <t>D</t>
    </r>
    <r>
      <rPr>
        <sz val="8"/>
        <color indexed="12"/>
        <rFont val="Arial"/>
        <family val="2"/>
      </rPr>
      <t>(max)</t>
    </r>
    <r>
      <rPr>
        <sz val="10"/>
        <color indexed="12"/>
        <rFont val="Arial"/>
        <family val="2"/>
      </rPr>
      <t xml:space="preserve"> = 5*w</t>
    </r>
    <r>
      <rPr>
        <sz val="8"/>
        <color indexed="12"/>
        <rFont val="Arial"/>
        <family val="2"/>
      </rPr>
      <t>(total)</t>
    </r>
    <r>
      <rPr>
        <sz val="10"/>
        <color indexed="12"/>
        <rFont val="Arial"/>
        <family val="2"/>
      </rPr>
      <t>/12*(S*12)^4/(384*E*I</t>
    </r>
    <r>
      <rPr>
        <sz val="8"/>
        <color indexed="12"/>
        <rFont val="Arial"/>
        <family val="2"/>
      </rPr>
      <t>x</t>
    </r>
    <r>
      <rPr>
        <sz val="10"/>
        <color indexed="12"/>
        <rFont val="Arial"/>
        <family val="2"/>
      </rPr>
      <t>)  ,  I</t>
    </r>
    <r>
      <rPr>
        <sz val="8"/>
        <color indexed="12"/>
        <rFont val="Arial"/>
        <family val="2"/>
      </rPr>
      <t>x</t>
    </r>
    <r>
      <rPr>
        <sz val="10"/>
        <color indexed="12"/>
        <rFont val="Arial"/>
        <family val="2"/>
      </rPr>
      <t xml:space="preserve"> =12*t^3/12</t>
    </r>
  </si>
  <si>
    <r>
      <t>D</t>
    </r>
    <r>
      <rPr>
        <sz val="8"/>
        <color indexed="12"/>
        <rFont val="Arial"/>
        <family val="2"/>
      </rPr>
      <t>(max)</t>
    </r>
    <r>
      <rPr>
        <sz val="10"/>
        <color indexed="12"/>
        <rFont val="Arial"/>
        <family val="2"/>
      </rPr>
      <t xml:space="preserve"> =    w</t>
    </r>
    <r>
      <rPr>
        <sz val="8"/>
        <color indexed="12"/>
        <rFont val="Arial"/>
        <family val="2"/>
      </rPr>
      <t>(total)</t>
    </r>
    <r>
      <rPr>
        <sz val="10"/>
        <color indexed="12"/>
        <rFont val="Arial"/>
        <family val="2"/>
      </rPr>
      <t>/12*(S*12)^4/(384*E*I</t>
    </r>
    <r>
      <rPr>
        <sz val="8"/>
        <color indexed="12"/>
        <rFont val="Arial"/>
        <family val="2"/>
      </rPr>
      <t>x</t>
    </r>
    <r>
      <rPr>
        <sz val="10"/>
        <color indexed="12"/>
        <rFont val="Arial"/>
        <family val="2"/>
      </rPr>
      <t>)  ,  I</t>
    </r>
    <r>
      <rPr>
        <sz val="8"/>
        <color indexed="12"/>
        <rFont val="Arial"/>
        <family val="2"/>
      </rPr>
      <t>x</t>
    </r>
    <r>
      <rPr>
        <sz val="10"/>
        <color indexed="12"/>
        <rFont val="Arial"/>
        <family val="2"/>
      </rPr>
      <t xml:space="preserve"> =12*t^3/12</t>
    </r>
  </si>
  <si>
    <t>(for assumed 12" wide strip of plate spanning in short (S) direction)</t>
  </si>
  <si>
    <t xml:space="preserve">      plate long span, 'L', which is input should be at least 8 times the value of the plate short span, 'S'.</t>
  </si>
  <si>
    <t>4.  Loads in table are based on an extreme fiber stress of 16 ksi and simple beam (pinned supports), one-way span bending.</t>
  </si>
  <si>
    <t>5.  Loads in table include self-weight of plate based on a one (1) foot strip width.</t>
  </si>
  <si>
    <r>
      <t>1.  Loads above and to the right of the heavy black lines (in "</t>
    </r>
    <r>
      <rPr>
        <sz val="10"/>
        <color indexed="14"/>
        <rFont val="Arial"/>
        <family val="2"/>
      </rPr>
      <t>pink shaded</t>
    </r>
    <r>
      <rPr>
        <sz val="10"/>
        <color indexed="8"/>
        <rFont val="Arial"/>
        <family val="2"/>
      </rPr>
      <t>" area) will cause deflections of more than 1/100 of the span.</t>
    </r>
  </si>
  <si>
    <t>2.  "Design of Welded Structures", by Omer W. Blodgett (James F. Lincoln Arc Welding Foundation)</t>
  </si>
  <si>
    <t xml:space="preserve">1.   This program utilizes the formulas given in "Design of Welded Structures" by Omer W. Blodgett (James F. </t>
  </si>
  <si>
    <t xml:space="preserve">      Lincoln Arc Welding Foundation) in Table 1 on page 6.5-4.  The formulas therein were taken from "Formulas </t>
  </si>
  <si>
    <t xml:space="preserve">      These same formulas are found in "Design of Weldments" by Omer W. Blodgett (James F. Lincoln Arc </t>
  </si>
  <si>
    <t xml:space="preserve">      Welding Foundation) in Table 1 on page 4.6-4 as well.</t>
  </si>
  <si>
    <t xml:space="preserve">      Table 1, page 6.5-4 - taken from "Formulas for Stress and Strain" by Raymond J. Roark.</t>
  </si>
  <si>
    <t xml:space="preserve">      These same formulas are found in "Design of Weldments" by Omer W. Blodgett (James F.  </t>
  </si>
  <si>
    <t xml:space="preserve">      Lincoln Arc Welding Foundation) in Table 1 on page 4.6-4.</t>
  </si>
  <si>
    <t>Comments:</t>
  </si>
  <si>
    <t>Yield Stress, Fy =</t>
  </si>
  <si>
    <t>Allow. Deflection Ratio =</t>
  </si>
  <si>
    <t>S/100</t>
  </si>
  <si>
    <t>S/164</t>
  </si>
  <si>
    <t>S/180</t>
  </si>
  <si>
    <t>S/240</t>
  </si>
  <si>
    <t>S/360</t>
  </si>
  <si>
    <t>ksi</t>
  </si>
  <si>
    <r>
      <t>fb</t>
    </r>
    <r>
      <rPr>
        <sz val="8"/>
        <color indexed="12"/>
        <rFont val="Arial"/>
        <family val="2"/>
      </rPr>
      <t>(max)</t>
    </r>
    <r>
      <rPr>
        <sz val="10"/>
        <color indexed="12"/>
        <rFont val="Arial"/>
        <family val="2"/>
      </rPr>
      <t xml:space="preserve"> = w</t>
    </r>
    <r>
      <rPr>
        <sz val="8"/>
        <color indexed="12"/>
        <rFont val="Arial"/>
        <family val="2"/>
      </rPr>
      <t>(total)</t>
    </r>
    <r>
      <rPr>
        <sz val="10"/>
        <color indexed="12"/>
        <rFont val="Arial"/>
        <family val="2"/>
      </rPr>
      <t>/12*(S*12)^2/(8*S</t>
    </r>
    <r>
      <rPr>
        <sz val="8"/>
        <color indexed="12"/>
        <rFont val="Arial"/>
        <family val="2"/>
      </rPr>
      <t>x</t>
    </r>
    <r>
      <rPr>
        <sz val="10"/>
        <color indexed="12"/>
        <rFont val="Arial"/>
        <family val="2"/>
      </rPr>
      <t>)/1000  ,  S</t>
    </r>
    <r>
      <rPr>
        <sz val="8"/>
        <color indexed="12"/>
        <rFont val="Arial"/>
        <family val="2"/>
      </rPr>
      <t>x</t>
    </r>
    <r>
      <rPr>
        <sz val="10"/>
        <color indexed="12"/>
        <rFont val="Arial"/>
        <family val="2"/>
      </rPr>
      <t xml:space="preserve"> = 12*t^2/6</t>
    </r>
  </si>
  <si>
    <r>
      <t>fb</t>
    </r>
    <r>
      <rPr>
        <sz val="8"/>
        <color indexed="12"/>
        <rFont val="Arial"/>
        <family val="2"/>
      </rPr>
      <t>(max)</t>
    </r>
    <r>
      <rPr>
        <sz val="10"/>
        <color indexed="12"/>
        <rFont val="Arial"/>
        <family val="2"/>
      </rPr>
      <t xml:space="preserve"> = w(total)/12*(S*12)^2/(12*S</t>
    </r>
    <r>
      <rPr>
        <sz val="8"/>
        <color indexed="12"/>
        <rFont val="Arial"/>
        <family val="2"/>
      </rPr>
      <t>x</t>
    </r>
    <r>
      <rPr>
        <sz val="10"/>
        <color indexed="12"/>
        <rFont val="Arial"/>
        <family val="2"/>
      </rPr>
      <t>)/1000  ,  S</t>
    </r>
    <r>
      <rPr>
        <sz val="8"/>
        <color indexed="12"/>
        <rFont val="Arial"/>
        <family val="2"/>
      </rPr>
      <t>x</t>
    </r>
    <r>
      <rPr>
        <sz val="10"/>
        <color indexed="12"/>
        <rFont val="Arial"/>
        <family val="2"/>
      </rPr>
      <t xml:space="preserve"> = 12*t^2/6</t>
    </r>
  </si>
  <si>
    <r>
      <t>w</t>
    </r>
    <r>
      <rPr>
        <sz val="8"/>
        <color indexed="8"/>
        <rFont val="Arial"/>
        <family val="2"/>
      </rPr>
      <t>(total)</t>
    </r>
    <r>
      <rPr>
        <sz val="10"/>
        <color indexed="8"/>
        <rFont val="Arial"/>
        <family val="2"/>
      </rPr>
      <t xml:space="preserve"> = wDL+wLL</t>
    </r>
  </si>
  <si>
    <r>
      <t>D</t>
    </r>
    <r>
      <rPr>
        <sz val="8"/>
        <color indexed="8"/>
        <rFont val="Arial"/>
        <family val="2"/>
      </rPr>
      <t>(ratio)</t>
    </r>
    <r>
      <rPr>
        <sz val="10"/>
        <color indexed="8"/>
        <rFont val="Arial"/>
        <family val="2"/>
      </rPr>
      <t xml:space="preserve"> = (S*12)/</t>
    </r>
    <r>
      <rPr>
        <sz val="10"/>
        <color indexed="8"/>
        <rFont val="Symbol"/>
        <family val="1"/>
      </rPr>
      <t>D</t>
    </r>
    <r>
      <rPr>
        <sz val="8"/>
        <color indexed="8"/>
        <rFont val="Arial"/>
        <family val="2"/>
      </rPr>
      <t>(max)</t>
    </r>
  </si>
  <si>
    <t>1.  AISC Manual of Steel Construction (ASD) 9th Edition (Fourth Impression, 9/00), page 2-145.</t>
  </si>
  <si>
    <t xml:space="preserve">      (Fourth Impression 9/00), and the "Floor Plate Bending Capacity" Table found on page 2-145 is replicated off  </t>
  </si>
  <si>
    <t xml:space="preserve">     actual load and divide by the load given above.</t>
  </si>
  <si>
    <t>FLOOR PLATE BENDING CAPACITY</t>
  </si>
  <si>
    <t>FLOOR PLATE UNIFORM LOADING CAPACITY</t>
  </si>
  <si>
    <t xml:space="preserve">      of the main calculation worksheet at the right side of the screen.  Also, at the right side of the screen, there </t>
  </si>
  <si>
    <t xml:space="preserve">      are two (2) additional allowable uniform loading tables, one based on flexural strength and the other based </t>
  </si>
  <si>
    <t xml:space="preserve">      on deflection criteria.  Both of these tables consider the user input value of the plate yield stress, 'Fy'.</t>
  </si>
  <si>
    <t>with Either All Edges Pinned or All Edges Fixed (per AISC 9th Edition ASD Manual)</t>
  </si>
  <si>
    <t xml:space="preserve">3.   If the user desires to simulate true one-way span action for the plate analysis and design, then a value of the </t>
  </si>
  <si>
    <t>Yes</t>
  </si>
  <si>
    <t>No</t>
  </si>
  <si>
    <t>Version 1.6</t>
  </si>
  <si>
    <r>
      <t>Fb</t>
    </r>
    <r>
      <rPr>
        <sz val="8"/>
        <rFont val="Arial"/>
        <family val="2"/>
      </rPr>
      <t>(allow)</t>
    </r>
    <r>
      <rPr>
        <sz val="10"/>
        <rFont val="Arial"/>
        <family val="0"/>
      </rPr>
      <t xml:space="preserve"> = 0.75*Fy</t>
    </r>
  </si>
  <si>
    <t>STEEL FLOOR PLATE DESIGN</t>
  </si>
  <si>
    <r>
      <t xml:space="preserve">Limit Fb(allow) = 16 </t>
    </r>
    <r>
      <rPr>
        <sz val="8"/>
        <color indexed="8"/>
        <rFont val="Arial"/>
        <family val="2"/>
      </rPr>
      <t>ksi</t>
    </r>
    <r>
      <rPr>
        <sz val="10"/>
        <color indexed="8"/>
        <rFont val="Arial"/>
        <family val="0"/>
      </rPr>
      <t>?</t>
    </r>
  </si>
  <si>
    <r>
      <t>Notes:</t>
    </r>
    <r>
      <rPr>
        <sz val="8"/>
        <color indexed="12"/>
        <rFont val="Arial"/>
        <family val="2"/>
      </rPr>
      <t xml:space="preserve"> 1. To simulate one-way action for floor plate, </t>
    </r>
  </si>
  <si>
    <t xml:space="preserve">               use a minimum value of L &gt;= 8*S.</t>
  </si>
  <si>
    <r>
      <t xml:space="preserve">           </t>
    </r>
    <r>
      <rPr>
        <sz val="8"/>
        <color indexed="12"/>
        <rFont val="Arial"/>
        <family val="0"/>
      </rPr>
      <t>2. Use floor plate yield stress, Fy = 21.33 ksi</t>
    </r>
  </si>
  <si>
    <t xml:space="preserve">               when limiting Fb(allow) = 16 ksi.</t>
  </si>
  <si>
    <t>From Table on page 2-145 of AISC 9th Edition Manual:</t>
  </si>
  <si>
    <t>Based on Fb = 16.0 ksi (for One-Way Plate Bending with Pinned Supports)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</si>
</sst>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0000"/>
    <numFmt numFmtId="171" formatCode="0.000000000"/>
    <numFmt numFmtId="172" formatCode="0.000E+00"/>
    <numFmt numFmtId="173" formatCode="00000"/>
    <numFmt numFmtId="174" formatCode="0.0000000000"/>
    <numFmt numFmtId="175" formatCode="0.000000000000"/>
    <numFmt numFmtId="176" formatCode="0.00000000000000000"/>
    <numFmt numFmtId="177" formatCode="0.0000000000000000"/>
    <numFmt numFmtId="178" formatCode="0.000000000000000000"/>
    <numFmt numFmtId="179" formatCode="0.0000000000000000000"/>
    <numFmt numFmtId="180" formatCode="0.000000000000000"/>
    <numFmt numFmtId="181" formatCode="0.00000000000000"/>
    <numFmt numFmtId="182" formatCode="0.0000000000000"/>
    <numFmt numFmtId="183" formatCode="0.00000000000"/>
    <numFmt numFmtId="184" formatCode="&quot;$&quot;#,##0\ ;\(&quot;$&quot;#,##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0.00_)"/>
    <numFmt numFmtId="195" formatCode="0.000_)"/>
    <numFmt numFmtId="196" formatCode=".00"/>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 numFmtId="218" formatCode="0.00\ \k"/>
    <numFmt numFmtId="219" formatCode="0.00\ \f\t\-\k"/>
    <numFmt numFmtId="220" formatCode="0.00\ \f\t."/>
    <numFmt numFmtId="221" formatCode="0.000\ \i\n."/>
    <numFmt numFmtId="222" formatCode="0.0000\ \f\t."/>
    <numFmt numFmtId="223" formatCode="0.00\ \i\n.\^\4"/>
    <numFmt numFmtId="224" formatCode="0.0000\ \k\p\f"/>
    <numFmt numFmtId="225" formatCode="#\ ???/???"/>
  </numFmts>
  <fonts count="38">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sz val="10"/>
      <name val="Symbol"/>
      <family val="1"/>
    </font>
    <font>
      <sz val="10"/>
      <color indexed="12"/>
      <name val="Symbol"/>
      <family val="1"/>
    </font>
    <font>
      <sz val="10"/>
      <color indexed="8"/>
      <name val="Symbol"/>
      <family val="1"/>
    </font>
    <font>
      <b/>
      <u val="single"/>
      <sz val="10"/>
      <color indexed="8"/>
      <name val="Arial"/>
      <family val="2"/>
    </font>
    <font>
      <sz val="8"/>
      <color indexed="8"/>
      <name val="Arial"/>
      <family val="2"/>
    </font>
    <font>
      <sz val="10"/>
      <color indexed="24"/>
      <name val="Arial"/>
      <family val="0"/>
    </font>
    <font>
      <u val="single"/>
      <sz val="10"/>
      <color indexed="36"/>
      <name val="Arial"/>
      <family val="0"/>
    </font>
    <font>
      <b/>
      <sz val="18"/>
      <color indexed="24"/>
      <name val="Arial"/>
      <family val="0"/>
    </font>
    <font>
      <b/>
      <sz val="12"/>
      <color indexed="24"/>
      <name val="Arial"/>
      <family val="0"/>
    </font>
    <font>
      <u val="single"/>
      <sz val="10"/>
      <color indexed="12"/>
      <name val="Arial"/>
      <family val="0"/>
    </font>
    <font>
      <sz val="8"/>
      <name val="Arial"/>
      <family val="0"/>
    </font>
    <font>
      <b/>
      <sz val="10"/>
      <color indexed="8"/>
      <name val="Arial"/>
      <family val="2"/>
    </font>
    <font>
      <b/>
      <i/>
      <u val="single"/>
      <sz val="10"/>
      <color indexed="8"/>
      <name val="Arial"/>
      <family val="2"/>
    </font>
    <font>
      <b/>
      <i/>
      <sz val="10"/>
      <color indexed="8"/>
      <name val="Arial"/>
      <family val="2"/>
    </font>
    <font>
      <sz val="8"/>
      <color indexed="12"/>
      <name val="Arial"/>
      <family val="2"/>
    </font>
    <font>
      <sz val="8"/>
      <name val="Tahoma"/>
      <family val="0"/>
    </font>
    <font>
      <b/>
      <sz val="8"/>
      <name val="Tahoma"/>
      <family val="2"/>
    </font>
    <font>
      <sz val="9"/>
      <color indexed="8"/>
      <name val="Arial"/>
      <family val="0"/>
    </font>
    <font>
      <sz val="9"/>
      <color indexed="12"/>
      <name val="Arial"/>
      <family val="0"/>
    </font>
    <font>
      <sz val="8"/>
      <color indexed="10"/>
      <name val="Arial"/>
      <family val="2"/>
    </font>
    <font>
      <b/>
      <u val="single"/>
      <sz val="12"/>
      <name val="Arial"/>
      <family val="2"/>
    </font>
    <font>
      <sz val="9"/>
      <name val="Arial"/>
      <family val="2"/>
    </font>
    <font>
      <b/>
      <sz val="9"/>
      <name val="Arial"/>
      <family val="2"/>
    </font>
    <font>
      <b/>
      <u val="single"/>
      <sz val="10"/>
      <color indexed="12"/>
      <name val="Arial"/>
      <family val="2"/>
    </font>
    <font>
      <sz val="10"/>
      <color indexed="14"/>
      <name val="Arial"/>
      <family val="2"/>
    </font>
    <font>
      <sz val="10"/>
      <color indexed="41"/>
      <name val="Arial"/>
      <family val="2"/>
    </font>
    <font>
      <b/>
      <u val="single"/>
      <sz val="8"/>
      <name val="Tahoma"/>
      <family val="2"/>
    </font>
    <font>
      <i/>
      <sz val="8"/>
      <color indexed="12"/>
      <name val="Tahoma"/>
      <family val="2"/>
    </font>
    <font>
      <sz val="8"/>
      <color indexed="12"/>
      <name val="Tahoma"/>
      <family val="2"/>
    </font>
    <font>
      <u val="single"/>
      <sz val="8"/>
      <color indexed="12"/>
      <name val="Arial"/>
      <family val="2"/>
    </font>
    <font>
      <b/>
      <sz val="8"/>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25">
    <border>
      <left/>
      <right/>
      <top/>
      <bottom/>
      <diagonal/>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color indexed="22"/>
      </top>
      <bottom style="thin">
        <color indexed="22"/>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color indexed="22"/>
      </bottom>
    </border>
    <border>
      <left style="thin"/>
      <right style="thin"/>
      <top style="thin">
        <color indexed="22"/>
      </top>
      <bottom style="thin"/>
    </border>
    <border>
      <left style="thin"/>
      <right style="thin"/>
      <top style="thin"/>
      <bottom>
        <color indexed="63"/>
      </bottom>
    </border>
    <border>
      <left style="thin"/>
      <right style="thin"/>
      <top>
        <color indexed="63"/>
      </top>
      <bottom>
        <color indexed="63"/>
      </bottom>
    </border>
    <border>
      <left style="thin"/>
      <right style="thin"/>
      <top style="thin">
        <color indexed="22"/>
      </top>
      <bottom>
        <color indexed="63"/>
      </bottom>
    </border>
    <border>
      <left style="thin"/>
      <right style="thin"/>
      <top>
        <color indexed="63"/>
      </top>
      <bottom style="thin">
        <color indexed="22"/>
      </bottom>
    </border>
    <border>
      <left style="thin"/>
      <right style="thin"/>
      <top style="thin">
        <color indexed="22"/>
      </top>
      <bottom style="medium"/>
    </border>
    <border>
      <left>
        <color indexed="63"/>
      </left>
      <right style="thin"/>
      <top style="thin">
        <color indexed="22"/>
      </top>
      <bottom style="thin">
        <color indexed="22"/>
      </bottom>
    </border>
    <border>
      <left>
        <color indexed="63"/>
      </left>
      <right style="thin"/>
      <top style="thin"/>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2" fillId="0" borderId="0" applyFont="0" applyFill="0" applyBorder="0" applyAlignment="0" applyProtection="0"/>
    <xf numFmtId="0" fontId="12" fillId="0" borderId="0" applyFont="0" applyFill="0" applyBorder="0" applyAlignment="0" applyProtection="0"/>
    <xf numFmtId="2"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2" fillId="0" borderId="1" applyNumberFormat="0" applyFont="0" applyFill="0" applyAlignment="0" applyProtection="0"/>
  </cellStyleXfs>
  <cellXfs count="263">
    <xf numFmtId="0" fontId="0" fillId="0" borderId="0" xfId="0" applyAlignment="1">
      <alignment/>
    </xf>
    <xf numFmtId="0" fontId="6" fillId="2" borderId="2" xfId="0" applyFont="1" applyFill="1" applyBorder="1" applyAlignment="1" applyProtection="1">
      <alignment horizontal="centerContinuous"/>
      <protection hidden="1"/>
    </xf>
    <xf numFmtId="0" fontId="0" fillId="2" borderId="3" xfId="0" applyFill="1" applyBorder="1" applyAlignment="1" applyProtection="1">
      <alignment horizontal="centerContinuous"/>
      <protection hidden="1"/>
    </xf>
    <xf numFmtId="0" fontId="2" fillId="2" borderId="3" xfId="0" applyFont="1" applyFill="1" applyBorder="1" applyAlignment="1" applyProtection="1">
      <alignment horizontal="centerContinuous"/>
      <protection hidden="1"/>
    </xf>
    <xf numFmtId="0" fontId="1" fillId="2" borderId="4" xfId="0" applyFont="1" applyFill="1" applyBorder="1" applyAlignment="1" applyProtection="1">
      <alignment horizontal="centerContinuous"/>
      <protection hidden="1"/>
    </xf>
    <xf numFmtId="0" fontId="2" fillId="2" borderId="0" xfId="0" applyFont="1" applyFill="1" applyBorder="1" applyAlignment="1" applyProtection="1">
      <alignment horizontal="centerContinuous"/>
      <protection hidden="1"/>
    </xf>
    <xf numFmtId="0" fontId="1" fillId="2" borderId="0"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0" fontId="2" fillId="2" borderId="5" xfId="0" applyFont="1" applyFill="1" applyBorder="1" applyAlignment="1" applyProtection="1">
      <alignment horizontal="centerContinuous"/>
      <protection hidden="1"/>
    </xf>
    <xf numFmtId="0" fontId="0" fillId="2" borderId="5" xfId="0" applyFill="1" applyBorder="1" applyAlignment="1" applyProtection="1">
      <alignment horizontal="centerContinuous"/>
      <protection hidden="1"/>
    </xf>
    <xf numFmtId="0" fontId="0" fillId="3" borderId="4" xfId="0" applyFill="1" applyBorder="1" applyAlignment="1" applyProtection="1">
      <alignment/>
      <protection hidden="1"/>
    </xf>
    <xf numFmtId="0" fontId="0" fillId="3" borderId="0" xfId="0" applyFill="1" applyBorder="1" applyAlignment="1" applyProtection="1">
      <alignment horizontal="centerContinuous"/>
      <protection hidden="1"/>
    </xf>
    <xf numFmtId="0" fontId="0" fillId="3" borderId="0" xfId="0" applyFill="1" applyBorder="1" applyAlignment="1" applyProtection="1">
      <alignment/>
      <protection hidden="1"/>
    </xf>
    <xf numFmtId="0" fontId="0" fillId="3" borderId="0" xfId="0" applyFill="1" applyBorder="1" applyAlignment="1" applyProtection="1">
      <alignment horizontal="right"/>
      <protection hidden="1"/>
    </xf>
    <xf numFmtId="0" fontId="0" fillId="3" borderId="0" xfId="0" applyFill="1" applyBorder="1" applyAlignment="1" applyProtection="1">
      <alignment/>
      <protection hidden="1"/>
    </xf>
    <xf numFmtId="0" fontId="1" fillId="3" borderId="0" xfId="0" applyFont="1" applyFill="1" applyBorder="1" applyAlignment="1" applyProtection="1">
      <alignment horizontal="left"/>
      <protection hidden="1"/>
    </xf>
    <xf numFmtId="0" fontId="0" fillId="3" borderId="0" xfId="0" applyFill="1" applyBorder="1" applyAlignment="1" applyProtection="1">
      <alignment horizontal="center"/>
      <protection hidden="1"/>
    </xf>
    <xf numFmtId="2" fontId="4" fillId="3" borderId="0" xfId="0" applyNumberFormat="1" applyFont="1" applyFill="1" applyBorder="1" applyAlignment="1" applyProtection="1">
      <alignment horizontal="center"/>
      <protection hidden="1"/>
    </xf>
    <xf numFmtId="0" fontId="0" fillId="3" borderId="0" xfId="0" applyFill="1" applyBorder="1" applyAlignment="1" applyProtection="1">
      <alignment horizontal="left"/>
      <protection hidden="1"/>
    </xf>
    <xf numFmtId="0" fontId="0" fillId="3" borderId="0" xfId="0" applyFont="1" applyFill="1" applyBorder="1" applyAlignment="1" applyProtection="1">
      <alignment/>
      <protection hidden="1"/>
    </xf>
    <xf numFmtId="164" fontId="4" fillId="3" borderId="0" xfId="0" applyNumberFormat="1" applyFont="1" applyFill="1" applyBorder="1" applyAlignment="1" applyProtection="1">
      <alignment horizontal="center"/>
      <protection hidden="1"/>
    </xf>
    <xf numFmtId="0" fontId="0" fillId="3" borderId="0" xfId="0" applyFill="1" applyAlignment="1" applyProtection="1">
      <alignment/>
      <protection hidden="1"/>
    </xf>
    <xf numFmtId="0" fontId="5" fillId="3" borderId="6"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3" borderId="0" xfId="0" applyFont="1" applyFill="1" applyBorder="1" applyAlignment="1" applyProtection="1">
      <alignment/>
      <protection hidden="1"/>
    </xf>
    <xf numFmtId="0" fontId="1" fillId="2" borderId="8" xfId="0" applyFont="1" applyFill="1" applyBorder="1" applyAlignment="1" applyProtection="1">
      <alignment horizontal="centerContinuous"/>
      <protection hidden="1"/>
    </xf>
    <xf numFmtId="0" fontId="5" fillId="3" borderId="0" xfId="0" applyFont="1" applyFill="1" applyBorder="1" applyAlignment="1" applyProtection="1">
      <alignment/>
      <protection hidden="1"/>
    </xf>
    <xf numFmtId="164" fontId="5" fillId="3" borderId="0" xfId="0" applyNumberFormat="1" applyFont="1" applyFill="1" applyBorder="1" applyAlignment="1" applyProtection="1">
      <alignment/>
      <protection hidden="1"/>
    </xf>
    <xf numFmtId="0" fontId="4" fillId="3" borderId="0" xfId="0" applyFont="1" applyFill="1" applyBorder="1" applyAlignment="1" applyProtection="1">
      <alignment/>
      <protection hidden="1"/>
    </xf>
    <xf numFmtId="0" fontId="5" fillId="3" borderId="0" xfId="0" applyFont="1" applyFill="1" applyBorder="1" applyAlignment="1" applyProtection="1">
      <alignment vertical="justify"/>
      <protection hidden="1"/>
    </xf>
    <xf numFmtId="0" fontId="5" fillId="3" borderId="4" xfId="0" applyFont="1" applyFill="1" applyBorder="1" applyAlignment="1" applyProtection="1">
      <alignment/>
      <protection hidden="1"/>
    </xf>
    <xf numFmtId="2" fontId="5" fillId="3" borderId="0" xfId="0" applyNumberFormat="1" applyFont="1" applyFill="1" applyBorder="1" applyAlignment="1" applyProtection="1">
      <alignment/>
      <protection hidden="1"/>
    </xf>
    <xf numFmtId="0" fontId="5" fillId="3" borderId="4" xfId="0" applyFont="1" applyFill="1" applyBorder="1" applyAlignment="1" applyProtection="1">
      <alignment/>
      <protection hidden="1"/>
    </xf>
    <xf numFmtId="0" fontId="0" fillId="3" borderId="6" xfId="0" applyFill="1" applyBorder="1" applyAlignment="1" applyProtection="1">
      <alignment horizontal="center"/>
      <protection hidden="1"/>
    </xf>
    <xf numFmtId="49" fontId="4" fillId="3" borderId="8" xfId="0" applyNumberFormat="1" applyFont="1" applyFill="1" applyBorder="1" applyAlignment="1" applyProtection="1">
      <alignment/>
      <protection locked="0"/>
    </xf>
    <xf numFmtId="49" fontId="4" fillId="3" borderId="5" xfId="0" applyNumberFormat="1" applyFont="1" applyFill="1" applyBorder="1" applyAlignment="1" applyProtection="1">
      <alignment/>
      <protection locked="0"/>
    </xf>
    <xf numFmtId="0" fontId="4" fillId="3" borderId="9" xfId="0" applyFont="1" applyFill="1" applyBorder="1" applyAlignment="1" applyProtection="1">
      <alignment/>
      <protection locked="0"/>
    </xf>
    <xf numFmtId="0" fontId="4" fillId="3" borderId="10" xfId="0" applyFont="1" applyFill="1" applyBorder="1" applyAlignment="1" applyProtection="1">
      <alignment/>
      <protection locked="0"/>
    </xf>
    <xf numFmtId="0" fontId="4" fillId="3" borderId="11" xfId="0" applyFont="1" applyFill="1" applyBorder="1" applyAlignment="1" applyProtection="1">
      <alignment/>
      <protection locked="0"/>
    </xf>
    <xf numFmtId="49" fontId="4" fillId="3" borderId="9" xfId="0" applyNumberFormat="1" applyFont="1" applyFill="1" applyBorder="1" applyAlignment="1" applyProtection="1" quotePrefix="1">
      <alignment/>
      <protection locked="0"/>
    </xf>
    <xf numFmtId="49" fontId="4" fillId="3" borderId="10" xfId="0" applyNumberFormat="1" applyFont="1" applyFill="1" applyBorder="1" applyAlignment="1" applyProtection="1">
      <alignment/>
      <protection locked="0"/>
    </xf>
    <xf numFmtId="0" fontId="4" fillId="3" borderId="11" xfId="0" applyFont="1" applyFill="1" applyBorder="1" applyAlignment="1" applyProtection="1">
      <alignment/>
      <protection locked="0"/>
    </xf>
    <xf numFmtId="0" fontId="5" fillId="3" borderId="11" xfId="0" applyFont="1" applyFill="1" applyBorder="1" applyAlignment="1" applyProtection="1">
      <alignment horizontal="center"/>
      <protection hidden="1"/>
    </xf>
    <xf numFmtId="0" fontId="3" fillId="3" borderId="0" xfId="0" applyFont="1" applyFill="1" applyBorder="1" applyAlignment="1" applyProtection="1">
      <alignment/>
      <protection hidden="1"/>
    </xf>
    <xf numFmtId="0" fontId="7" fillId="3" borderId="0" xfId="0" applyFont="1" applyFill="1" applyBorder="1" applyAlignment="1" applyProtection="1">
      <alignment horizontal="right"/>
      <protection hidden="1"/>
    </xf>
    <xf numFmtId="0" fontId="2" fillId="3" borderId="0" xfId="0" applyFont="1" applyFill="1" applyBorder="1" applyAlignment="1" applyProtection="1">
      <alignment/>
      <protection hidden="1"/>
    </xf>
    <xf numFmtId="14" fontId="0" fillId="3" borderId="0" xfId="0" applyNumberFormat="1" applyFill="1" applyBorder="1" applyAlignment="1" applyProtection="1">
      <alignment horizontal="center"/>
      <protection hidden="1"/>
    </xf>
    <xf numFmtId="18" fontId="0" fillId="3" borderId="0" xfId="0" applyNumberFormat="1" applyFill="1" applyBorder="1" applyAlignment="1" applyProtection="1">
      <alignment horizontal="center"/>
      <protection hidden="1"/>
    </xf>
    <xf numFmtId="0" fontId="10" fillId="3" borderId="4" xfId="0" applyFont="1" applyFill="1" applyBorder="1" applyAlignment="1" applyProtection="1">
      <alignment/>
      <protection hidden="1"/>
    </xf>
    <xf numFmtId="0" fontId="5" fillId="3" borderId="0" xfId="0" applyFont="1" applyFill="1" applyBorder="1" applyAlignment="1" applyProtection="1">
      <alignment horizontal="right"/>
      <protection hidden="1"/>
    </xf>
    <xf numFmtId="0" fontId="4" fillId="3" borderId="0" xfId="0"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0" fontId="11" fillId="3" borderId="0" xfId="0" applyFont="1" applyFill="1" applyBorder="1" applyAlignment="1" applyProtection="1">
      <alignment/>
      <protection hidden="1"/>
    </xf>
    <xf numFmtId="2" fontId="4" fillId="3" borderId="0" xfId="0" applyNumberFormat="1" applyFont="1" applyFill="1" applyAlignment="1" applyProtection="1">
      <alignment horizontal="center"/>
      <protection hidden="1"/>
    </xf>
    <xf numFmtId="2" fontId="4" fillId="3" borderId="12" xfId="0" applyNumberFormat="1" applyFont="1" applyFill="1" applyBorder="1" applyAlignment="1" applyProtection="1">
      <alignment horizontal="center"/>
      <protection hidden="1"/>
    </xf>
    <xf numFmtId="2" fontId="4" fillId="3" borderId="0" xfId="0" applyNumberFormat="1" applyFont="1" applyFill="1" applyAlignment="1" applyProtection="1">
      <alignment horizontal="center"/>
      <protection hidden="1"/>
    </xf>
    <xf numFmtId="2" fontId="4" fillId="4" borderId="12" xfId="0" applyNumberFormat="1" applyFont="1" applyFill="1" applyBorder="1" applyAlignment="1" applyProtection="1">
      <alignment horizontal="center"/>
      <protection locked="0"/>
    </xf>
    <xf numFmtId="0" fontId="17" fillId="3" borderId="0" xfId="0" applyFont="1" applyFill="1" applyBorder="1" applyAlignment="1" applyProtection="1">
      <alignment/>
      <protection hidden="1"/>
    </xf>
    <xf numFmtId="0" fontId="0" fillId="2" borderId="13" xfId="0" applyFont="1" applyFill="1" applyBorder="1" applyAlignment="1" applyProtection="1">
      <alignment horizontal="centerContinuous"/>
      <protection hidden="1"/>
    </xf>
    <xf numFmtId="0" fontId="0" fillId="3" borderId="0" xfId="0" applyFont="1" applyFill="1" applyAlignment="1" applyProtection="1">
      <alignment/>
      <protection hidden="1"/>
    </xf>
    <xf numFmtId="0" fontId="4" fillId="3" borderId="0" xfId="0" applyFont="1" applyFill="1" applyAlignment="1" applyProtection="1">
      <alignment horizontal="center"/>
      <protection hidden="1"/>
    </xf>
    <xf numFmtId="0" fontId="4" fillId="3" borderId="0" xfId="0" applyFont="1" applyFill="1" applyBorder="1" applyAlignment="1" applyProtection="1">
      <alignment/>
      <protection hidden="1"/>
    </xf>
    <xf numFmtId="0" fontId="0" fillId="2" borderId="14" xfId="0" applyFont="1" applyFill="1" applyBorder="1" applyAlignment="1" applyProtection="1">
      <alignment horizontal="centerContinuous"/>
      <protection hidden="1"/>
    </xf>
    <xf numFmtId="0" fontId="0" fillId="2" borderId="15" xfId="0" applyFont="1" applyFill="1" applyBorder="1" applyAlignment="1" applyProtection="1">
      <alignment horizontal="centerContinuous"/>
      <protection hidden="1"/>
    </xf>
    <xf numFmtId="0" fontId="4" fillId="3" borderId="0" xfId="0" applyFont="1" applyFill="1" applyAlignment="1" applyProtection="1">
      <alignment horizontal="centerContinuous"/>
      <protection hidden="1"/>
    </xf>
    <xf numFmtId="0" fontId="0" fillId="3" borderId="0" xfId="0" applyFont="1" applyFill="1" applyAlignment="1" applyProtection="1">
      <alignment horizontal="centerContinuous"/>
      <protection hidden="1"/>
    </xf>
    <xf numFmtId="0" fontId="0" fillId="3" borderId="0" xfId="0" applyFont="1" applyFill="1" applyBorder="1" applyAlignment="1" applyProtection="1">
      <alignment horizontal="centerContinuous"/>
      <protection hidden="1"/>
    </xf>
    <xf numFmtId="0" fontId="4" fillId="3" borderId="0" xfId="0" applyFont="1" applyFill="1" applyBorder="1" applyAlignment="1" applyProtection="1">
      <alignment horizontal="right"/>
      <protection hidden="1"/>
    </xf>
    <xf numFmtId="0" fontId="4" fillId="3" borderId="0" xfId="0" applyFont="1" applyFill="1" applyBorder="1" applyAlignment="1" applyProtection="1">
      <alignment horizontal="center"/>
      <protection hidden="1"/>
    </xf>
    <xf numFmtId="0" fontId="4" fillId="3" borderId="0" xfId="0" applyFont="1" applyFill="1" applyAlignment="1" applyProtection="1">
      <alignment horizontal="center"/>
      <protection hidden="1"/>
    </xf>
    <xf numFmtId="164" fontId="4" fillId="3" borderId="0" xfId="0" applyNumberFormat="1" applyFont="1" applyFill="1" applyBorder="1" applyAlignment="1" applyProtection="1">
      <alignment horizontal="center"/>
      <protection hidden="1"/>
    </xf>
    <xf numFmtId="2" fontId="4" fillId="3" borderId="0" xfId="0" applyNumberFormat="1" applyFont="1" applyFill="1" applyBorder="1" applyAlignment="1" applyProtection="1">
      <alignment horizontal="center"/>
      <protection hidden="1"/>
    </xf>
    <xf numFmtId="164" fontId="4" fillId="3" borderId="0" xfId="0" applyNumberFormat="1" applyFont="1" applyFill="1" applyAlignment="1" applyProtection="1">
      <alignment horizontal="center"/>
      <protection hidden="1"/>
    </xf>
    <xf numFmtId="0" fontId="0" fillId="3" borderId="14" xfId="0" applyFont="1" applyFill="1" applyBorder="1" applyAlignment="1" applyProtection="1">
      <alignment/>
      <protection hidden="1"/>
    </xf>
    <xf numFmtId="0" fontId="4" fillId="3" borderId="0" xfId="0" applyFont="1" applyFill="1" applyAlignment="1" applyProtection="1">
      <alignment/>
      <protection hidden="1"/>
    </xf>
    <xf numFmtId="164" fontId="5" fillId="3" borderId="0" xfId="0" applyNumberFormat="1" applyFont="1" applyFill="1" applyBorder="1" applyAlignment="1" applyProtection="1">
      <alignment horizontal="right"/>
      <protection hidden="1"/>
    </xf>
    <xf numFmtId="2" fontId="4" fillId="3" borderId="16" xfId="0" applyNumberFormat="1" applyFont="1" applyFill="1" applyBorder="1" applyAlignment="1" applyProtection="1">
      <alignment horizontal="center"/>
      <protection hidden="1"/>
    </xf>
    <xf numFmtId="164" fontId="9" fillId="3" borderId="0" xfId="0" applyNumberFormat="1" applyFont="1" applyFill="1" applyBorder="1" applyAlignment="1" applyProtection="1">
      <alignment horizontal="right"/>
      <protection hidden="1"/>
    </xf>
    <xf numFmtId="0" fontId="4" fillId="3" borderId="0" xfId="0" applyFont="1" applyFill="1" applyAlignment="1" applyProtection="1">
      <alignment/>
      <protection hidden="1"/>
    </xf>
    <xf numFmtId="0" fontId="8" fillId="3" borderId="0" xfId="0" applyFont="1" applyFill="1" applyBorder="1" applyAlignment="1" applyProtection="1">
      <alignment horizontal="right"/>
      <protection hidden="1"/>
    </xf>
    <xf numFmtId="172" fontId="4" fillId="3" borderId="0" xfId="0" applyNumberFormat="1" applyFont="1" applyFill="1" applyBorder="1" applyAlignment="1" applyProtection="1">
      <alignment horizontal="center"/>
      <protection hidden="1"/>
    </xf>
    <xf numFmtId="0" fontId="8" fillId="3" borderId="0" xfId="0" applyFont="1" applyFill="1" applyBorder="1" applyAlignment="1" applyProtection="1">
      <alignment horizontal="left"/>
      <protection hidden="1"/>
    </xf>
    <xf numFmtId="0" fontId="0" fillId="3" borderId="0" xfId="0" applyFont="1" applyFill="1" applyBorder="1" applyAlignment="1" applyProtection="1">
      <alignment/>
      <protection hidden="1"/>
    </xf>
    <xf numFmtId="0" fontId="0" fillId="3" borderId="0" xfId="0" applyFont="1" applyFill="1" applyBorder="1" applyAlignment="1" applyProtection="1">
      <alignment/>
      <protection hidden="1"/>
    </xf>
    <xf numFmtId="166" fontId="4" fillId="4" borderId="12" xfId="0" applyNumberFormat="1" applyFont="1" applyFill="1" applyBorder="1" applyAlignment="1" applyProtection="1">
      <alignment horizontal="center"/>
      <protection locked="0"/>
    </xf>
    <xf numFmtId="164" fontId="9" fillId="3" borderId="0" xfId="0" applyNumberFormat="1" applyFont="1" applyFill="1" applyBorder="1" applyAlignment="1" applyProtection="1">
      <alignment horizontal="left"/>
      <protection hidden="1"/>
    </xf>
    <xf numFmtId="166" fontId="4" fillId="4" borderId="16" xfId="0" applyNumberFormat="1" applyFont="1" applyFill="1" applyBorder="1" applyAlignment="1" applyProtection="1">
      <alignment horizontal="center"/>
      <protection locked="0"/>
    </xf>
    <xf numFmtId="2" fontId="4" fillId="3" borderId="17" xfId="0" applyNumberFormat="1" applyFont="1" applyFill="1" applyBorder="1" applyAlignment="1" applyProtection="1">
      <alignment horizontal="center"/>
      <protection hidden="1"/>
    </xf>
    <xf numFmtId="0" fontId="2" fillId="3" borderId="4" xfId="0" applyFont="1" applyFill="1" applyBorder="1" applyAlignment="1" applyProtection="1">
      <alignment/>
      <protection hidden="1"/>
    </xf>
    <xf numFmtId="0" fontId="1" fillId="3" borderId="0" xfId="0" applyFont="1" applyFill="1" applyBorder="1" applyAlignment="1" applyProtection="1">
      <alignment/>
      <protection hidden="1"/>
    </xf>
    <xf numFmtId="0" fontId="4" fillId="3" borderId="18" xfId="0" applyFont="1" applyFill="1" applyBorder="1" applyAlignment="1" applyProtection="1">
      <alignment horizontal="center"/>
      <protection hidden="1"/>
    </xf>
    <xf numFmtId="0" fontId="18" fillId="2" borderId="2" xfId="0" applyFont="1" applyFill="1" applyBorder="1" applyAlignment="1" applyProtection="1">
      <alignment horizontal="centerContinuous"/>
      <protection hidden="1"/>
    </xf>
    <xf numFmtId="0" fontId="18" fillId="2" borderId="3" xfId="0" applyFont="1" applyFill="1" applyBorder="1" applyAlignment="1" applyProtection="1">
      <alignment horizontal="centerContinuous"/>
      <protection hidden="1"/>
    </xf>
    <xf numFmtId="0" fontId="2" fillId="2" borderId="13" xfId="0" applyFont="1" applyFill="1" applyBorder="1" applyAlignment="1" applyProtection="1">
      <alignment horizontal="centerContinuous"/>
      <protection hidden="1"/>
    </xf>
    <xf numFmtId="0" fontId="18" fillId="2" borderId="4" xfId="0" applyFont="1" applyFill="1" applyBorder="1" applyAlignment="1" applyProtection="1">
      <alignment horizontal="centerContinuous"/>
      <protection hidden="1"/>
    </xf>
    <xf numFmtId="0" fontId="18" fillId="2" borderId="0" xfId="0" applyFont="1" applyFill="1" applyBorder="1" applyAlignment="1" applyProtection="1">
      <alignment horizontal="centerContinuous"/>
      <protection hidden="1"/>
    </xf>
    <xf numFmtId="0" fontId="18" fillId="2" borderId="14" xfId="0" applyFont="1" applyFill="1" applyBorder="1" applyAlignment="1" applyProtection="1">
      <alignment horizontal="centerContinuous"/>
      <protection hidden="1"/>
    </xf>
    <xf numFmtId="0" fontId="18" fillId="2" borderId="8" xfId="0" applyFont="1" applyFill="1" applyBorder="1" applyAlignment="1" applyProtection="1">
      <alignment horizontal="centerContinuous"/>
      <protection hidden="1"/>
    </xf>
    <xf numFmtId="0" fontId="18" fillId="2" borderId="5" xfId="0" applyFont="1" applyFill="1" applyBorder="1" applyAlignment="1" applyProtection="1">
      <alignment horizontal="centerContinuous"/>
      <protection hidden="1"/>
    </xf>
    <xf numFmtId="0" fontId="19" fillId="2" borderId="5" xfId="0" applyFont="1" applyFill="1" applyBorder="1" applyAlignment="1" applyProtection="1">
      <alignment horizontal="centerContinuous"/>
      <protection hidden="1"/>
    </xf>
    <xf numFmtId="0" fontId="20" fillId="2" borderId="5" xfId="0" applyFont="1" applyFill="1" applyBorder="1" applyAlignment="1" applyProtection="1">
      <alignment horizontal="centerContinuous"/>
      <protection hidden="1"/>
    </xf>
    <xf numFmtId="0" fontId="18" fillId="2" borderId="15" xfId="0" applyFont="1" applyFill="1" applyBorder="1" applyAlignment="1" applyProtection="1">
      <alignment horizontal="centerContinuous"/>
      <protection hidden="1"/>
    </xf>
    <xf numFmtId="0" fontId="5" fillId="2" borderId="2" xfId="0" applyFont="1" applyFill="1" applyBorder="1" applyAlignment="1" applyProtection="1">
      <alignment horizontal="centerContinuous"/>
      <protection hidden="1"/>
    </xf>
    <xf numFmtId="0" fontId="5" fillId="2" borderId="13" xfId="0" applyFont="1" applyFill="1" applyBorder="1" applyAlignment="1" applyProtection="1">
      <alignment horizontal="centerContinuous"/>
      <protection hidden="1"/>
    </xf>
    <xf numFmtId="0" fontId="5" fillId="2" borderId="8" xfId="0" applyFont="1" applyFill="1" applyBorder="1" applyAlignment="1" applyProtection="1">
      <alignment horizontal="centerContinuous"/>
      <protection hidden="1"/>
    </xf>
    <xf numFmtId="0" fontId="5" fillId="2" borderId="15" xfId="0" applyFont="1" applyFill="1" applyBorder="1" applyAlignment="1" applyProtection="1">
      <alignment horizontal="centerContinuous"/>
      <protection hidden="1"/>
    </xf>
    <xf numFmtId="0" fontId="18" fillId="2" borderId="18" xfId="0" applyFont="1" applyFill="1" applyBorder="1" applyAlignment="1" applyProtection="1">
      <alignment horizontal="center"/>
      <protection hidden="1"/>
    </xf>
    <xf numFmtId="0" fontId="20" fillId="2" borderId="3" xfId="0" applyFont="1" applyFill="1" applyBorder="1" applyAlignment="1" applyProtection="1">
      <alignment horizontal="centerContinuous"/>
      <protection hidden="1"/>
    </xf>
    <xf numFmtId="0" fontId="18" fillId="2" borderId="13" xfId="0" applyFont="1" applyFill="1" applyBorder="1" applyAlignment="1" applyProtection="1">
      <alignment horizontal="centerContinuous"/>
      <protection hidden="1"/>
    </xf>
    <xf numFmtId="0" fontId="18" fillId="2" borderId="19" xfId="0" applyFont="1" applyFill="1" applyBorder="1" applyAlignment="1" applyProtection="1">
      <alignment horizontal="center"/>
      <protection hidden="1"/>
    </xf>
    <xf numFmtId="0" fontId="20" fillId="2" borderId="0" xfId="0" applyFont="1" applyFill="1" applyBorder="1" applyAlignment="1" applyProtection="1">
      <alignment horizontal="centerContinuous"/>
      <protection hidden="1"/>
    </xf>
    <xf numFmtId="164" fontId="18" fillId="2" borderId="6" xfId="0" applyNumberFormat="1" applyFont="1" applyFill="1" applyBorder="1" applyAlignment="1" applyProtection="1">
      <alignment horizontal="center"/>
      <protection hidden="1"/>
    </xf>
    <xf numFmtId="2" fontId="18" fillId="2" borderId="6" xfId="0" applyNumberFormat="1" applyFont="1" applyFill="1" applyBorder="1" applyAlignment="1" applyProtection="1">
      <alignment horizontal="center"/>
      <protection hidden="1"/>
    </xf>
    <xf numFmtId="2" fontId="18" fillId="2" borderId="7" xfId="0" applyNumberFormat="1" applyFont="1" applyFill="1" applyBorder="1" applyAlignment="1" applyProtection="1" quotePrefix="1">
      <alignment horizontal="center"/>
      <protection hidden="1"/>
    </xf>
    <xf numFmtId="164" fontId="18" fillId="2" borderId="7" xfId="0" applyNumberFormat="1" applyFont="1" applyFill="1" applyBorder="1" applyAlignment="1" applyProtection="1" quotePrefix="1">
      <alignment horizontal="center"/>
      <protection hidden="1"/>
    </xf>
    <xf numFmtId="2" fontId="18" fillId="2" borderId="9" xfId="0" applyNumberFormat="1" applyFont="1" applyFill="1" applyBorder="1" applyAlignment="1" applyProtection="1" quotePrefix="1">
      <alignment horizontal="center"/>
      <protection hidden="1"/>
    </xf>
    <xf numFmtId="0" fontId="18" fillId="2" borderId="7" xfId="0" applyFont="1" applyFill="1" applyBorder="1" applyAlignment="1" applyProtection="1" quotePrefix="1">
      <alignment horizontal="center"/>
      <protection hidden="1"/>
    </xf>
    <xf numFmtId="0" fontId="18" fillId="2" borderId="5" xfId="0" applyFont="1" applyFill="1" applyBorder="1" applyAlignment="1" applyProtection="1" quotePrefix="1">
      <alignment horizontal="center"/>
      <protection hidden="1"/>
    </xf>
    <xf numFmtId="0" fontId="18" fillId="2" borderId="6" xfId="0" applyFont="1" applyFill="1" applyBorder="1" applyAlignment="1" applyProtection="1">
      <alignment horizontal="center"/>
      <protection hidden="1"/>
    </xf>
    <xf numFmtId="2" fontId="5" fillId="2" borderId="16" xfId="0" applyNumberFormat="1" applyFont="1" applyFill="1" applyBorder="1" applyAlignment="1" applyProtection="1">
      <alignment horizontal="center"/>
      <protection hidden="1"/>
    </xf>
    <xf numFmtId="2" fontId="5" fillId="2" borderId="12" xfId="0" applyNumberFormat="1" applyFont="1" applyFill="1" applyBorder="1" applyAlignment="1" applyProtection="1">
      <alignment horizontal="center"/>
      <protection hidden="1"/>
    </xf>
    <xf numFmtId="2" fontId="5" fillId="2" borderId="16" xfId="0" applyNumberFormat="1" applyFont="1" applyFill="1" applyBorder="1" applyAlignment="1" applyProtection="1" quotePrefix="1">
      <alignment horizontal="center"/>
      <protection hidden="1"/>
    </xf>
    <xf numFmtId="2" fontId="5" fillId="2" borderId="12" xfId="0" applyNumberFormat="1" applyFont="1" applyFill="1" applyBorder="1" applyAlignment="1" applyProtection="1" quotePrefix="1">
      <alignment horizontal="center"/>
      <protection hidden="1"/>
    </xf>
    <xf numFmtId="0" fontId="5" fillId="2" borderId="12" xfId="0" applyFont="1" applyFill="1" applyBorder="1" applyAlignment="1" applyProtection="1" quotePrefix="1">
      <alignment horizontal="center"/>
      <protection hidden="1"/>
    </xf>
    <xf numFmtId="0" fontId="4" fillId="3" borderId="12" xfId="0" applyFont="1" applyFill="1" applyBorder="1" applyAlignment="1" applyProtection="1">
      <alignment horizontal="center"/>
      <protection hidden="1"/>
    </xf>
    <xf numFmtId="164" fontId="4" fillId="3" borderId="12" xfId="0" applyNumberFormat="1" applyFont="1" applyFill="1" applyBorder="1" applyAlignment="1" applyProtection="1">
      <alignment horizontal="center"/>
      <protection hidden="1"/>
    </xf>
    <xf numFmtId="2" fontId="5" fillId="2" borderId="20" xfId="0" applyNumberFormat="1" applyFont="1" applyFill="1" applyBorder="1" applyAlignment="1" applyProtection="1">
      <alignment horizontal="center"/>
      <protection hidden="1"/>
    </xf>
    <xf numFmtId="0" fontId="5" fillId="2" borderId="20" xfId="0" applyFont="1" applyFill="1" applyBorder="1" applyAlignment="1" applyProtection="1" quotePrefix="1">
      <alignment horizontal="center"/>
      <protection hidden="1"/>
    </xf>
    <xf numFmtId="0" fontId="5" fillId="2" borderId="4" xfId="0" applyFont="1" applyFill="1" applyBorder="1" applyAlignment="1" applyProtection="1">
      <alignment horizontal="centerContinuous"/>
      <protection hidden="1"/>
    </xf>
    <xf numFmtId="0" fontId="5" fillId="2" borderId="14" xfId="0" applyFont="1" applyFill="1" applyBorder="1" applyAlignment="1" applyProtection="1">
      <alignment horizontal="centerContinuous"/>
      <protection hidden="1"/>
    </xf>
    <xf numFmtId="0" fontId="4" fillId="3" borderId="13" xfId="0" applyFont="1" applyFill="1" applyBorder="1" applyAlignment="1" applyProtection="1">
      <alignment horizontal="center"/>
      <protection hidden="1"/>
    </xf>
    <xf numFmtId="0" fontId="4" fillId="3" borderId="1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164" fontId="4" fillId="3" borderId="14" xfId="0" applyNumberFormat="1" applyFont="1" applyFill="1" applyBorder="1" applyAlignment="1" applyProtection="1">
      <alignment horizontal="center"/>
      <protection hidden="1"/>
    </xf>
    <xf numFmtId="164" fontId="4" fillId="3" borderId="19" xfId="0" applyNumberFormat="1" applyFont="1" applyFill="1" applyBorder="1" applyAlignment="1" applyProtection="1">
      <alignment horizontal="center"/>
      <protection hidden="1"/>
    </xf>
    <xf numFmtId="0" fontId="4" fillId="3" borderId="12" xfId="0" applyNumberFormat="1" applyFont="1" applyFill="1" applyBorder="1" applyAlignment="1" applyProtection="1">
      <alignment horizontal="center"/>
      <protection hidden="1"/>
    </xf>
    <xf numFmtId="0" fontId="4" fillId="3" borderId="17" xfId="0" applyNumberFormat="1" applyFont="1" applyFill="1" applyBorder="1" applyAlignment="1" applyProtection="1">
      <alignment horizontal="center"/>
      <protection hidden="1"/>
    </xf>
    <xf numFmtId="0" fontId="4" fillId="3" borderId="21" xfId="0" applyNumberFormat="1" applyFont="1" applyFill="1" applyBorder="1" applyAlignment="1" applyProtection="1">
      <alignment horizontal="center"/>
      <protection hidden="1"/>
    </xf>
    <xf numFmtId="166" fontId="4" fillId="3" borderId="12" xfId="0" applyNumberFormat="1" applyFont="1" applyFill="1" applyBorder="1" applyAlignment="1" applyProtection="1">
      <alignment horizontal="center"/>
      <protection hidden="1"/>
    </xf>
    <xf numFmtId="0" fontId="5" fillId="3" borderId="0" xfId="0" applyFont="1" applyFill="1" applyBorder="1" applyAlignment="1" applyProtection="1">
      <alignment/>
      <protection hidden="1"/>
    </xf>
    <xf numFmtId="164" fontId="4" fillId="3" borderId="17" xfId="0" applyNumberFormat="1" applyFont="1" applyFill="1" applyBorder="1" applyAlignment="1" applyProtection="1" quotePrefix="1">
      <alignment horizontal="center"/>
      <protection hidden="1"/>
    </xf>
    <xf numFmtId="164" fontId="5" fillId="3" borderId="0" xfId="0" applyNumberFormat="1" applyFont="1" applyFill="1" applyBorder="1" applyAlignment="1" applyProtection="1">
      <alignment horizontal="left"/>
      <protection hidden="1"/>
    </xf>
    <xf numFmtId="0" fontId="21" fillId="0" borderId="7" xfId="0" applyFont="1" applyBorder="1" applyAlignment="1" applyProtection="1">
      <alignment horizontal="center"/>
      <protection hidden="1"/>
    </xf>
    <xf numFmtId="0" fontId="4" fillId="5" borderId="16" xfId="0" applyNumberFormat="1" applyFont="1" applyFill="1" applyBorder="1" applyAlignment="1" applyProtection="1" quotePrefix="1">
      <alignment horizontal="center"/>
      <protection hidden="1"/>
    </xf>
    <xf numFmtId="0" fontId="4" fillId="5" borderId="12" xfId="0" applyNumberFormat="1" applyFont="1" applyFill="1" applyBorder="1" applyAlignment="1" applyProtection="1" quotePrefix="1">
      <alignment horizontal="center"/>
      <protection hidden="1"/>
    </xf>
    <xf numFmtId="0" fontId="4" fillId="5" borderId="12" xfId="0" applyNumberFormat="1" applyFont="1" applyFill="1" applyBorder="1" applyAlignment="1" applyProtection="1">
      <alignment horizontal="center"/>
      <protection hidden="1"/>
    </xf>
    <xf numFmtId="0" fontId="4" fillId="5" borderId="22" xfId="0" applyNumberFormat="1" applyFont="1" applyFill="1" applyBorder="1" applyAlignment="1" applyProtection="1">
      <alignment horizontal="center"/>
      <protection hidden="1"/>
    </xf>
    <xf numFmtId="0" fontId="4" fillId="5" borderId="16" xfId="0" applyNumberFormat="1" applyFont="1" applyFill="1" applyBorder="1" applyAlignment="1" applyProtection="1">
      <alignment horizontal="center"/>
      <protection hidden="1"/>
    </xf>
    <xf numFmtId="164" fontId="4" fillId="3" borderId="16" xfId="0" applyNumberFormat="1" applyFont="1" applyFill="1" applyBorder="1" applyAlignment="1" applyProtection="1">
      <alignment horizontal="center"/>
      <protection hidden="1"/>
    </xf>
    <xf numFmtId="164" fontId="4" fillId="3" borderId="17" xfId="0" applyNumberFormat="1" applyFont="1" applyFill="1" applyBorder="1" applyAlignment="1" applyProtection="1">
      <alignment horizontal="center"/>
      <protection hidden="1"/>
    </xf>
    <xf numFmtId="0" fontId="5" fillId="3" borderId="2" xfId="0" applyFont="1" applyFill="1" applyBorder="1" applyAlignment="1" applyProtection="1">
      <alignment/>
      <protection hidden="1"/>
    </xf>
    <xf numFmtId="0" fontId="5" fillId="3" borderId="3" xfId="0" applyFont="1" applyFill="1" applyBorder="1" applyAlignment="1" applyProtection="1">
      <alignment/>
      <protection hidden="1"/>
    </xf>
    <xf numFmtId="2" fontId="5" fillId="3" borderId="3" xfId="0" applyNumberFormat="1" applyFont="1" applyFill="1" applyBorder="1" applyAlignment="1" applyProtection="1">
      <alignment/>
      <protection hidden="1"/>
    </xf>
    <xf numFmtId="0" fontId="5" fillId="3" borderId="3" xfId="0" applyFont="1" applyFill="1" applyBorder="1" applyAlignment="1" applyProtection="1">
      <alignment/>
      <protection hidden="1"/>
    </xf>
    <xf numFmtId="0" fontId="5" fillId="3" borderId="13" xfId="0" applyFont="1" applyFill="1" applyBorder="1" applyAlignment="1" applyProtection="1">
      <alignment/>
      <protection hidden="1"/>
    </xf>
    <xf numFmtId="0" fontId="5" fillId="3" borderId="14" xfId="0" applyFont="1" applyFill="1" applyBorder="1" applyAlignment="1" applyProtection="1">
      <alignment/>
      <protection hidden="1"/>
    </xf>
    <xf numFmtId="0" fontId="5" fillId="3" borderId="8" xfId="0" applyFont="1" applyFill="1" applyBorder="1" applyAlignment="1" applyProtection="1">
      <alignment/>
      <protection hidden="1"/>
    </xf>
    <xf numFmtId="0" fontId="24" fillId="3" borderId="0" xfId="0" applyFont="1" applyFill="1" applyBorder="1" applyAlignment="1" applyProtection="1">
      <alignment/>
      <protection hidden="1"/>
    </xf>
    <xf numFmtId="0" fontId="25" fillId="3" borderId="0" xfId="0" applyFont="1" applyFill="1" applyBorder="1" applyAlignment="1" applyProtection="1">
      <alignment horizontal="center"/>
      <protection hidden="1"/>
    </xf>
    <xf numFmtId="2" fontId="25" fillId="3" borderId="0" xfId="0" applyNumberFormat="1" applyFont="1" applyFill="1" applyBorder="1" applyAlignment="1" applyProtection="1">
      <alignment horizontal="right"/>
      <protection hidden="1"/>
    </xf>
    <xf numFmtId="0" fontId="5" fillId="3" borderId="14" xfId="0" applyFont="1" applyFill="1" applyBorder="1" applyAlignment="1" applyProtection="1">
      <alignment/>
      <protection hidden="1"/>
    </xf>
    <xf numFmtId="0" fontId="24" fillId="3" borderId="14" xfId="0" applyFont="1" applyFill="1" applyBorder="1" applyAlignment="1" applyProtection="1">
      <alignment/>
      <protection hidden="1"/>
    </xf>
    <xf numFmtId="0" fontId="0" fillId="3" borderId="14" xfId="0" applyFill="1" applyBorder="1" applyAlignment="1" applyProtection="1">
      <alignment/>
      <protection hidden="1"/>
    </xf>
    <xf numFmtId="0" fontId="3" fillId="3" borderId="0" xfId="0" applyFont="1" applyFill="1" applyBorder="1" applyAlignment="1" applyProtection="1">
      <alignment horizontal="centerContinuous"/>
      <protection hidden="1"/>
    </xf>
    <xf numFmtId="0" fontId="24" fillId="3" borderId="0" xfId="0" applyFont="1" applyFill="1" applyBorder="1" applyAlignment="1" applyProtection="1">
      <alignment horizontal="centerContinuous"/>
      <protection hidden="1"/>
    </xf>
    <xf numFmtId="0" fontId="5" fillId="3" borderId="0" xfId="0" applyFont="1" applyFill="1" applyBorder="1" applyAlignment="1" applyProtection="1">
      <alignment horizontal="centerContinuous"/>
      <protection hidden="1"/>
    </xf>
    <xf numFmtId="0" fontId="5" fillId="3" borderId="14" xfId="0" applyFont="1" applyFill="1" applyBorder="1" applyAlignment="1" applyProtection="1">
      <alignment horizontal="centerContinuous"/>
      <protection hidden="1"/>
    </xf>
    <xf numFmtId="0" fontId="3" fillId="3" borderId="14" xfId="0" applyFont="1" applyFill="1" applyBorder="1" applyAlignment="1" applyProtection="1">
      <alignment horizontal="centerContinuous"/>
      <protection hidden="1"/>
    </xf>
    <xf numFmtId="0" fontId="4" fillId="3" borderId="0" xfId="0" applyFont="1" applyFill="1" applyBorder="1" applyAlignment="1" applyProtection="1">
      <alignment/>
      <protection locked="0"/>
    </xf>
    <xf numFmtId="14" fontId="4" fillId="3" borderId="3" xfId="0" applyNumberFormat="1" applyFont="1" applyFill="1" applyBorder="1" applyAlignment="1" applyProtection="1">
      <alignment/>
      <protection locked="0"/>
    </xf>
    <xf numFmtId="0" fontId="4" fillId="3" borderId="14" xfId="0" applyFont="1" applyFill="1" applyBorder="1" applyAlignment="1" applyProtection="1">
      <alignment/>
      <protection locked="0"/>
    </xf>
    <xf numFmtId="18" fontId="4" fillId="3" borderId="0" xfId="0" applyNumberFormat="1" applyFont="1" applyFill="1" applyBorder="1" applyAlignment="1" applyProtection="1">
      <alignment/>
      <protection locked="0"/>
    </xf>
    <xf numFmtId="166" fontId="4" fillId="3" borderId="16" xfId="0" applyNumberFormat="1" applyFont="1" applyFill="1" applyBorder="1" applyAlignment="1" applyProtection="1">
      <alignment horizontal="center"/>
      <protection hidden="1"/>
    </xf>
    <xf numFmtId="0" fontId="5" fillId="3" borderId="0" xfId="0" applyFont="1" applyFill="1" applyBorder="1" applyAlignment="1" applyProtection="1">
      <alignment/>
      <protection hidden="1"/>
    </xf>
    <xf numFmtId="0" fontId="0" fillId="3" borderId="14" xfId="0" applyFont="1" applyFill="1" applyBorder="1" applyAlignment="1" applyProtection="1">
      <alignment/>
      <protection hidden="1"/>
    </xf>
    <xf numFmtId="2" fontId="11" fillId="3" borderId="0" xfId="0" applyNumberFormat="1" applyFont="1" applyFill="1" applyBorder="1" applyAlignment="1" applyProtection="1">
      <alignment/>
      <protection hidden="1"/>
    </xf>
    <xf numFmtId="0" fontId="7" fillId="3" borderId="0" xfId="0" applyFont="1" applyFill="1" applyBorder="1" applyAlignment="1" applyProtection="1">
      <alignment/>
      <protection hidden="1"/>
    </xf>
    <xf numFmtId="2" fontId="26" fillId="3" borderId="0" xfId="0" applyNumberFormat="1" applyFont="1" applyFill="1" applyBorder="1" applyAlignment="1" applyProtection="1">
      <alignment/>
      <protection hidden="1"/>
    </xf>
    <xf numFmtId="164" fontId="8" fillId="3" borderId="0" xfId="0" applyNumberFormat="1" applyFont="1" applyFill="1" applyBorder="1" applyAlignment="1" applyProtection="1">
      <alignment horizontal="right"/>
      <protection hidden="1"/>
    </xf>
    <xf numFmtId="0" fontId="16" fillId="3" borderId="0" xfId="0" applyFont="1" applyFill="1" applyBorder="1" applyAlignment="1" applyProtection="1">
      <alignment/>
      <protection hidden="1"/>
    </xf>
    <xf numFmtId="166" fontId="4" fillId="3" borderId="17" xfId="0" applyNumberFormat="1" applyFont="1" applyFill="1" applyBorder="1" applyAlignment="1" applyProtection="1">
      <alignment horizontal="center"/>
      <protection hidden="1"/>
    </xf>
    <xf numFmtId="164" fontId="8" fillId="3" borderId="0" xfId="0" applyNumberFormat="1" applyFont="1" applyFill="1" applyBorder="1" applyAlignment="1" applyProtection="1">
      <alignment horizontal="left"/>
      <protection hidden="1"/>
    </xf>
    <xf numFmtId="0" fontId="27" fillId="3" borderId="0" xfId="0" applyFont="1" applyFill="1" applyAlignment="1">
      <alignment horizontal="centerContinuous"/>
    </xf>
    <xf numFmtId="0" fontId="28" fillId="3" borderId="0" xfId="0" applyFont="1" applyFill="1" applyAlignment="1">
      <alignment horizontal="centerContinuous"/>
    </xf>
    <xf numFmtId="0" fontId="28" fillId="3" borderId="0" xfId="0" applyFont="1" applyFill="1" applyAlignment="1">
      <alignment/>
    </xf>
    <xf numFmtId="0" fontId="0" fillId="3" borderId="0" xfId="0" applyFill="1" applyAlignment="1">
      <alignment/>
    </xf>
    <xf numFmtId="0" fontId="3" fillId="3" borderId="0" xfId="0" applyFont="1" applyFill="1" applyAlignment="1">
      <alignment/>
    </xf>
    <xf numFmtId="0" fontId="2" fillId="3" borderId="9" xfId="0" applyFont="1" applyFill="1" applyBorder="1" applyAlignment="1">
      <alignment horizontal="centerContinuous"/>
    </xf>
    <xf numFmtId="0" fontId="29" fillId="3" borderId="10" xfId="0" applyFont="1" applyFill="1" applyBorder="1" applyAlignment="1">
      <alignment horizontal="centerContinuous"/>
    </xf>
    <xf numFmtId="0" fontId="29" fillId="3" borderId="11" xfId="0" applyFont="1" applyFill="1" applyBorder="1" applyAlignment="1">
      <alignment horizontal="centerContinuous"/>
    </xf>
    <xf numFmtId="0" fontId="0" fillId="3" borderId="10" xfId="0" applyFont="1" applyFill="1" applyBorder="1" applyAlignment="1">
      <alignment horizontal="centerContinuous"/>
    </xf>
    <xf numFmtId="0" fontId="0" fillId="3" borderId="11" xfId="0" applyFont="1" applyFill="1" applyBorder="1" applyAlignment="1">
      <alignment horizontal="centerContinuous"/>
    </xf>
    <xf numFmtId="0" fontId="28" fillId="0" borderId="2" xfId="0" applyFont="1" applyFill="1" applyBorder="1" applyAlignment="1">
      <alignment horizontal="centerContinuous"/>
    </xf>
    <xf numFmtId="0" fontId="28" fillId="0" borderId="3" xfId="0" applyFont="1" applyFill="1" applyBorder="1" applyAlignment="1">
      <alignment horizontal="centerContinuous"/>
    </xf>
    <xf numFmtId="0" fontId="28" fillId="0" borderId="13" xfId="0" applyFont="1" applyFill="1" applyBorder="1" applyAlignment="1">
      <alignment horizontal="centerContinuous"/>
    </xf>
    <xf numFmtId="0" fontId="28" fillId="0" borderId="8" xfId="0" applyFont="1" applyFill="1" applyBorder="1" applyAlignment="1">
      <alignment horizontal="centerContinuous"/>
    </xf>
    <xf numFmtId="0" fontId="28" fillId="0" borderId="5" xfId="0" applyFont="1" applyFill="1" applyBorder="1" applyAlignment="1">
      <alignment horizontal="centerContinuous"/>
    </xf>
    <xf numFmtId="0" fontId="28" fillId="0" borderId="15" xfId="0" applyFont="1" applyFill="1" applyBorder="1" applyAlignment="1">
      <alignment horizontal="centerContinuous"/>
    </xf>
    <xf numFmtId="0" fontId="28" fillId="3" borderId="0" xfId="0" applyFont="1" applyFill="1" applyBorder="1" applyAlignment="1">
      <alignment horizontal="centerContinuous"/>
    </xf>
    <xf numFmtId="0" fontId="28" fillId="3" borderId="0" xfId="0" applyFont="1" applyFill="1" applyBorder="1" applyAlignment="1">
      <alignment/>
    </xf>
    <xf numFmtId="0" fontId="24" fillId="3" borderId="0" xfId="0" applyFont="1" applyFill="1" applyAlignment="1">
      <alignment/>
    </xf>
    <xf numFmtId="164" fontId="4" fillId="3" borderId="0" xfId="0" applyNumberFormat="1" applyFont="1" applyFill="1" applyBorder="1" applyAlignment="1" applyProtection="1">
      <alignment horizontal="right"/>
      <protection hidden="1"/>
    </xf>
    <xf numFmtId="0" fontId="21" fillId="3" borderId="0" xfId="0" applyFont="1" applyFill="1" applyBorder="1" applyAlignment="1" applyProtection="1">
      <alignment/>
      <protection hidden="1"/>
    </xf>
    <xf numFmtId="164" fontId="1" fillId="3" borderId="0" xfId="0" applyNumberFormat="1" applyFont="1" applyFill="1" applyBorder="1" applyAlignment="1" applyProtection="1">
      <alignment/>
      <protection hidden="1"/>
    </xf>
    <xf numFmtId="2" fontId="4" fillId="3" borderId="0" xfId="0" applyNumberFormat="1" applyFont="1" applyFill="1" applyBorder="1" applyAlignment="1" applyProtection="1">
      <alignment horizontal="center"/>
      <protection locked="0"/>
    </xf>
    <xf numFmtId="166" fontId="4" fillId="3" borderId="0" xfId="0" applyNumberFormat="1" applyFont="1" applyFill="1" applyBorder="1" applyAlignment="1" applyProtection="1">
      <alignment horizontal="center"/>
      <protection locked="0"/>
    </xf>
    <xf numFmtId="166" fontId="4" fillId="3" borderId="5" xfId="0" applyNumberFormat="1" applyFont="1" applyFill="1" applyBorder="1" applyAlignment="1" applyProtection="1">
      <alignment horizontal="center"/>
      <protection locked="0"/>
    </xf>
    <xf numFmtId="0" fontId="4" fillId="3" borderId="4" xfId="0" applyFont="1" applyFill="1" applyBorder="1" applyAlignment="1" applyProtection="1">
      <alignment/>
      <protection locked="0"/>
    </xf>
    <xf numFmtId="2" fontId="4" fillId="3" borderId="0" xfId="0" applyNumberFormat="1" applyFont="1" applyFill="1" applyBorder="1" applyAlignment="1" applyProtection="1">
      <alignment/>
      <protection locked="0"/>
    </xf>
    <xf numFmtId="0" fontId="21" fillId="3" borderId="0" xfId="0" applyFont="1" applyFill="1" applyBorder="1" applyAlignment="1" applyProtection="1">
      <alignment/>
      <protection locked="0"/>
    </xf>
    <xf numFmtId="0" fontId="4" fillId="3" borderId="0" xfId="0" applyFont="1" applyFill="1" applyBorder="1" applyAlignment="1" applyProtection="1">
      <alignment/>
      <protection locked="0"/>
    </xf>
    <xf numFmtId="164" fontId="4" fillId="3" borderId="0" xfId="0" applyNumberFormat="1" applyFont="1" applyFill="1" applyBorder="1" applyAlignment="1" applyProtection="1">
      <alignment/>
      <protection locked="0"/>
    </xf>
    <xf numFmtId="0" fontId="4" fillId="3" borderId="4" xfId="0" applyFont="1" applyFill="1" applyBorder="1" applyAlignment="1" applyProtection="1">
      <alignment/>
      <protection locked="0"/>
    </xf>
    <xf numFmtId="2" fontId="30" fillId="3" borderId="4" xfId="0" applyNumberFormat="1" applyFont="1" applyFill="1" applyBorder="1" applyAlignment="1" applyProtection="1">
      <alignment/>
      <protection locked="0"/>
    </xf>
    <xf numFmtId="0" fontId="4" fillId="3" borderId="0" xfId="0" applyFont="1" applyFill="1" applyBorder="1" applyAlignment="1" applyProtection="1">
      <alignment horizontal="left"/>
      <protection locked="0"/>
    </xf>
    <xf numFmtId="2" fontId="4" fillId="3" borderId="0" xfId="0" applyNumberFormat="1" applyFont="1" applyFill="1" applyBorder="1" applyAlignment="1" applyProtection="1">
      <alignment horizontal="left"/>
      <protection locked="0"/>
    </xf>
    <xf numFmtId="0" fontId="4" fillId="3" borderId="0" xfId="0" applyFont="1" applyFill="1" applyBorder="1" applyAlignment="1" applyProtection="1">
      <alignment horizontal="right"/>
      <protection locked="0"/>
    </xf>
    <xf numFmtId="0" fontId="4" fillId="3" borderId="8" xfId="0" applyFont="1" applyFill="1" applyBorder="1" applyAlignment="1" applyProtection="1">
      <alignment/>
      <protection locked="0"/>
    </xf>
    <xf numFmtId="0" fontId="4" fillId="3" borderId="5" xfId="0" applyFont="1" applyFill="1" applyBorder="1" applyAlignment="1" applyProtection="1">
      <alignment/>
      <protection locked="0"/>
    </xf>
    <xf numFmtId="0" fontId="4" fillId="3" borderId="5" xfId="0" applyFont="1" applyFill="1" applyBorder="1" applyAlignment="1" applyProtection="1">
      <alignment/>
      <protection locked="0"/>
    </xf>
    <xf numFmtId="0" fontId="4" fillId="3" borderId="15" xfId="0" applyFont="1" applyFill="1" applyBorder="1" applyAlignment="1" applyProtection="1">
      <alignment/>
      <protection locked="0"/>
    </xf>
    <xf numFmtId="0" fontId="4" fillId="3" borderId="5" xfId="0" applyFont="1" applyFill="1" applyBorder="1" applyAlignment="1" applyProtection="1">
      <alignment/>
      <protection hidden="1"/>
    </xf>
    <xf numFmtId="0" fontId="4" fillId="3" borderId="5" xfId="0" applyFont="1" applyFill="1" applyBorder="1" applyAlignment="1" applyProtection="1">
      <alignment/>
      <protection hidden="1"/>
    </xf>
    <xf numFmtId="0" fontId="4" fillId="3" borderId="15" xfId="0" applyFont="1" applyFill="1" applyBorder="1" applyAlignment="1" applyProtection="1">
      <alignment/>
      <protection hidden="1"/>
    </xf>
    <xf numFmtId="0" fontId="5" fillId="3" borderId="0" xfId="0" applyFont="1" applyFill="1" applyBorder="1" applyAlignment="1" applyProtection="1">
      <alignment horizontal="center"/>
      <protection hidden="1"/>
    </xf>
    <xf numFmtId="0" fontId="11" fillId="3" borderId="0" xfId="0" applyFont="1" applyFill="1" applyBorder="1" applyAlignment="1" applyProtection="1">
      <alignment/>
      <protection hidden="1"/>
    </xf>
    <xf numFmtId="164" fontId="4" fillId="4" borderId="12" xfId="0" applyNumberFormat="1" applyFont="1" applyFill="1" applyBorder="1" applyAlignment="1" applyProtection="1">
      <alignment horizontal="center"/>
      <protection locked="0"/>
    </xf>
    <xf numFmtId="0" fontId="4" fillId="3" borderId="4" xfId="0" applyFont="1" applyFill="1" applyBorder="1" applyAlignment="1" applyProtection="1">
      <alignment/>
      <protection hidden="1"/>
    </xf>
    <xf numFmtId="164" fontId="5" fillId="3" borderId="0" xfId="0" applyNumberFormat="1" applyFont="1" applyFill="1" applyBorder="1" applyAlignment="1" applyProtection="1">
      <alignment horizontal="right"/>
      <protection hidden="1"/>
    </xf>
    <xf numFmtId="0" fontId="4" fillId="4" borderId="17" xfId="0" applyFont="1" applyFill="1" applyBorder="1" applyAlignment="1" applyProtection="1">
      <alignment horizontal="center"/>
      <protection locked="0"/>
    </xf>
    <xf numFmtId="0" fontId="4" fillId="3" borderId="4" xfId="0" applyFont="1" applyFill="1" applyBorder="1" applyAlignment="1" applyProtection="1">
      <alignment/>
      <protection hidden="1"/>
    </xf>
    <xf numFmtId="0" fontId="4" fillId="3" borderId="0" xfId="0" applyFont="1" applyFill="1" applyBorder="1" applyAlignment="1" applyProtection="1">
      <alignment/>
      <protection hidden="1"/>
    </xf>
    <xf numFmtId="164" fontId="4" fillId="3" borderId="0" xfId="0" applyNumberFormat="1" applyFont="1" applyFill="1" applyBorder="1" applyAlignment="1" applyProtection="1">
      <alignment/>
      <protection hidden="1"/>
    </xf>
    <xf numFmtId="0" fontId="4" fillId="3" borderId="0" xfId="0" applyFont="1" applyFill="1" applyBorder="1" applyAlignment="1" applyProtection="1">
      <alignment/>
      <protection hidden="1"/>
    </xf>
    <xf numFmtId="225" fontId="4" fillId="3" borderId="0" xfId="0" applyNumberFormat="1" applyFont="1" applyFill="1" applyAlignment="1" applyProtection="1">
      <alignment horizontal="center"/>
      <protection hidden="1"/>
    </xf>
    <xf numFmtId="0" fontId="0" fillId="3" borderId="0" xfId="0" applyNumberFormat="1" applyFill="1" applyBorder="1" applyAlignment="1" applyProtection="1">
      <alignment/>
      <protection hidden="1"/>
    </xf>
    <xf numFmtId="2" fontId="4" fillId="4" borderId="12" xfId="0" applyNumberFormat="1" applyFont="1" applyFill="1" applyBorder="1" applyAlignment="1" applyProtection="1">
      <alignment horizontal="center"/>
      <protection locked="0"/>
    </xf>
    <xf numFmtId="164" fontId="4" fillId="3" borderId="14" xfId="0" applyNumberFormat="1" applyFont="1" applyFill="1" applyBorder="1" applyAlignment="1" applyProtection="1" quotePrefix="1">
      <alignment horizontal="center"/>
      <protection hidden="1"/>
    </xf>
    <xf numFmtId="0" fontId="4" fillId="3" borderId="23" xfId="0" applyNumberFormat="1" applyFont="1" applyFill="1" applyBorder="1" applyAlignment="1" applyProtection="1">
      <alignment horizontal="center"/>
      <protection hidden="1"/>
    </xf>
    <xf numFmtId="0" fontId="4" fillId="3" borderId="16" xfId="0" applyNumberFormat="1" applyFont="1" applyFill="1" applyBorder="1" applyAlignment="1" applyProtection="1">
      <alignment horizontal="center"/>
      <protection hidden="1"/>
    </xf>
    <xf numFmtId="0" fontId="4" fillId="3" borderId="16" xfId="0" applyNumberFormat="1" applyFont="1" applyFill="1" applyBorder="1" applyAlignment="1" applyProtection="1" quotePrefix="1">
      <alignment horizontal="center"/>
      <protection hidden="1"/>
    </xf>
    <xf numFmtId="0" fontId="4" fillId="3" borderId="24" xfId="0" applyNumberFormat="1" applyFont="1" applyFill="1" applyBorder="1" applyAlignment="1" applyProtection="1" quotePrefix="1">
      <alignment horizontal="center"/>
      <protection hidden="1"/>
    </xf>
    <xf numFmtId="0" fontId="4" fillId="3" borderId="23" xfId="0" applyNumberFormat="1" applyFont="1" applyFill="1" applyBorder="1" applyAlignment="1" applyProtection="1" quotePrefix="1">
      <alignment horizontal="center"/>
      <protection hidden="1"/>
    </xf>
    <xf numFmtId="2" fontId="5" fillId="2" borderId="17" xfId="0" applyNumberFormat="1" applyFont="1" applyFill="1" applyBorder="1" applyAlignment="1" applyProtection="1">
      <alignment horizontal="center"/>
      <protection hidden="1"/>
    </xf>
    <xf numFmtId="0" fontId="5" fillId="2" borderId="17" xfId="0" applyFont="1" applyFill="1" applyBorder="1" applyAlignment="1" applyProtection="1" quotePrefix="1">
      <alignment horizontal="center"/>
      <protection hidden="1"/>
    </xf>
    <xf numFmtId="2" fontId="32" fillId="2" borderId="2" xfId="0" applyNumberFormat="1" applyFont="1" applyFill="1" applyBorder="1" applyAlignment="1" applyProtection="1">
      <alignment horizontal="center"/>
      <protection hidden="1"/>
    </xf>
    <xf numFmtId="2" fontId="32" fillId="2" borderId="3" xfId="0" applyNumberFormat="1" applyFont="1" applyFill="1" applyBorder="1" applyAlignment="1" applyProtection="1">
      <alignment horizontal="center"/>
      <protection hidden="1"/>
    </xf>
    <xf numFmtId="2" fontId="32" fillId="2" borderId="13" xfId="0" applyNumberFormat="1" applyFont="1" applyFill="1" applyBorder="1" applyAlignment="1" applyProtection="1">
      <alignment horizontal="center"/>
      <protection hidden="1"/>
    </xf>
    <xf numFmtId="0" fontId="18" fillId="3" borderId="0" xfId="0" applyFont="1" applyFill="1" applyBorder="1" applyAlignment="1" applyProtection="1">
      <alignment horizontal="center"/>
      <protection hidden="1"/>
    </xf>
    <xf numFmtId="0" fontId="4" fillId="3" borderId="12" xfId="0" applyNumberFormat="1" applyFont="1" applyFill="1" applyBorder="1" applyAlignment="1" applyProtection="1" quotePrefix="1">
      <alignment horizontal="center"/>
      <protection hidden="1"/>
    </xf>
    <xf numFmtId="0" fontId="2" fillId="3" borderId="0" xfId="0" applyFont="1" applyFill="1" applyBorder="1" applyAlignment="1" applyProtection="1">
      <alignment/>
      <protection hidden="1"/>
    </xf>
    <xf numFmtId="0" fontId="18" fillId="3" borderId="0" xfId="0" applyFont="1" applyFill="1" applyBorder="1" applyAlignment="1" applyProtection="1">
      <alignment/>
      <protection hidden="1"/>
    </xf>
    <xf numFmtId="166" fontId="4" fillId="3" borderId="0" xfId="0" applyNumberFormat="1" applyFont="1" applyFill="1" applyBorder="1" applyAlignment="1" applyProtection="1">
      <alignment horizontal="center"/>
      <protection hidden="1"/>
    </xf>
    <xf numFmtId="166" fontId="0" fillId="3" borderId="0" xfId="0" applyNumberFormat="1" applyFill="1" applyBorder="1" applyAlignment="1" applyProtection="1">
      <alignment/>
      <protection hidden="1"/>
    </xf>
    <xf numFmtId="13" fontId="4" fillId="3" borderId="0" xfId="0" applyNumberFormat="1" applyFont="1" applyFill="1" applyAlignment="1" applyProtection="1">
      <alignment horizontal="center"/>
      <protection hidden="1"/>
    </xf>
    <xf numFmtId="13" fontId="4" fillId="4" borderId="12" xfId="0" applyNumberFormat="1" applyFont="1" applyFill="1" applyBorder="1" applyAlignment="1" applyProtection="1">
      <alignment horizontal="center"/>
      <protection locked="0"/>
    </xf>
    <xf numFmtId="0" fontId="5" fillId="3" borderId="0" xfId="0" applyFont="1" applyFill="1" applyBorder="1" applyAlignment="1" applyProtection="1">
      <alignment horizontal="right"/>
      <protection hidden="1"/>
    </xf>
    <xf numFmtId="0" fontId="4" fillId="4" borderId="12" xfId="0" applyFont="1" applyFill="1" applyBorder="1" applyAlignment="1" applyProtection="1">
      <alignment horizontal="center"/>
      <protection locked="0"/>
    </xf>
    <xf numFmtId="164" fontId="1" fillId="3" borderId="0" xfId="0" applyNumberFormat="1" applyFont="1" applyFill="1" applyBorder="1" applyAlignment="1" applyProtection="1">
      <alignment/>
      <protection hidden="1"/>
    </xf>
    <xf numFmtId="0" fontId="1" fillId="3" borderId="4" xfId="0" applyFont="1" applyFill="1" applyBorder="1" applyAlignment="1" applyProtection="1">
      <alignment/>
      <protection hidden="1"/>
    </xf>
    <xf numFmtId="0" fontId="21" fillId="3" borderId="4" xfId="0" applyFont="1" applyFill="1" applyBorder="1" applyAlignment="1" applyProtection="1">
      <alignment/>
      <protection hidden="1"/>
    </xf>
    <xf numFmtId="0" fontId="21" fillId="3" borderId="4" xfId="0" applyFont="1" applyFill="1" applyBorder="1" applyAlignment="1" applyProtection="1">
      <alignment/>
      <protection hidden="1"/>
    </xf>
    <xf numFmtId="0" fontId="36" fillId="3" borderId="4" xfId="0" applyFont="1" applyFill="1" applyBorder="1" applyAlignment="1" applyProtection="1">
      <alignmen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9</xdr:row>
      <xdr:rowOff>123825</xdr:rowOff>
    </xdr:from>
    <xdr:to>
      <xdr:col>6</xdr:col>
      <xdr:colOff>152400</xdr:colOff>
      <xdr:row>17</xdr:row>
      <xdr:rowOff>123825</xdr:rowOff>
    </xdr:to>
    <xdr:sp>
      <xdr:nvSpPr>
        <xdr:cNvPr id="1" name="Rectangle 2"/>
        <xdr:cNvSpPr>
          <a:spLocks/>
        </xdr:cNvSpPr>
      </xdr:nvSpPr>
      <xdr:spPr>
        <a:xfrm>
          <a:off x="3209925" y="1619250"/>
          <a:ext cx="933450"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21</xdr:row>
      <xdr:rowOff>9525</xdr:rowOff>
    </xdr:from>
    <xdr:to>
      <xdr:col>6</xdr:col>
      <xdr:colOff>152400</xdr:colOff>
      <xdr:row>21</xdr:row>
      <xdr:rowOff>9525</xdr:rowOff>
    </xdr:to>
    <xdr:sp>
      <xdr:nvSpPr>
        <xdr:cNvPr id="2" name="Line 3"/>
        <xdr:cNvSpPr>
          <a:spLocks/>
        </xdr:cNvSpPr>
      </xdr:nvSpPr>
      <xdr:spPr>
        <a:xfrm>
          <a:off x="3209925" y="35242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8</xdr:row>
      <xdr:rowOff>47625</xdr:rowOff>
    </xdr:from>
    <xdr:to>
      <xdr:col>4</xdr:col>
      <xdr:colOff>428625</xdr:colOff>
      <xdr:row>9</xdr:row>
      <xdr:rowOff>85725</xdr:rowOff>
    </xdr:to>
    <xdr:sp>
      <xdr:nvSpPr>
        <xdr:cNvPr id="3" name="Line 4"/>
        <xdr:cNvSpPr>
          <a:spLocks/>
        </xdr:cNvSpPr>
      </xdr:nvSpPr>
      <xdr:spPr>
        <a:xfrm flipV="1">
          <a:off x="3209925" y="1381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8</xdr:row>
      <xdr:rowOff>47625</xdr:rowOff>
    </xdr:from>
    <xdr:to>
      <xdr:col>6</xdr:col>
      <xdr:colOff>152400</xdr:colOff>
      <xdr:row>9</xdr:row>
      <xdr:rowOff>85725</xdr:rowOff>
    </xdr:to>
    <xdr:sp>
      <xdr:nvSpPr>
        <xdr:cNvPr id="4" name="Line 5"/>
        <xdr:cNvSpPr>
          <a:spLocks/>
        </xdr:cNvSpPr>
      </xdr:nvSpPr>
      <xdr:spPr>
        <a:xfrm flipV="1">
          <a:off x="4143375" y="1381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9</xdr:row>
      <xdr:rowOff>0</xdr:rowOff>
    </xdr:from>
    <xdr:to>
      <xdr:col>6</xdr:col>
      <xdr:colOff>152400</xdr:colOff>
      <xdr:row>9</xdr:row>
      <xdr:rowOff>0</xdr:rowOff>
    </xdr:to>
    <xdr:sp>
      <xdr:nvSpPr>
        <xdr:cNvPr id="5" name="Line 6"/>
        <xdr:cNvSpPr>
          <a:spLocks/>
        </xdr:cNvSpPr>
      </xdr:nvSpPr>
      <xdr:spPr>
        <a:xfrm>
          <a:off x="3209925" y="1495425"/>
          <a:ext cx="933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9</xdr:row>
      <xdr:rowOff>123825</xdr:rowOff>
    </xdr:from>
    <xdr:to>
      <xdr:col>4</xdr:col>
      <xdr:colOff>390525</xdr:colOff>
      <xdr:row>9</xdr:row>
      <xdr:rowOff>123825</xdr:rowOff>
    </xdr:to>
    <xdr:sp>
      <xdr:nvSpPr>
        <xdr:cNvPr id="6" name="Line 7"/>
        <xdr:cNvSpPr>
          <a:spLocks/>
        </xdr:cNvSpPr>
      </xdr:nvSpPr>
      <xdr:spPr>
        <a:xfrm flipH="1">
          <a:off x="2971800" y="1619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17</xdr:row>
      <xdr:rowOff>123825</xdr:rowOff>
    </xdr:from>
    <xdr:to>
      <xdr:col>4</xdr:col>
      <xdr:colOff>390525</xdr:colOff>
      <xdr:row>17</xdr:row>
      <xdr:rowOff>123825</xdr:rowOff>
    </xdr:to>
    <xdr:sp>
      <xdr:nvSpPr>
        <xdr:cNvPr id="7" name="Line 8"/>
        <xdr:cNvSpPr>
          <a:spLocks/>
        </xdr:cNvSpPr>
      </xdr:nvSpPr>
      <xdr:spPr>
        <a:xfrm flipH="1">
          <a:off x="2971800" y="29622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9</xdr:row>
      <xdr:rowOff>123825</xdr:rowOff>
    </xdr:from>
    <xdr:to>
      <xdr:col>4</xdr:col>
      <xdr:colOff>304800</xdr:colOff>
      <xdr:row>17</xdr:row>
      <xdr:rowOff>123825</xdr:rowOff>
    </xdr:to>
    <xdr:sp>
      <xdr:nvSpPr>
        <xdr:cNvPr id="8" name="Line 9"/>
        <xdr:cNvSpPr>
          <a:spLocks/>
        </xdr:cNvSpPr>
      </xdr:nvSpPr>
      <xdr:spPr>
        <a:xfrm>
          <a:off x="3086100" y="1619250"/>
          <a:ext cx="0" cy="1343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361950</xdr:colOff>
      <xdr:row>21</xdr:row>
      <xdr:rowOff>9525</xdr:rowOff>
    </xdr:from>
    <xdr:to>
      <xdr:col>4</xdr:col>
      <xdr:colOff>495300</xdr:colOff>
      <xdr:row>21</xdr:row>
      <xdr:rowOff>95250</xdr:rowOff>
    </xdr:to>
    <xdr:sp>
      <xdr:nvSpPr>
        <xdr:cNvPr id="9" name="AutoShape 10"/>
        <xdr:cNvSpPr>
          <a:spLocks/>
        </xdr:cNvSpPr>
      </xdr:nvSpPr>
      <xdr:spPr>
        <a:xfrm>
          <a:off x="3143250" y="3524250"/>
          <a:ext cx="133350" cy="857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21</xdr:row>
      <xdr:rowOff>9525</xdr:rowOff>
    </xdr:from>
    <xdr:to>
      <xdr:col>6</xdr:col>
      <xdr:colOff>219075</xdr:colOff>
      <xdr:row>21</xdr:row>
      <xdr:rowOff>95250</xdr:rowOff>
    </xdr:to>
    <xdr:sp>
      <xdr:nvSpPr>
        <xdr:cNvPr id="10" name="AutoShape 11"/>
        <xdr:cNvSpPr>
          <a:spLocks/>
        </xdr:cNvSpPr>
      </xdr:nvSpPr>
      <xdr:spPr>
        <a:xfrm>
          <a:off x="4076700" y="3524250"/>
          <a:ext cx="133350" cy="857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20</xdr:row>
      <xdr:rowOff>9525</xdr:rowOff>
    </xdr:from>
    <xdr:to>
      <xdr:col>6</xdr:col>
      <xdr:colOff>152400</xdr:colOff>
      <xdr:row>21</xdr:row>
      <xdr:rowOff>0</xdr:rowOff>
    </xdr:to>
    <xdr:sp>
      <xdr:nvSpPr>
        <xdr:cNvPr id="11" name="Rectangle 12"/>
        <xdr:cNvSpPr>
          <a:spLocks/>
        </xdr:cNvSpPr>
      </xdr:nvSpPr>
      <xdr:spPr>
        <a:xfrm>
          <a:off x="3209925" y="3362325"/>
          <a:ext cx="933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9</xdr:row>
      <xdr:rowOff>123825</xdr:rowOff>
    </xdr:from>
    <xdr:to>
      <xdr:col>9</xdr:col>
      <xdr:colOff>152400</xdr:colOff>
      <xdr:row>17</xdr:row>
      <xdr:rowOff>123825</xdr:rowOff>
    </xdr:to>
    <xdr:sp>
      <xdr:nvSpPr>
        <xdr:cNvPr id="12" name="Rectangle 13"/>
        <xdr:cNvSpPr>
          <a:spLocks/>
        </xdr:cNvSpPr>
      </xdr:nvSpPr>
      <xdr:spPr>
        <a:xfrm>
          <a:off x="5029200" y="1619250"/>
          <a:ext cx="88582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21</xdr:row>
      <xdr:rowOff>9525</xdr:rowOff>
    </xdr:from>
    <xdr:to>
      <xdr:col>9</xdr:col>
      <xdr:colOff>152400</xdr:colOff>
      <xdr:row>21</xdr:row>
      <xdr:rowOff>9525</xdr:rowOff>
    </xdr:to>
    <xdr:sp>
      <xdr:nvSpPr>
        <xdr:cNvPr id="13" name="Line 14"/>
        <xdr:cNvSpPr>
          <a:spLocks/>
        </xdr:cNvSpPr>
      </xdr:nvSpPr>
      <xdr:spPr>
        <a:xfrm>
          <a:off x="5029200" y="35242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8</xdr:row>
      <xdr:rowOff>47625</xdr:rowOff>
    </xdr:from>
    <xdr:to>
      <xdr:col>7</xdr:col>
      <xdr:colOff>428625</xdr:colOff>
      <xdr:row>9</xdr:row>
      <xdr:rowOff>85725</xdr:rowOff>
    </xdr:to>
    <xdr:sp>
      <xdr:nvSpPr>
        <xdr:cNvPr id="14" name="Line 15"/>
        <xdr:cNvSpPr>
          <a:spLocks/>
        </xdr:cNvSpPr>
      </xdr:nvSpPr>
      <xdr:spPr>
        <a:xfrm flipV="1">
          <a:off x="5029200" y="1381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47625</xdr:rowOff>
    </xdr:from>
    <xdr:to>
      <xdr:col>9</xdr:col>
      <xdr:colOff>152400</xdr:colOff>
      <xdr:row>9</xdr:row>
      <xdr:rowOff>85725</xdr:rowOff>
    </xdr:to>
    <xdr:sp>
      <xdr:nvSpPr>
        <xdr:cNvPr id="15" name="Line 16"/>
        <xdr:cNvSpPr>
          <a:spLocks/>
        </xdr:cNvSpPr>
      </xdr:nvSpPr>
      <xdr:spPr>
        <a:xfrm flipV="1">
          <a:off x="5915025" y="13811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9</xdr:row>
      <xdr:rowOff>0</xdr:rowOff>
    </xdr:from>
    <xdr:to>
      <xdr:col>9</xdr:col>
      <xdr:colOff>152400</xdr:colOff>
      <xdr:row>9</xdr:row>
      <xdr:rowOff>0</xdr:rowOff>
    </xdr:to>
    <xdr:sp>
      <xdr:nvSpPr>
        <xdr:cNvPr id="16" name="Line 17"/>
        <xdr:cNvSpPr>
          <a:spLocks/>
        </xdr:cNvSpPr>
      </xdr:nvSpPr>
      <xdr:spPr>
        <a:xfrm>
          <a:off x="5029200" y="1495425"/>
          <a:ext cx="8858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9</xdr:row>
      <xdr:rowOff>123825</xdr:rowOff>
    </xdr:from>
    <xdr:to>
      <xdr:col>7</xdr:col>
      <xdr:colOff>390525</xdr:colOff>
      <xdr:row>9</xdr:row>
      <xdr:rowOff>123825</xdr:rowOff>
    </xdr:to>
    <xdr:sp>
      <xdr:nvSpPr>
        <xdr:cNvPr id="17" name="Line 18"/>
        <xdr:cNvSpPr>
          <a:spLocks/>
        </xdr:cNvSpPr>
      </xdr:nvSpPr>
      <xdr:spPr>
        <a:xfrm flipH="1">
          <a:off x="4791075" y="1619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17</xdr:row>
      <xdr:rowOff>123825</xdr:rowOff>
    </xdr:from>
    <xdr:to>
      <xdr:col>7</xdr:col>
      <xdr:colOff>390525</xdr:colOff>
      <xdr:row>17</xdr:row>
      <xdr:rowOff>123825</xdr:rowOff>
    </xdr:to>
    <xdr:sp>
      <xdr:nvSpPr>
        <xdr:cNvPr id="18" name="Line 19"/>
        <xdr:cNvSpPr>
          <a:spLocks/>
        </xdr:cNvSpPr>
      </xdr:nvSpPr>
      <xdr:spPr>
        <a:xfrm flipH="1">
          <a:off x="4791075" y="29622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9</xdr:row>
      <xdr:rowOff>123825</xdr:rowOff>
    </xdr:from>
    <xdr:to>
      <xdr:col>7</xdr:col>
      <xdr:colOff>304800</xdr:colOff>
      <xdr:row>17</xdr:row>
      <xdr:rowOff>123825</xdr:rowOff>
    </xdr:to>
    <xdr:sp>
      <xdr:nvSpPr>
        <xdr:cNvPr id="19" name="Line 20"/>
        <xdr:cNvSpPr>
          <a:spLocks/>
        </xdr:cNvSpPr>
      </xdr:nvSpPr>
      <xdr:spPr>
        <a:xfrm>
          <a:off x="4905375" y="1619250"/>
          <a:ext cx="0" cy="1343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20</xdr:row>
      <xdr:rowOff>9525</xdr:rowOff>
    </xdr:from>
    <xdr:to>
      <xdr:col>9</xdr:col>
      <xdr:colOff>152400</xdr:colOff>
      <xdr:row>21</xdr:row>
      <xdr:rowOff>0</xdr:rowOff>
    </xdr:to>
    <xdr:sp>
      <xdr:nvSpPr>
        <xdr:cNvPr id="20" name="Rectangle 21"/>
        <xdr:cNvSpPr>
          <a:spLocks/>
        </xdr:cNvSpPr>
      </xdr:nvSpPr>
      <xdr:spPr>
        <a:xfrm>
          <a:off x="5029200" y="3362325"/>
          <a:ext cx="885825"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19</xdr:row>
      <xdr:rowOff>66675</xdr:rowOff>
    </xdr:from>
    <xdr:to>
      <xdr:col>7</xdr:col>
      <xdr:colOff>428625</xdr:colOff>
      <xdr:row>21</xdr:row>
      <xdr:rowOff>161925</xdr:rowOff>
    </xdr:to>
    <xdr:sp>
      <xdr:nvSpPr>
        <xdr:cNvPr id="21" name="Rectangle 22"/>
        <xdr:cNvSpPr>
          <a:spLocks/>
        </xdr:cNvSpPr>
      </xdr:nvSpPr>
      <xdr:spPr>
        <a:xfrm>
          <a:off x="4838700" y="3248025"/>
          <a:ext cx="190500" cy="428625"/>
        </a:xfrm>
        <a:prstGeom prst="rect">
          <a:avLst/>
        </a:prstGeom>
        <a:pattFill prst="dkDn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19</xdr:row>
      <xdr:rowOff>66675</xdr:rowOff>
    </xdr:from>
    <xdr:to>
      <xdr:col>9</xdr:col>
      <xdr:colOff>342900</xdr:colOff>
      <xdr:row>21</xdr:row>
      <xdr:rowOff>161925</xdr:rowOff>
    </xdr:to>
    <xdr:sp>
      <xdr:nvSpPr>
        <xdr:cNvPr id="22" name="Rectangle 23"/>
        <xdr:cNvSpPr>
          <a:spLocks/>
        </xdr:cNvSpPr>
      </xdr:nvSpPr>
      <xdr:spPr>
        <a:xfrm>
          <a:off x="5915025" y="3248025"/>
          <a:ext cx="190500" cy="428625"/>
        </a:xfrm>
        <a:prstGeom prst="rect">
          <a:avLst/>
        </a:prstGeom>
        <a:pattFill prst="dk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1"/>
  <sheetViews>
    <sheetView tabSelected="1" workbookViewId="0" topLeftCell="A1">
      <selection activeCell="A28" sqref="A28"/>
    </sheetView>
  </sheetViews>
  <sheetFormatPr defaultColWidth="9.140625" defaultRowHeight="12.75"/>
  <cols>
    <col min="1" max="9" width="9.140625" style="184" customWidth="1"/>
    <col min="10" max="10" width="5.7109375" style="184" customWidth="1"/>
    <col min="11" max="11" width="9.140625" style="184" customWidth="1"/>
    <col min="12" max="16384" width="9.140625" style="185" customWidth="1"/>
  </cols>
  <sheetData>
    <row r="1" spans="1:10" ht="15.75">
      <c r="A1" s="182" t="s">
        <v>106</v>
      </c>
      <c r="B1" s="183"/>
      <c r="C1" s="183"/>
      <c r="D1" s="183"/>
      <c r="E1" s="183"/>
      <c r="F1" s="183"/>
      <c r="G1" s="183"/>
      <c r="H1" s="183"/>
      <c r="I1" s="183"/>
      <c r="J1" s="183"/>
    </row>
    <row r="3" ht="12.75">
      <c r="A3" s="186" t="s">
        <v>99</v>
      </c>
    </row>
    <row r="5" ht="12.75">
      <c r="A5" s="184" t="s">
        <v>109</v>
      </c>
    </row>
    <row r="6" ht="12.75">
      <c r="A6" s="184" t="s">
        <v>110</v>
      </c>
    </row>
    <row r="8" ht="12.75">
      <c r="A8" s="184" t="s">
        <v>100</v>
      </c>
    </row>
    <row r="10" spans="1:10" ht="12.75">
      <c r="A10" s="187" t="s">
        <v>101</v>
      </c>
      <c r="B10" s="188"/>
      <c r="C10" s="189"/>
      <c r="D10" s="187" t="s">
        <v>102</v>
      </c>
      <c r="E10" s="190"/>
      <c r="F10" s="190"/>
      <c r="G10" s="190"/>
      <c r="H10" s="190"/>
      <c r="I10" s="190"/>
      <c r="J10" s="191"/>
    </row>
    <row r="11" spans="1:10" ht="12.75">
      <c r="A11" s="192" t="s">
        <v>103</v>
      </c>
      <c r="B11" s="193"/>
      <c r="C11" s="194"/>
      <c r="D11" s="192" t="s">
        <v>104</v>
      </c>
      <c r="E11" s="193"/>
      <c r="F11" s="193"/>
      <c r="G11" s="193"/>
      <c r="H11" s="193"/>
      <c r="I11" s="193"/>
      <c r="J11" s="194"/>
    </row>
    <row r="12" spans="1:10" ht="12.75">
      <c r="A12" s="195" t="s">
        <v>107</v>
      </c>
      <c r="B12" s="196"/>
      <c r="C12" s="197"/>
      <c r="D12" s="195" t="s">
        <v>108</v>
      </c>
      <c r="E12" s="196"/>
      <c r="F12" s="196"/>
      <c r="G12" s="196"/>
      <c r="H12" s="196"/>
      <c r="I12" s="196"/>
      <c r="J12" s="197"/>
    </row>
    <row r="13" spans="1:10" ht="12.75">
      <c r="A13" s="198"/>
      <c r="B13" s="198"/>
      <c r="C13" s="198"/>
      <c r="D13" s="198"/>
      <c r="E13" s="198"/>
      <c r="F13" s="198"/>
      <c r="G13" s="198"/>
      <c r="H13" s="198"/>
      <c r="I13" s="198"/>
      <c r="J13" s="199"/>
    </row>
    <row r="14" ht="12.75" customHeight="1">
      <c r="A14" s="186" t="s">
        <v>105</v>
      </c>
    </row>
    <row r="16" ht="12.75">
      <c r="A16" s="184" t="s">
        <v>123</v>
      </c>
    </row>
    <row r="17" ht="12.75">
      <c r="A17" s="184" t="s">
        <v>124</v>
      </c>
    </row>
    <row r="18" ht="12.75">
      <c r="A18" s="184" t="s">
        <v>112</v>
      </c>
    </row>
    <row r="19" ht="12.75">
      <c r="A19" s="184" t="s">
        <v>125</v>
      </c>
    </row>
    <row r="20" ht="12.75">
      <c r="A20" s="184" t="s">
        <v>126</v>
      </c>
    </row>
    <row r="21" ht="12.75">
      <c r="A21" s="184" t="s">
        <v>111</v>
      </c>
    </row>
    <row r="22" ht="12.75">
      <c r="A22" s="184" t="s">
        <v>144</v>
      </c>
    </row>
    <row r="23" ht="12.75">
      <c r="A23" s="184" t="s">
        <v>148</v>
      </c>
    </row>
    <row r="24" spans="1:10" ht="12.75">
      <c r="A24" s="184" t="s">
        <v>149</v>
      </c>
      <c r="B24" s="200"/>
      <c r="C24" s="200"/>
      <c r="D24" s="200"/>
      <c r="E24" s="200"/>
      <c r="F24" s="200"/>
      <c r="G24" s="200"/>
      <c r="H24" s="200"/>
      <c r="I24" s="200"/>
      <c r="J24" s="200"/>
    </row>
    <row r="25" spans="1:10" ht="12.75">
      <c r="A25" s="184" t="s">
        <v>150</v>
      </c>
      <c r="B25" s="200"/>
      <c r="C25" s="200"/>
      <c r="D25" s="200"/>
      <c r="E25" s="200"/>
      <c r="F25" s="200"/>
      <c r="G25" s="200"/>
      <c r="H25" s="200"/>
      <c r="I25" s="200"/>
      <c r="J25" s="200"/>
    </row>
    <row r="26" spans="1:10" ht="12.75">
      <c r="A26" s="184" t="s">
        <v>152</v>
      </c>
      <c r="B26" s="200"/>
      <c r="C26" s="200"/>
      <c r="D26" s="200"/>
      <c r="E26" s="200"/>
      <c r="F26" s="200"/>
      <c r="G26" s="200"/>
      <c r="H26" s="200"/>
      <c r="I26" s="200"/>
      <c r="J26" s="200"/>
    </row>
    <row r="27" spans="1:10" ht="12.75">
      <c r="A27" s="184" t="s">
        <v>118</v>
      </c>
      <c r="B27" s="200"/>
      <c r="C27" s="200"/>
      <c r="D27" s="200"/>
      <c r="E27" s="200"/>
      <c r="F27" s="200"/>
      <c r="G27" s="200"/>
      <c r="H27" s="200"/>
      <c r="I27" s="200"/>
      <c r="J27" s="200"/>
    </row>
    <row r="28" spans="2:10" ht="12.75">
      <c r="B28" s="200"/>
      <c r="C28" s="200"/>
      <c r="D28" s="200"/>
      <c r="E28" s="200"/>
      <c r="F28" s="200"/>
      <c r="G28" s="200"/>
      <c r="H28" s="200"/>
      <c r="I28" s="200"/>
      <c r="J28" s="200"/>
    </row>
    <row r="29" spans="2:10" ht="12.75">
      <c r="B29" s="200"/>
      <c r="C29" s="200"/>
      <c r="D29" s="200"/>
      <c r="E29" s="200"/>
      <c r="F29" s="200"/>
      <c r="G29" s="200"/>
      <c r="H29" s="200"/>
      <c r="I29" s="200"/>
      <c r="J29" s="200"/>
    </row>
    <row r="30" spans="2:10" ht="12.75">
      <c r="B30" s="200"/>
      <c r="C30" s="200"/>
      <c r="D30" s="200"/>
      <c r="E30" s="200"/>
      <c r="F30" s="200"/>
      <c r="G30" s="200"/>
      <c r="H30" s="200"/>
      <c r="I30" s="200"/>
      <c r="J30" s="200"/>
    </row>
    <row r="31" spans="1:10" ht="12.75">
      <c r="A31" s="200"/>
      <c r="B31" s="200"/>
      <c r="C31" s="200"/>
      <c r="D31" s="200"/>
      <c r="E31" s="200"/>
      <c r="F31" s="200"/>
      <c r="G31" s="200"/>
      <c r="H31" s="200"/>
      <c r="I31" s="200"/>
      <c r="J31" s="200"/>
    </row>
    <row r="32" spans="1:10" ht="12.75">
      <c r="A32" s="200"/>
      <c r="B32" s="200"/>
      <c r="C32" s="200"/>
      <c r="D32" s="200"/>
      <c r="E32" s="200"/>
      <c r="F32" s="200"/>
      <c r="G32" s="200"/>
      <c r="H32" s="200"/>
      <c r="I32" s="200"/>
      <c r="J32" s="200"/>
    </row>
    <row r="33" spans="1:10" ht="12.75">
      <c r="A33" s="200"/>
      <c r="B33" s="200"/>
      <c r="C33" s="200"/>
      <c r="D33" s="200"/>
      <c r="E33" s="200"/>
      <c r="F33" s="200"/>
      <c r="G33" s="200"/>
      <c r="H33" s="200"/>
      <c r="I33" s="200"/>
      <c r="J33" s="200"/>
    </row>
    <row r="34" spans="1:10" ht="12.75">
      <c r="A34" s="200"/>
      <c r="B34" s="200"/>
      <c r="C34" s="200"/>
      <c r="D34" s="200"/>
      <c r="E34" s="200"/>
      <c r="F34" s="200"/>
      <c r="G34" s="200"/>
      <c r="H34" s="200"/>
      <c r="I34" s="200"/>
      <c r="J34" s="200"/>
    </row>
    <row r="35" spans="1:10" ht="12.75">
      <c r="A35" s="200"/>
      <c r="B35" s="200"/>
      <c r="C35" s="200"/>
      <c r="D35" s="200"/>
      <c r="E35" s="200"/>
      <c r="F35" s="200"/>
      <c r="G35" s="200"/>
      <c r="H35" s="200"/>
      <c r="I35" s="200"/>
      <c r="J35" s="200"/>
    </row>
    <row r="36" spans="1:10" ht="12.75">
      <c r="A36" s="200"/>
      <c r="B36" s="200"/>
      <c r="C36" s="200"/>
      <c r="D36" s="200"/>
      <c r="E36" s="200"/>
      <c r="F36" s="200"/>
      <c r="G36" s="200"/>
      <c r="H36" s="200"/>
      <c r="I36" s="200"/>
      <c r="J36" s="200"/>
    </row>
    <row r="37" spans="2:10" ht="12.75">
      <c r="B37" s="200"/>
      <c r="C37" s="200"/>
      <c r="D37" s="200"/>
      <c r="E37" s="200"/>
      <c r="F37" s="200"/>
      <c r="G37" s="200"/>
      <c r="H37" s="200"/>
      <c r="I37" s="200"/>
      <c r="J37" s="200"/>
    </row>
    <row r="38" spans="2:10" ht="12.75">
      <c r="B38" s="200"/>
      <c r="C38" s="200"/>
      <c r="D38" s="200"/>
      <c r="E38" s="200"/>
      <c r="F38" s="200"/>
      <c r="G38" s="200"/>
      <c r="H38" s="200"/>
      <c r="I38" s="200"/>
      <c r="J38" s="200"/>
    </row>
    <row r="39" spans="2:10" ht="12.75">
      <c r="B39" s="200"/>
      <c r="C39" s="200"/>
      <c r="D39" s="200"/>
      <c r="E39" s="200"/>
      <c r="F39" s="200"/>
      <c r="G39" s="200"/>
      <c r="H39" s="200"/>
      <c r="I39" s="200"/>
      <c r="J39" s="200"/>
    </row>
    <row r="40" spans="2:10" ht="12.75">
      <c r="B40" s="200"/>
      <c r="C40" s="200"/>
      <c r="D40" s="200"/>
      <c r="E40" s="200"/>
      <c r="F40" s="200"/>
      <c r="G40" s="200"/>
      <c r="H40" s="200"/>
      <c r="I40" s="200"/>
      <c r="J40" s="200"/>
    </row>
    <row r="41" spans="1:10" ht="12.75">
      <c r="A41" s="200"/>
      <c r="B41" s="200"/>
      <c r="C41" s="200"/>
      <c r="D41" s="200"/>
      <c r="E41" s="200"/>
      <c r="F41" s="200"/>
      <c r="G41" s="200"/>
      <c r="H41" s="200"/>
      <c r="I41" s="200"/>
      <c r="J41" s="200"/>
    </row>
    <row r="42" spans="1:10" ht="12.75">
      <c r="A42" s="200"/>
      <c r="B42" s="200"/>
      <c r="C42" s="200"/>
      <c r="D42" s="200"/>
      <c r="E42" s="200"/>
      <c r="F42" s="200"/>
      <c r="G42" s="200"/>
      <c r="H42" s="200"/>
      <c r="I42" s="200"/>
      <c r="J42" s="200"/>
    </row>
    <row r="43" spans="1:10" ht="12.75">
      <c r="A43" s="200"/>
      <c r="B43" s="200"/>
      <c r="C43" s="200"/>
      <c r="D43" s="200"/>
      <c r="E43" s="200"/>
      <c r="F43" s="200"/>
      <c r="G43" s="200"/>
      <c r="H43" s="200"/>
      <c r="I43" s="200"/>
      <c r="J43" s="200"/>
    </row>
    <row r="44" spans="1:10" ht="12.75">
      <c r="A44" s="200"/>
      <c r="B44" s="200"/>
      <c r="C44" s="200"/>
      <c r="D44" s="200"/>
      <c r="E44" s="200"/>
      <c r="F44" s="200"/>
      <c r="G44" s="200"/>
      <c r="H44" s="200"/>
      <c r="I44" s="200"/>
      <c r="J44" s="200"/>
    </row>
    <row r="45" spans="1:10" ht="12.75">
      <c r="A45" s="200"/>
      <c r="B45" s="200"/>
      <c r="C45" s="200"/>
      <c r="D45" s="200"/>
      <c r="E45" s="200"/>
      <c r="F45" s="200"/>
      <c r="G45" s="200"/>
      <c r="H45" s="200"/>
      <c r="I45" s="200"/>
      <c r="J45" s="200"/>
    </row>
    <row r="46" spans="1:10" ht="12.75">
      <c r="A46" s="200"/>
      <c r="B46" s="200"/>
      <c r="C46" s="200"/>
      <c r="D46" s="200"/>
      <c r="E46" s="200"/>
      <c r="F46" s="200"/>
      <c r="G46" s="200"/>
      <c r="H46" s="200"/>
      <c r="I46" s="200"/>
      <c r="J46" s="200"/>
    </row>
    <row r="47" spans="1:10" ht="12.75">
      <c r="A47" s="200"/>
      <c r="B47" s="200"/>
      <c r="C47" s="200"/>
      <c r="D47" s="200"/>
      <c r="E47" s="200"/>
      <c r="F47" s="200"/>
      <c r="G47" s="200"/>
      <c r="H47" s="200"/>
      <c r="I47" s="200"/>
      <c r="J47" s="200"/>
    </row>
    <row r="48" spans="1:10" ht="12.75">
      <c r="A48" s="200"/>
      <c r="B48" s="200"/>
      <c r="C48" s="200"/>
      <c r="D48" s="200"/>
      <c r="E48" s="200"/>
      <c r="F48" s="200"/>
      <c r="G48" s="200"/>
      <c r="H48" s="200"/>
      <c r="I48" s="200"/>
      <c r="J48" s="200"/>
    </row>
    <row r="49" spans="1:10" ht="12.75">
      <c r="A49" s="200"/>
      <c r="B49" s="200"/>
      <c r="C49" s="200"/>
      <c r="D49" s="200"/>
      <c r="E49" s="200"/>
      <c r="F49" s="200"/>
      <c r="G49" s="200"/>
      <c r="H49" s="200"/>
      <c r="I49" s="200"/>
      <c r="J49" s="200"/>
    </row>
    <row r="50" spans="1:10" ht="12.75">
      <c r="A50" s="200"/>
      <c r="B50" s="200"/>
      <c r="C50" s="200"/>
      <c r="D50" s="200"/>
      <c r="E50" s="200"/>
      <c r="F50" s="200"/>
      <c r="G50" s="200"/>
      <c r="H50" s="200"/>
      <c r="I50" s="200"/>
      <c r="J50" s="200"/>
    </row>
    <row r="51" spans="1:10" ht="12.75">
      <c r="A51" s="200"/>
      <c r="B51" s="200"/>
      <c r="C51" s="200"/>
      <c r="D51" s="200"/>
      <c r="E51" s="200"/>
      <c r="F51" s="200"/>
      <c r="G51" s="200"/>
      <c r="H51" s="200"/>
      <c r="I51" s="200"/>
      <c r="J51" s="200"/>
    </row>
    <row r="52" spans="1:10" ht="12.75">
      <c r="A52" s="200"/>
      <c r="B52" s="200"/>
      <c r="C52" s="200"/>
      <c r="D52" s="200"/>
      <c r="E52" s="200"/>
      <c r="F52" s="200"/>
      <c r="G52" s="200"/>
      <c r="H52" s="200"/>
      <c r="I52" s="200"/>
      <c r="J52" s="200"/>
    </row>
    <row r="53" spans="1:10" ht="12.75">
      <c r="A53" s="200"/>
      <c r="B53" s="200"/>
      <c r="C53" s="200"/>
      <c r="D53" s="200"/>
      <c r="E53" s="200"/>
      <c r="F53" s="200"/>
      <c r="G53" s="200"/>
      <c r="H53" s="200"/>
      <c r="I53" s="200"/>
      <c r="J53" s="200"/>
    </row>
    <row r="54" spans="1:10" ht="12.75">
      <c r="A54" s="200"/>
      <c r="B54" s="200"/>
      <c r="C54" s="200"/>
      <c r="D54" s="200"/>
      <c r="E54" s="200"/>
      <c r="F54" s="200"/>
      <c r="G54" s="200"/>
      <c r="H54" s="200"/>
      <c r="I54" s="200"/>
      <c r="J54" s="200"/>
    </row>
    <row r="55" spans="1:10" ht="12.75">
      <c r="A55" s="200"/>
      <c r="B55" s="200"/>
      <c r="C55" s="200"/>
      <c r="D55" s="200"/>
      <c r="E55" s="200"/>
      <c r="F55" s="200"/>
      <c r="G55" s="200"/>
      <c r="H55" s="200"/>
      <c r="I55" s="200"/>
      <c r="J55" s="200"/>
    </row>
    <row r="56" spans="1:10" ht="12.75">
      <c r="A56" s="200"/>
      <c r="B56" s="200"/>
      <c r="C56" s="200"/>
      <c r="D56" s="200"/>
      <c r="E56" s="200"/>
      <c r="F56" s="200"/>
      <c r="G56" s="200"/>
      <c r="H56" s="200"/>
      <c r="I56" s="200"/>
      <c r="J56" s="200"/>
    </row>
    <row r="57" spans="1:10" ht="12.75">
      <c r="A57" s="200"/>
      <c r="B57" s="200"/>
      <c r="C57" s="200"/>
      <c r="D57" s="200"/>
      <c r="E57" s="200"/>
      <c r="F57" s="200"/>
      <c r="G57" s="200"/>
      <c r="H57" s="200"/>
      <c r="I57" s="200"/>
      <c r="J57" s="200"/>
    </row>
    <row r="58" spans="1:10" ht="12.75">
      <c r="A58" s="200"/>
      <c r="B58" s="200"/>
      <c r="C58" s="200"/>
      <c r="D58" s="200"/>
      <c r="E58" s="200"/>
      <c r="F58" s="200"/>
      <c r="G58" s="200"/>
      <c r="H58" s="200"/>
      <c r="I58" s="200"/>
      <c r="J58" s="200"/>
    </row>
    <row r="59" spans="1:10" ht="12.75">
      <c r="A59" s="200"/>
      <c r="B59" s="200"/>
      <c r="C59" s="200"/>
      <c r="D59" s="200"/>
      <c r="E59" s="200"/>
      <c r="F59" s="200"/>
      <c r="G59" s="200"/>
      <c r="H59" s="200"/>
      <c r="I59" s="200"/>
      <c r="J59" s="200"/>
    </row>
    <row r="60" spans="1:10" ht="12.75">
      <c r="A60" s="200"/>
      <c r="B60" s="200"/>
      <c r="C60" s="200"/>
      <c r="D60" s="200"/>
      <c r="E60" s="200"/>
      <c r="F60" s="200"/>
      <c r="G60" s="200"/>
      <c r="H60" s="200"/>
      <c r="I60" s="200"/>
      <c r="J60" s="200"/>
    </row>
    <row r="61" spans="1:10" ht="12.75">
      <c r="A61" s="200"/>
      <c r="B61" s="200"/>
      <c r="C61" s="200"/>
      <c r="D61" s="200"/>
      <c r="E61" s="200"/>
      <c r="F61" s="200"/>
      <c r="G61" s="200"/>
      <c r="H61" s="200"/>
      <c r="I61" s="200"/>
      <c r="J61" s="200"/>
    </row>
  </sheetData>
  <sheetProtection sheet="1" objects="1" scenarios="1"/>
  <printOptions/>
  <pageMargins left="1" right="0.5" top="1" bottom="1" header="0.5" footer="0.5"/>
  <pageSetup horizontalDpi="600" verticalDpi="600" orientation="portrait" scale="99"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BB100"/>
  <sheetViews>
    <sheetView workbookViewId="0" topLeftCell="A1">
      <selection activeCell="A1" sqref="A1"/>
    </sheetView>
  </sheetViews>
  <sheetFormatPr defaultColWidth="9.140625" defaultRowHeight="12.75"/>
  <cols>
    <col min="1" max="1" width="12.28125" style="21" customWidth="1"/>
    <col min="2" max="2" width="9.140625" style="21" customWidth="1"/>
    <col min="3" max="3" width="11.140625" style="21" customWidth="1"/>
    <col min="4" max="5" width="9.140625" style="21" customWidth="1"/>
    <col min="6" max="6" width="9.00390625" style="21" customWidth="1"/>
    <col min="7" max="8" width="9.140625" style="21" customWidth="1"/>
    <col min="9" max="9" width="8.28125" style="21" customWidth="1"/>
    <col min="10" max="10" width="9.7109375" style="83" customWidth="1"/>
    <col min="11" max="26" width="9.140625" style="59" hidden="1" customWidth="1"/>
    <col min="27" max="27" width="9.140625" style="19" customWidth="1"/>
    <col min="28" max="28" width="10.7109375" style="28" customWidth="1"/>
    <col min="29" max="29" width="9.7109375" style="19" customWidth="1"/>
    <col min="30" max="31" width="9.28125" style="19" bestFit="1" customWidth="1"/>
    <col min="32" max="35" width="9.140625" style="19" customWidth="1"/>
    <col min="36" max="41" width="9.140625" style="21" customWidth="1"/>
    <col min="42" max="42" width="10.7109375" style="21" customWidth="1"/>
    <col min="43" max="43" width="9.7109375" style="21" customWidth="1"/>
    <col min="44" max="44" width="11.57421875" style="21" bestFit="1" customWidth="1"/>
    <col min="45" max="16384" width="9.140625" style="21" customWidth="1"/>
  </cols>
  <sheetData>
    <row r="1" spans="1:44" ht="15.75">
      <c r="A1" s="1" t="s">
        <v>157</v>
      </c>
      <c r="B1" s="2"/>
      <c r="C1" s="3"/>
      <c r="D1" s="3"/>
      <c r="E1" s="3"/>
      <c r="F1" s="3"/>
      <c r="G1" s="2"/>
      <c r="H1" s="2"/>
      <c r="I1" s="2"/>
      <c r="J1" s="58"/>
      <c r="L1" s="60"/>
      <c r="N1" s="61"/>
      <c r="Q1" s="61"/>
      <c r="AA1" s="142" t="s">
        <v>155</v>
      </c>
      <c r="AP1" s="17"/>
      <c r="AR1" s="17"/>
    </row>
    <row r="2" spans="1:44" ht="12.75">
      <c r="A2" s="4" t="s">
        <v>98</v>
      </c>
      <c r="B2" s="5"/>
      <c r="C2" s="6"/>
      <c r="D2" s="5"/>
      <c r="E2" s="5"/>
      <c r="F2" s="5"/>
      <c r="G2" s="7"/>
      <c r="H2" s="7"/>
      <c r="I2" s="7"/>
      <c r="J2" s="62"/>
      <c r="L2" s="60"/>
      <c r="AB2" s="29"/>
      <c r="AP2" s="252"/>
      <c r="AR2" s="71"/>
    </row>
    <row r="3" spans="1:44" ht="12.75">
      <c r="A3" s="25" t="s">
        <v>151</v>
      </c>
      <c r="B3" s="8"/>
      <c r="C3" s="8"/>
      <c r="D3" s="8"/>
      <c r="E3" s="8"/>
      <c r="F3" s="8"/>
      <c r="G3" s="9"/>
      <c r="H3" s="9"/>
      <c r="I3" s="9"/>
      <c r="J3" s="63"/>
      <c r="L3" s="60"/>
      <c r="O3" s="64"/>
      <c r="P3" s="65"/>
      <c r="Q3" s="64"/>
      <c r="R3" s="66"/>
      <c r="S3" s="65"/>
      <c r="T3" s="64"/>
      <c r="U3" s="65"/>
      <c r="V3" s="64"/>
      <c r="W3" s="64"/>
      <c r="AR3" s="71"/>
    </row>
    <row r="4" spans="1:23" ht="12.75">
      <c r="A4" s="33" t="s">
        <v>0</v>
      </c>
      <c r="B4" s="34"/>
      <c r="C4" s="35"/>
      <c r="D4" s="35"/>
      <c r="E4" s="35"/>
      <c r="F4" s="22" t="s">
        <v>4</v>
      </c>
      <c r="G4" s="36"/>
      <c r="H4" s="37"/>
      <c r="I4" s="37"/>
      <c r="J4" s="38"/>
      <c r="N4" s="67"/>
      <c r="O4" s="68"/>
      <c r="P4" s="68"/>
      <c r="Q4" s="50"/>
      <c r="R4" s="50"/>
      <c r="S4" s="50"/>
      <c r="T4" s="69"/>
      <c r="U4" s="69"/>
      <c r="V4" s="69"/>
      <c r="W4" s="69"/>
    </row>
    <row r="5" spans="1:28" ht="12.75">
      <c r="A5" s="33" t="s">
        <v>1</v>
      </c>
      <c r="B5" s="39"/>
      <c r="C5" s="40"/>
      <c r="D5" s="40"/>
      <c r="E5" s="40"/>
      <c r="F5" s="23" t="s">
        <v>3</v>
      </c>
      <c r="G5" s="36"/>
      <c r="H5" s="41"/>
      <c r="I5" s="42" t="s">
        <v>2</v>
      </c>
      <c r="J5" s="38"/>
      <c r="N5" s="67"/>
      <c r="O5" s="70"/>
      <c r="P5" s="70"/>
      <c r="Q5" s="71"/>
      <c r="R5" s="71"/>
      <c r="S5" s="71"/>
      <c r="T5" s="72"/>
      <c r="U5" s="72"/>
      <c r="V5" s="53"/>
      <c r="W5" s="53"/>
      <c r="AB5" s="251" t="s">
        <v>163</v>
      </c>
    </row>
    <row r="6" spans="1:54" ht="12.75">
      <c r="A6" s="30"/>
      <c r="B6" s="168"/>
      <c r="C6" s="168"/>
      <c r="D6" s="168"/>
      <c r="E6" s="168"/>
      <c r="F6" s="168"/>
      <c r="G6" s="168"/>
      <c r="H6" s="168"/>
      <c r="I6" s="169"/>
      <c r="J6" s="170"/>
      <c r="L6" s="60" t="s">
        <v>20</v>
      </c>
      <c r="N6" s="67"/>
      <c r="O6" s="70"/>
      <c r="P6" s="70"/>
      <c r="Q6" s="71"/>
      <c r="R6" s="71"/>
      <c r="S6" s="71"/>
      <c r="T6" s="72"/>
      <c r="U6" s="72"/>
      <c r="V6" s="53"/>
      <c r="W6" s="53"/>
      <c r="AB6" s="91" t="s">
        <v>146</v>
      </c>
      <c r="AC6" s="92"/>
      <c r="AD6" s="3"/>
      <c r="AE6" s="3"/>
      <c r="AF6" s="3"/>
      <c r="AG6" s="3"/>
      <c r="AH6" s="3"/>
      <c r="AI6" s="3"/>
      <c r="AJ6" s="3"/>
      <c r="AK6" s="3"/>
      <c r="AL6" s="3"/>
      <c r="AM6" s="3"/>
      <c r="AN6" s="93"/>
      <c r="AP6" s="91" t="s">
        <v>147</v>
      </c>
      <c r="AQ6" s="92"/>
      <c r="AR6" s="3"/>
      <c r="AS6" s="3"/>
      <c r="AT6" s="3"/>
      <c r="AU6" s="3"/>
      <c r="AV6" s="3"/>
      <c r="AW6" s="3"/>
      <c r="AX6" s="3"/>
      <c r="AY6" s="3"/>
      <c r="AZ6" s="3"/>
      <c r="BA6" s="93"/>
      <c r="BB6" s="250"/>
    </row>
    <row r="7" spans="1:54" ht="12.75">
      <c r="A7" s="48" t="s">
        <v>5</v>
      </c>
      <c r="B7" s="168"/>
      <c r="C7" s="168"/>
      <c r="D7" s="168"/>
      <c r="E7" s="168"/>
      <c r="F7" s="168"/>
      <c r="G7" s="168"/>
      <c r="H7" s="168"/>
      <c r="I7" s="171"/>
      <c r="J7" s="170"/>
      <c r="L7" s="60" t="s">
        <v>21</v>
      </c>
      <c r="N7" s="67"/>
      <c r="O7" s="70"/>
      <c r="P7" s="70"/>
      <c r="Q7" s="71"/>
      <c r="R7" s="71"/>
      <c r="S7" s="71"/>
      <c r="T7" s="72"/>
      <c r="U7" s="72"/>
      <c r="V7" s="53"/>
      <c r="W7" s="53"/>
      <c r="AB7" s="94" t="s">
        <v>164</v>
      </c>
      <c r="AC7" s="95"/>
      <c r="AD7" s="95"/>
      <c r="AE7" s="95"/>
      <c r="AF7" s="95"/>
      <c r="AG7" s="95"/>
      <c r="AH7" s="95"/>
      <c r="AI7" s="95"/>
      <c r="AJ7" s="95"/>
      <c r="AK7" s="95"/>
      <c r="AL7" s="95"/>
      <c r="AM7" s="95"/>
      <c r="AN7" s="96"/>
      <c r="AP7" s="94" t="str">
        <f>"Based on Allowable Bending Stress, Fb = 0.75*Fy = "&amp;ROUND(0.75*$C$14,0)&amp;" ksi (for One-Way Plate Bending with Pinned Supports)"</f>
        <v>Based on Allowable Bending Stress, Fb = 0.75*Fy = 27 ksi (for One-Way Plate Bending with Pinned Supports)</v>
      </c>
      <c r="AQ7" s="95"/>
      <c r="AR7" s="95"/>
      <c r="AS7" s="95"/>
      <c r="AT7" s="95"/>
      <c r="AU7" s="95"/>
      <c r="AV7" s="95"/>
      <c r="AW7" s="95"/>
      <c r="AX7" s="95"/>
      <c r="AY7" s="95"/>
      <c r="AZ7" s="95"/>
      <c r="BA7" s="96"/>
      <c r="BB7" s="251"/>
    </row>
    <row r="8" spans="1:54" ht="12.75">
      <c r="A8" s="30"/>
      <c r="B8" s="12"/>
      <c r="C8" s="12"/>
      <c r="D8" s="12"/>
      <c r="E8" s="168"/>
      <c r="F8" s="168"/>
      <c r="G8" s="168"/>
      <c r="H8" s="168"/>
      <c r="I8" s="168"/>
      <c r="J8" s="170"/>
      <c r="L8" s="69" t="s">
        <v>153</v>
      </c>
      <c r="N8" s="67"/>
      <c r="O8" s="70"/>
      <c r="AB8" s="97" t="s">
        <v>73</v>
      </c>
      <c r="AC8" s="98"/>
      <c r="AD8" s="98"/>
      <c r="AE8" s="99"/>
      <c r="AF8" s="100"/>
      <c r="AG8" s="100"/>
      <c r="AH8" s="100"/>
      <c r="AI8" s="100"/>
      <c r="AJ8" s="98"/>
      <c r="AK8" s="98"/>
      <c r="AL8" s="98"/>
      <c r="AM8" s="98"/>
      <c r="AN8" s="101"/>
      <c r="AP8" s="97" t="s">
        <v>73</v>
      </c>
      <c r="AQ8" s="98"/>
      <c r="AR8" s="98"/>
      <c r="AS8" s="99"/>
      <c r="AT8" s="100"/>
      <c r="AU8" s="100"/>
      <c r="AV8" s="100"/>
      <c r="AW8" s="100"/>
      <c r="AX8" s="98"/>
      <c r="AY8" s="98"/>
      <c r="AZ8" s="98"/>
      <c r="BA8" s="101"/>
      <c r="BB8" s="251"/>
    </row>
    <row r="9" spans="1:54" ht="12.75">
      <c r="A9" s="30"/>
      <c r="B9" s="49" t="s">
        <v>7</v>
      </c>
      <c r="C9" s="86">
        <v>4</v>
      </c>
      <c r="D9" s="51" t="s">
        <v>11</v>
      </c>
      <c r="E9" s="24"/>
      <c r="F9" s="158" t="str">
        <f>IF($C$13="Pinned","S="&amp;$C$9,"S")</f>
        <v>S=4</v>
      </c>
      <c r="G9" s="26"/>
      <c r="H9" s="24"/>
      <c r="I9" s="158" t="str">
        <f>IF($C$13="Fixed","S="&amp;$C$9,"S")</f>
        <v>S</v>
      </c>
      <c r="J9" s="160"/>
      <c r="L9" s="69" t="s">
        <v>154</v>
      </c>
      <c r="N9" s="67"/>
      <c r="O9" s="70"/>
      <c r="AB9" s="106" t="s">
        <v>77</v>
      </c>
      <c r="AC9" s="106" t="s">
        <v>75</v>
      </c>
      <c r="AD9" s="91"/>
      <c r="AE9" s="107"/>
      <c r="AF9" s="107"/>
      <c r="AG9" s="107"/>
      <c r="AH9" s="107"/>
      <c r="AI9" s="107"/>
      <c r="AJ9" s="92"/>
      <c r="AK9" s="92"/>
      <c r="AL9" s="92"/>
      <c r="AM9" s="108"/>
      <c r="AN9" s="106" t="s">
        <v>79</v>
      </c>
      <c r="AP9" s="106" t="s">
        <v>77</v>
      </c>
      <c r="AQ9" s="106" t="s">
        <v>75</v>
      </c>
      <c r="AR9" s="245">
        <v>1.5</v>
      </c>
      <c r="AS9" s="246">
        <v>2</v>
      </c>
      <c r="AT9" s="246">
        <v>2.5</v>
      </c>
      <c r="AU9" s="246">
        <v>3</v>
      </c>
      <c r="AV9" s="246">
        <v>3.5</v>
      </c>
      <c r="AW9" s="246">
        <v>4</v>
      </c>
      <c r="AX9" s="246">
        <v>4.5</v>
      </c>
      <c r="AY9" s="246">
        <v>5</v>
      </c>
      <c r="AZ9" s="246">
        <v>6</v>
      </c>
      <c r="BA9" s="247">
        <v>7</v>
      </c>
      <c r="BB9" s="248"/>
    </row>
    <row r="10" spans="1:54" ht="12.75">
      <c r="A10" s="30"/>
      <c r="B10" s="49" t="s">
        <v>6</v>
      </c>
      <c r="C10" s="84">
        <v>35</v>
      </c>
      <c r="D10" s="51" t="s">
        <v>11</v>
      </c>
      <c r="E10" s="24"/>
      <c r="F10" s="26"/>
      <c r="G10" s="26"/>
      <c r="H10" s="24"/>
      <c r="I10" s="26"/>
      <c r="J10" s="160"/>
      <c r="N10" s="67"/>
      <c r="O10" s="70"/>
      <c r="AB10" s="109" t="s">
        <v>74</v>
      </c>
      <c r="AC10" s="109" t="s">
        <v>76</v>
      </c>
      <c r="AD10" s="97" t="s">
        <v>81</v>
      </c>
      <c r="AE10" s="100"/>
      <c r="AF10" s="100"/>
      <c r="AG10" s="100"/>
      <c r="AH10" s="100"/>
      <c r="AI10" s="110"/>
      <c r="AJ10" s="98"/>
      <c r="AK10" s="98"/>
      <c r="AL10" s="98"/>
      <c r="AM10" s="101"/>
      <c r="AN10" s="109" t="s">
        <v>80</v>
      </c>
      <c r="AP10" s="109" t="s">
        <v>74</v>
      </c>
      <c r="AQ10" s="109" t="s">
        <v>76</v>
      </c>
      <c r="AR10" s="97" t="s">
        <v>81</v>
      </c>
      <c r="AS10" s="100"/>
      <c r="AT10" s="100"/>
      <c r="AU10" s="100"/>
      <c r="AV10" s="100"/>
      <c r="AW10" s="100"/>
      <c r="AX10" s="98"/>
      <c r="AY10" s="98"/>
      <c r="AZ10" s="98"/>
      <c r="BA10" s="101"/>
      <c r="BB10" s="248"/>
    </row>
    <row r="11" spans="1:54" ht="12.75">
      <c r="A11" s="30"/>
      <c r="B11" s="49" t="s">
        <v>8</v>
      </c>
      <c r="C11" s="255">
        <v>0.375</v>
      </c>
      <c r="D11" s="51" t="s">
        <v>9</v>
      </c>
      <c r="E11" s="26"/>
      <c r="F11" s="26"/>
      <c r="G11" s="26"/>
      <c r="H11" s="26"/>
      <c r="I11" s="26"/>
      <c r="J11" s="160"/>
      <c r="L11" s="60" t="s">
        <v>16</v>
      </c>
      <c r="M11" s="74" t="s">
        <v>15</v>
      </c>
      <c r="O11" s="70"/>
      <c r="AB11" s="111" t="s">
        <v>73</v>
      </c>
      <c r="AC11" s="112" t="s">
        <v>72</v>
      </c>
      <c r="AD11" s="113" t="s">
        <v>63</v>
      </c>
      <c r="AE11" s="113" t="s">
        <v>62</v>
      </c>
      <c r="AF11" s="114" t="s">
        <v>64</v>
      </c>
      <c r="AG11" s="114" t="s">
        <v>65</v>
      </c>
      <c r="AH11" s="115" t="s">
        <v>66</v>
      </c>
      <c r="AI11" s="113" t="s">
        <v>67</v>
      </c>
      <c r="AJ11" s="116" t="s">
        <v>68</v>
      </c>
      <c r="AK11" s="117" t="s">
        <v>69</v>
      </c>
      <c r="AL11" s="116" t="s">
        <v>70</v>
      </c>
      <c r="AM11" s="116" t="s">
        <v>71</v>
      </c>
      <c r="AN11" s="118" t="s">
        <v>78</v>
      </c>
      <c r="AP11" s="111" t="s">
        <v>73</v>
      </c>
      <c r="AQ11" s="112" t="s">
        <v>72</v>
      </c>
      <c r="AR11" s="113" t="s">
        <v>63</v>
      </c>
      <c r="AS11" s="113" t="s">
        <v>62</v>
      </c>
      <c r="AT11" s="114" t="s">
        <v>64</v>
      </c>
      <c r="AU11" s="114" t="s">
        <v>65</v>
      </c>
      <c r="AV11" s="115" t="s">
        <v>66</v>
      </c>
      <c r="AW11" s="113" t="s">
        <v>67</v>
      </c>
      <c r="AX11" s="116" t="s">
        <v>68</v>
      </c>
      <c r="AY11" s="117" t="s">
        <v>69</v>
      </c>
      <c r="AZ11" s="116" t="s">
        <v>70</v>
      </c>
      <c r="BA11" s="116" t="s">
        <v>71</v>
      </c>
      <c r="BB11" s="248"/>
    </row>
    <row r="12" spans="1:54" ht="12.75">
      <c r="A12" s="30"/>
      <c r="B12" s="49" t="s">
        <v>12</v>
      </c>
      <c r="C12" s="56">
        <v>100</v>
      </c>
      <c r="D12" s="51" t="s">
        <v>10</v>
      </c>
      <c r="E12" s="31"/>
      <c r="F12" s="31"/>
      <c r="G12" s="26"/>
      <c r="H12" s="31"/>
      <c r="I12" s="31"/>
      <c r="J12" s="160"/>
      <c r="L12" s="254">
        <v>0.125</v>
      </c>
      <c r="M12" s="55">
        <v>6.15</v>
      </c>
      <c r="O12" s="70"/>
      <c r="AB12" s="119">
        <v>6.15</v>
      </c>
      <c r="AC12" s="121" t="s">
        <v>31</v>
      </c>
      <c r="AD12" s="147">
        <v>148</v>
      </c>
      <c r="AE12" s="147">
        <v>83</v>
      </c>
      <c r="AF12" s="147">
        <v>53</v>
      </c>
      <c r="AG12" s="147">
        <v>37</v>
      </c>
      <c r="AH12" s="143" t="s">
        <v>87</v>
      </c>
      <c r="AI12" s="143" t="s">
        <v>87</v>
      </c>
      <c r="AJ12" s="143" t="s">
        <v>87</v>
      </c>
      <c r="AK12" s="143" t="s">
        <v>87</v>
      </c>
      <c r="AL12" s="143" t="s">
        <v>87</v>
      </c>
      <c r="AM12" s="143" t="s">
        <v>87</v>
      </c>
      <c r="AN12" s="148">
        <v>0.031</v>
      </c>
      <c r="AP12" s="119">
        <v>6.15</v>
      </c>
      <c r="AQ12" s="121" t="s">
        <v>31</v>
      </c>
      <c r="AR12" s="239">
        <f aca="true" t="shared" si="0" ref="AR12:BA21">ROUND(12*(0.75*$C$14)*(8*(12*$L12^2/6))*1000/(AR$9*12)^2,0)</f>
        <v>250</v>
      </c>
      <c r="AS12" s="239">
        <f t="shared" si="0"/>
        <v>141</v>
      </c>
      <c r="AT12" s="239">
        <f t="shared" si="0"/>
        <v>90</v>
      </c>
      <c r="AU12" s="239">
        <f t="shared" si="0"/>
        <v>63</v>
      </c>
      <c r="AV12" s="240">
        <f t="shared" si="0"/>
        <v>46</v>
      </c>
      <c r="AW12" s="241">
        <f t="shared" si="0"/>
        <v>35</v>
      </c>
      <c r="AX12" s="241">
        <f t="shared" si="0"/>
        <v>28</v>
      </c>
      <c r="AY12" s="241">
        <f t="shared" si="0"/>
        <v>23</v>
      </c>
      <c r="AZ12" s="241">
        <f t="shared" si="0"/>
        <v>16</v>
      </c>
      <c r="BA12" s="240">
        <f t="shared" si="0"/>
        <v>11</v>
      </c>
      <c r="BB12" s="70"/>
    </row>
    <row r="13" spans="1:54" ht="13.5" thickBot="1">
      <c r="A13" s="30"/>
      <c r="B13" s="75" t="s">
        <v>19</v>
      </c>
      <c r="C13" s="226" t="s">
        <v>20</v>
      </c>
      <c r="D13" s="225"/>
      <c r="E13" s="31"/>
      <c r="F13" s="31"/>
      <c r="G13" s="26"/>
      <c r="H13" s="31"/>
      <c r="I13" s="31"/>
      <c r="J13" s="160"/>
      <c r="L13" s="254">
        <v>0.1875</v>
      </c>
      <c r="M13" s="55">
        <v>8.7</v>
      </c>
      <c r="O13" s="70"/>
      <c r="AB13" s="120">
        <v>8.7</v>
      </c>
      <c r="AC13" s="122" t="s">
        <v>32</v>
      </c>
      <c r="AD13" s="146">
        <v>333</v>
      </c>
      <c r="AE13" s="145">
        <v>188</v>
      </c>
      <c r="AF13" s="145">
        <v>120</v>
      </c>
      <c r="AG13" s="145">
        <v>83</v>
      </c>
      <c r="AH13" s="145">
        <v>61</v>
      </c>
      <c r="AI13" s="145">
        <v>47</v>
      </c>
      <c r="AJ13" s="144" t="s">
        <v>87</v>
      </c>
      <c r="AK13" s="144" t="s">
        <v>87</v>
      </c>
      <c r="AL13" s="144" t="s">
        <v>87</v>
      </c>
      <c r="AM13" s="144" t="s">
        <v>87</v>
      </c>
      <c r="AN13" s="125">
        <v>0.07</v>
      </c>
      <c r="AP13" s="120">
        <v>8.7</v>
      </c>
      <c r="AQ13" s="122" t="s">
        <v>32</v>
      </c>
      <c r="AR13" s="135">
        <f t="shared" si="0"/>
        <v>563</v>
      </c>
      <c r="AS13" s="135">
        <f t="shared" si="0"/>
        <v>316</v>
      </c>
      <c r="AT13" s="135">
        <f t="shared" si="0"/>
        <v>203</v>
      </c>
      <c r="AU13" s="135">
        <f t="shared" si="0"/>
        <v>141</v>
      </c>
      <c r="AV13" s="135">
        <f t="shared" si="0"/>
        <v>103</v>
      </c>
      <c r="AW13" s="238">
        <f t="shared" si="0"/>
        <v>79</v>
      </c>
      <c r="AX13" s="242">
        <f t="shared" si="0"/>
        <v>63</v>
      </c>
      <c r="AY13" s="242">
        <f t="shared" si="0"/>
        <v>51</v>
      </c>
      <c r="AZ13" s="242">
        <f t="shared" si="0"/>
        <v>35</v>
      </c>
      <c r="BA13" s="249">
        <f t="shared" si="0"/>
        <v>26</v>
      </c>
      <c r="BB13" s="70"/>
    </row>
    <row r="14" spans="1:54" ht="13.5" thickBot="1">
      <c r="A14" s="30"/>
      <c r="B14" s="75" t="s">
        <v>131</v>
      </c>
      <c r="C14" s="236">
        <v>36</v>
      </c>
      <c r="D14" s="225" t="s">
        <v>138</v>
      </c>
      <c r="E14" s="159" t="str">
        <f>IF($C$13="Pinned","L="&amp;$C$10&amp;"           ","L           ")</f>
        <v>L=35           </v>
      </c>
      <c r="F14" s="31"/>
      <c r="G14" s="157"/>
      <c r="H14" s="159" t="str">
        <f>IF($C$13="Fixed","L="&amp;$C$10&amp;"           ","L           ")</f>
        <v>L           </v>
      </c>
      <c r="I14" s="31"/>
      <c r="J14" s="161"/>
      <c r="L14" s="254">
        <v>0.25</v>
      </c>
      <c r="M14" s="55">
        <v>11.25</v>
      </c>
      <c r="O14" s="70"/>
      <c r="AB14" s="120">
        <v>11.25</v>
      </c>
      <c r="AC14" s="122" t="s">
        <v>33</v>
      </c>
      <c r="AD14" s="137">
        <v>593</v>
      </c>
      <c r="AE14" s="146">
        <v>333</v>
      </c>
      <c r="AF14" s="145">
        <v>213</v>
      </c>
      <c r="AG14" s="145">
        <v>148</v>
      </c>
      <c r="AH14" s="145">
        <v>109</v>
      </c>
      <c r="AI14" s="145">
        <v>83</v>
      </c>
      <c r="AJ14" s="145">
        <v>66</v>
      </c>
      <c r="AK14" s="145">
        <v>53</v>
      </c>
      <c r="AL14" s="144" t="s">
        <v>87</v>
      </c>
      <c r="AM14" s="144" t="s">
        <v>87</v>
      </c>
      <c r="AN14" s="125">
        <v>0.125</v>
      </c>
      <c r="AP14" s="120">
        <v>11.25</v>
      </c>
      <c r="AQ14" s="122" t="s">
        <v>33</v>
      </c>
      <c r="AR14" s="135">
        <f t="shared" si="0"/>
        <v>1000</v>
      </c>
      <c r="AS14" s="135">
        <f t="shared" si="0"/>
        <v>563</v>
      </c>
      <c r="AT14" s="135">
        <f t="shared" si="0"/>
        <v>360</v>
      </c>
      <c r="AU14" s="135">
        <f t="shared" si="0"/>
        <v>250</v>
      </c>
      <c r="AV14" s="135">
        <f t="shared" si="0"/>
        <v>184</v>
      </c>
      <c r="AW14" s="238">
        <f t="shared" si="0"/>
        <v>141</v>
      </c>
      <c r="AX14" s="238">
        <f t="shared" si="0"/>
        <v>111</v>
      </c>
      <c r="AY14" s="238">
        <f t="shared" si="0"/>
        <v>90</v>
      </c>
      <c r="AZ14" s="242">
        <f t="shared" si="0"/>
        <v>63</v>
      </c>
      <c r="BA14" s="249">
        <f t="shared" si="0"/>
        <v>46</v>
      </c>
      <c r="BB14" s="70"/>
    </row>
    <row r="15" spans="1:54" ht="13.5" thickBot="1">
      <c r="A15" s="227"/>
      <c r="B15" s="256" t="s">
        <v>158</v>
      </c>
      <c r="C15" s="257" t="s">
        <v>154</v>
      </c>
      <c r="D15" s="202"/>
      <c r="E15" s="31"/>
      <c r="F15" s="31"/>
      <c r="G15" s="26"/>
      <c r="H15" s="31"/>
      <c r="I15" s="31"/>
      <c r="J15" s="160"/>
      <c r="L15" s="254">
        <v>0.3125</v>
      </c>
      <c r="M15" s="55">
        <v>13.8</v>
      </c>
      <c r="O15" s="70"/>
      <c r="AB15" s="120">
        <v>13.8</v>
      </c>
      <c r="AC15" s="122" t="s">
        <v>34</v>
      </c>
      <c r="AD15" s="135">
        <v>927</v>
      </c>
      <c r="AE15" s="137">
        <v>521</v>
      </c>
      <c r="AF15" s="146">
        <v>333</v>
      </c>
      <c r="AG15" s="145">
        <v>232</v>
      </c>
      <c r="AH15" s="145">
        <v>170</v>
      </c>
      <c r="AI15" s="145">
        <v>130</v>
      </c>
      <c r="AJ15" s="145">
        <v>103</v>
      </c>
      <c r="AK15" s="145">
        <v>83</v>
      </c>
      <c r="AL15" s="145">
        <v>58</v>
      </c>
      <c r="AM15" s="144" t="s">
        <v>87</v>
      </c>
      <c r="AN15" s="125">
        <v>0.195</v>
      </c>
      <c r="AP15" s="120">
        <v>13.8</v>
      </c>
      <c r="AQ15" s="122" t="s">
        <v>34</v>
      </c>
      <c r="AR15" s="135">
        <f t="shared" si="0"/>
        <v>1563</v>
      </c>
      <c r="AS15" s="135">
        <f t="shared" si="0"/>
        <v>879</v>
      </c>
      <c r="AT15" s="135">
        <f t="shared" si="0"/>
        <v>563</v>
      </c>
      <c r="AU15" s="135">
        <f t="shared" si="0"/>
        <v>391</v>
      </c>
      <c r="AV15" s="135">
        <f t="shared" si="0"/>
        <v>287</v>
      </c>
      <c r="AW15" s="238">
        <f t="shared" si="0"/>
        <v>220</v>
      </c>
      <c r="AX15" s="238">
        <f t="shared" si="0"/>
        <v>174</v>
      </c>
      <c r="AY15" s="238">
        <f t="shared" si="0"/>
        <v>141</v>
      </c>
      <c r="AZ15" s="238">
        <f t="shared" si="0"/>
        <v>98</v>
      </c>
      <c r="BA15" s="249">
        <f t="shared" si="0"/>
        <v>72</v>
      </c>
      <c r="BB15" s="70"/>
    </row>
    <row r="16" spans="1:54" ht="13.5" thickBot="1">
      <c r="A16" s="230"/>
      <c r="B16" s="228" t="s">
        <v>132</v>
      </c>
      <c r="C16" s="229" t="s">
        <v>133</v>
      </c>
      <c r="D16" s="231"/>
      <c r="E16" s="12"/>
      <c r="F16" s="12"/>
      <c r="G16" s="12"/>
      <c r="H16" s="12"/>
      <c r="I16" s="12"/>
      <c r="J16" s="162"/>
      <c r="L16" s="254">
        <v>0.375</v>
      </c>
      <c r="M16" s="55">
        <v>16.35</v>
      </c>
      <c r="O16" s="70"/>
      <c r="AB16" s="120">
        <v>16.35</v>
      </c>
      <c r="AC16" s="122" t="s">
        <v>35</v>
      </c>
      <c r="AD16" s="135">
        <v>1333</v>
      </c>
      <c r="AE16" s="135">
        <v>750</v>
      </c>
      <c r="AF16" s="137">
        <v>480</v>
      </c>
      <c r="AG16" s="146">
        <v>333</v>
      </c>
      <c r="AH16" s="145">
        <v>245</v>
      </c>
      <c r="AI16" s="145">
        <v>188</v>
      </c>
      <c r="AJ16" s="145">
        <v>148</v>
      </c>
      <c r="AK16" s="145">
        <v>120</v>
      </c>
      <c r="AL16" s="145">
        <v>83</v>
      </c>
      <c r="AM16" s="145">
        <v>61</v>
      </c>
      <c r="AN16" s="125">
        <v>0.281</v>
      </c>
      <c r="AP16" s="120">
        <v>16.35</v>
      </c>
      <c r="AQ16" s="122" t="s">
        <v>35</v>
      </c>
      <c r="AR16" s="135">
        <f t="shared" si="0"/>
        <v>2250</v>
      </c>
      <c r="AS16" s="135">
        <f t="shared" si="0"/>
        <v>1266</v>
      </c>
      <c r="AT16" s="135">
        <f t="shared" si="0"/>
        <v>810</v>
      </c>
      <c r="AU16" s="135">
        <f t="shared" si="0"/>
        <v>563</v>
      </c>
      <c r="AV16" s="135">
        <f t="shared" si="0"/>
        <v>413</v>
      </c>
      <c r="AW16" s="238">
        <f t="shared" si="0"/>
        <v>316</v>
      </c>
      <c r="AX16" s="238">
        <f t="shared" si="0"/>
        <v>250</v>
      </c>
      <c r="AY16" s="238">
        <f t="shared" si="0"/>
        <v>203</v>
      </c>
      <c r="AZ16" s="238">
        <f t="shared" si="0"/>
        <v>141</v>
      </c>
      <c r="BA16" s="135">
        <f t="shared" si="0"/>
        <v>103</v>
      </c>
      <c r="BB16" s="70"/>
    </row>
    <row r="17" spans="1:54" ht="13.5" thickBot="1">
      <c r="A17" s="230"/>
      <c r="B17" s="231"/>
      <c r="C17" s="258">
        <f>IF($C$9&gt;$C$10,"S must be &lt;= L !","")</f>
      </c>
      <c r="D17" s="231"/>
      <c r="E17" s="12"/>
      <c r="F17" s="12"/>
      <c r="G17" s="12"/>
      <c r="H17" s="12"/>
      <c r="I17" s="12"/>
      <c r="J17" s="162"/>
      <c r="L17" s="254">
        <v>0.4375</v>
      </c>
      <c r="M17" s="55">
        <v>18.9</v>
      </c>
      <c r="O17" s="70"/>
      <c r="AB17" s="120">
        <v>18.9</v>
      </c>
      <c r="AC17" s="122" t="s">
        <v>36</v>
      </c>
      <c r="AD17" s="135">
        <v>1814</v>
      </c>
      <c r="AE17" s="135">
        <v>1021</v>
      </c>
      <c r="AF17" s="135">
        <v>653</v>
      </c>
      <c r="AG17" s="137">
        <v>453</v>
      </c>
      <c r="AH17" s="146">
        <v>333</v>
      </c>
      <c r="AI17" s="145">
        <v>255</v>
      </c>
      <c r="AJ17" s="145">
        <v>201</v>
      </c>
      <c r="AK17" s="145">
        <v>163</v>
      </c>
      <c r="AL17" s="145">
        <v>113</v>
      </c>
      <c r="AM17" s="145">
        <v>83</v>
      </c>
      <c r="AN17" s="125">
        <v>0.383</v>
      </c>
      <c r="AP17" s="120">
        <v>18.9</v>
      </c>
      <c r="AQ17" s="122" t="s">
        <v>36</v>
      </c>
      <c r="AR17" s="135">
        <f t="shared" si="0"/>
        <v>3063</v>
      </c>
      <c r="AS17" s="135">
        <f t="shared" si="0"/>
        <v>1723</v>
      </c>
      <c r="AT17" s="135">
        <f t="shared" si="0"/>
        <v>1103</v>
      </c>
      <c r="AU17" s="135">
        <f t="shared" si="0"/>
        <v>766</v>
      </c>
      <c r="AV17" s="135">
        <f t="shared" si="0"/>
        <v>563</v>
      </c>
      <c r="AW17" s="238">
        <f t="shared" si="0"/>
        <v>431</v>
      </c>
      <c r="AX17" s="238">
        <f t="shared" si="0"/>
        <v>340</v>
      </c>
      <c r="AY17" s="238">
        <f t="shared" si="0"/>
        <v>276</v>
      </c>
      <c r="AZ17" s="238">
        <f t="shared" si="0"/>
        <v>191</v>
      </c>
      <c r="BA17" s="135">
        <f t="shared" si="0"/>
        <v>141</v>
      </c>
      <c r="BB17" s="70"/>
    </row>
    <row r="18" spans="1:54" ht="13.5" thickBot="1">
      <c r="A18" s="230"/>
      <c r="B18" s="231"/>
      <c r="C18" s="203">
        <f>IF($C$10&lt;$C$9,"L must be &gt;= S !","")</f>
      </c>
      <c r="D18" s="231"/>
      <c r="E18" s="12"/>
      <c r="F18" s="12"/>
      <c r="G18" s="12"/>
      <c r="H18" s="12"/>
      <c r="I18" s="12"/>
      <c r="J18" s="162"/>
      <c r="L18" s="254">
        <v>0.5</v>
      </c>
      <c r="M18" s="55">
        <v>21.45</v>
      </c>
      <c r="O18" s="70"/>
      <c r="AB18" s="120">
        <v>21.45</v>
      </c>
      <c r="AC18" s="122" t="s">
        <v>37</v>
      </c>
      <c r="AD18" s="135">
        <v>2370</v>
      </c>
      <c r="AE18" s="135">
        <v>1333</v>
      </c>
      <c r="AF18" s="135">
        <v>853</v>
      </c>
      <c r="AG18" s="135">
        <v>593</v>
      </c>
      <c r="AH18" s="137">
        <v>435</v>
      </c>
      <c r="AI18" s="146">
        <v>333</v>
      </c>
      <c r="AJ18" s="145">
        <v>263</v>
      </c>
      <c r="AK18" s="145">
        <v>213</v>
      </c>
      <c r="AL18" s="145">
        <v>148</v>
      </c>
      <c r="AM18" s="145">
        <v>109</v>
      </c>
      <c r="AN18" s="125">
        <v>0.5</v>
      </c>
      <c r="AP18" s="120">
        <v>21.45</v>
      </c>
      <c r="AQ18" s="122" t="s">
        <v>37</v>
      </c>
      <c r="AR18" s="135">
        <f t="shared" si="0"/>
        <v>4000</v>
      </c>
      <c r="AS18" s="135">
        <f t="shared" si="0"/>
        <v>2250</v>
      </c>
      <c r="AT18" s="135">
        <f t="shared" si="0"/>
        <v>1440</v>
      </c>
      <c r="AU18" s="135">
        <f t="shared" si="0"/>
        <v>1000</v>
      </c>
      <c r="AV18" s="135">
        <f t="shared" si="0"/>
        <v>735</v>
      </c>
      <c r="AW18" s="238">
        <f t="shared" si="0"/>
        <v>563</v>
      </c>
      <c r="AX18" s="238">
        <f t="shared" si="0"/>
        <v>444</v>
      </c>
      <c r="AY18" s="238">
        <f t="shared" si="0"/>
        <v>360</v>
      </c>
      <c r="AZ18" s="238">
        <f t="shared" si="0"/>
        <v>250</v>
      </c>
      <c r="BA18" s="135">
        <f t="shared" si="0"/>
        <v>184</v>
      </c>
      <c r="BB18" s="70"/>
    </row>
    <row r="19" spans="1:54" ht="13.5" thickBot="1">
      <c r="A19" s="259">
        <f>IF(AND($C$14&gt;21.33,$C$15="Yes"),"To limit Fb(allow)=16 ksi, input 21.33 in cell C14 !","")</f>
      </c>
      <c r="B19" s="12"/>
      <c r="C19" s="12"/>
      <c r="D19" s="231"/>
      <c r="E19" s="12"/>
      <c r="F19" s="12"/>
      <c r="G19" s="12"/>
      <c r="H19" s="12"/>
      <c r="I19" s="12"/>
      <c r="J19" s="162"/>
      <c r="L19" s="254">
        <v>0.5625</v>
      </c>
      <c r="M19" s="55">
        <v>24</v>
      </c>
      <c r="O19" s="70"/>
      <c r="AB19" s="120">
        <v>24</v>
      </c>
      <c r="AC19" s="122" t="s">
        <v>38</v>
      </c>
      <c r="AD19" s="135">
        <v>3000</v>
      </c>
      <c r="AE19" s="135">
        <v>1688</v>
      </c>
      <c r="AF19" s="135">
        <v>1080</v>
      </c>
      <c r="AG19" s="135">
        <v>750</v>
      </c>
      <c r="AH19" s="135">
        <v>551</v>
      </c>
      <c r="AI19" s="137">
        <v>422</v>
      </c>
      <c r="AJ19" s="146">
        <v>333</v>
      </c>
      <c r="AK19" s="145">
        <v>270</v>
      </c>
      <c r="AL19" s="145">
        <v>188</v>
      </c>
      <c r="AM19" s="145">
        <v>138</v>
      </c>
      <c r="AN19" s="125">
        <v>0.633</v>
      </c>
      <c r="AP19" s="120">
        <v>24</v>
      </c>
      <c r="AQ19" s="122" t="s">
        <v>38</v>
      </c>
      <c r="AR19" s="135">
        <f t="shared" si="0"/>
        <v>5063</v>
      </c>
      <c r="AS19" s="135">
        <f t="shared" si="0"/>
        <v>2848</v>
      </c>
      <c r="AT19" s="135">
        <f t="shared" si="0"/>
        <v>1823</v>
      </c>
      <c r="AU19" s="135">
        <f t="shared" si="0"/>
        <v>1266</v>
      </c>
      <c r="AV19" s="135">
        <f t="shared" si="0"/>
        <v>930</v>
      </c>
      <c r="AW19" s="238">
        <f t="shared" si="0"/>
        <v>712</v>
      </c>
      <c r="AX19" s="238">
        <f t="shared" si="0"/>
        <v>563</v>
      </c>
      <c r="AY19" s="238">
        <f t="shared" si="0"/>
        <v>456</v>
      </c>
      <c r="AZ19" s="238">
        <f t="shared" si="0"/>
        <v>316</v>
      </c>
      <c r="BA19" s="135">
        <f t="shared" si="0"/>
        <v>232</v>
      </c>
      <c r="BB19" s="70"/>
    </row>
    <row r="20" spans="1:54" ht="13.5" thickBot="1">
      <c r="A20" s="259">
        <f>IF(AND($C$14=21.33,$C$15="No"),"For Fy=21.33, input 'Yes' in cell C15 !","")</f>
      </c>
      <c r="B20" s="12"/>
      <c r="C20" s="12"/>
      <c r="D20" s="233"/>
      <c r="E20" s="12"/>
      <c r="F20" s="158" t="str">
        <f>IF($C$13="Pinned","w(total)="&amp;$C$30,"w(total)")</f>
        <v>w(total)=116.35</v>
      </c>
      <c r="G20" s="12"/>
      <c r="H20" s="12"/>
      <c r="I20" s="158" t="str">
        <f>IF($C$13="Fixed","w(total)="&amp;$C$30,"w(total)")</f>
        <v>w(total)</v>
      </c>
      <c r="J20" s="162"/>
      <c r="L20" s="254">
        <v>0.625</v>
      </c>
      <c r="M20" s="55">
        <v>26.55</v>
      </c>
      <c r="O20" s="70"/>
      <c r="AB20" s="120">
        <v>26.55</v>
      </c>
      <c r="AC20" s="122" t="s">
        <v>39</v>
      </c>
      <c r="AD20" s="135">
        <v>3703</v>
      </c>
      <c r="AE20" s="135">
        <v>2084</v>
      </c>
      <c r="AF20" s="135">
        <v>1333</v>
      </c>
      <c r="AG20" s="135">
        <v>926</v>
      </c>
      <c r="AH20" s="135">
        <v>680</v>
      </c>
      <c r="AI20" s="135">
        <v>521</v>
      </c>
      <c r="AJ20" s="137">
        <v>412</v>
      </c>
      <c r="AK20" s="146">
        <v>333</v>
      </c>
      <c r="AL20" s="145">
        <v>232</v>
      </c>
      <c r="AM20" s="145">
        <v>170</v>
      </c>
      <c r="AN20" s="125">
        <v>0.781</v>
      </c>
      <c r="AP20" s="120">
        <v>26.55</v>
      </c>
      <c r="AQ20" s="122" t="s">
        <v>39</v>
      </c>
      <c r="AR20" s="135">
        <f t="shared" si="0"/>
        <v>6250</v>
      </c>
      <c r="AS20" s="135">
        <f t="shared" si="0"/>
        <v>3516</v>
      </c>
      <c r="AT20" s="135">
        <f t="shared" si="0"/>
        <v>2250</v>
      </c>
      <c r="AU20" s="135">
        <f t="shared" si="0"/>
        <v>1563</v>
      </c>
      <c r="AV20" s="135">
        <f t="shared" si="0"/>
        <v>1148</v>
      </c>
      <c r="AW20" s="238">
        <f t="shared" si="0"/>
        <v>879</v>
      </c>
      <c r="AX20" s="238">
        <f t="shared" si="0"/>
        <v>694</v>
      </c>
      <c r="AY20" s="238">
        <f t="shared" si="0"/>
        <v>563</v>
      </c>
      <c r="AZ20" s="238">
        <f t="shared" si="0"/>
        <v>391</v>
      </c>
      <c r="BA20" s="135">
        <f t="shared" si="0"/>
        <v>287</v>
      </c>
      <c r="BB20" s="70"/>
    </row>
    <row r="21" spans="1:54" ht="12.75">
      <c r="A21" s="262" t="s">
        <v>159</v>
      </c>
      <c r="B21" s="232"/>
      <c r="C21" s="232"/>
      <c r="D21" s="233"/>
      <c r="E21" s="31"/>
      <c r="F21" s="31"/>
      <c r="G21" s="26"/>
      <c r="H21" s="31"/>
      <c r="I21" s="31"/>
      <c r="J21" s="160"/>
      <c r="L21" s="254">
        <v>0.6875</v>
      </c>
      <c r="M21" s="55">
        <v>29.1</v>
      </c>
      <c r="O21" s="70"/>
      <c r="AB21" s="120">
        <v>29.1</v>
      </c>
      <c r="AC21" s="122" t="s">
        <v>41</v>
      </c>
      <c r="AD21" s="135">
        <v>4482</v>
      </c>
      <c r="AE21" s="135">
        <v>2521</v>
      </c>
      <c r="AF21" s="135">
        <v>1613</v>
      </c>
      <c r="AG21" s="135">
        <v>1121</v>
      </c>
      <c r="AH21" s="135">
        <v>823</v>
      </c>
      <c r="AI21" s="135">
        <v>630</v>
      </c>
      <c r="AJ21" s="135">
        <v>498</v>
      </c>
      <c r="AK21" s="137">
        <v>403</v>
      </c>
      <c r="AL21" s="145">
        <v>280</v>
      </c>
      <c r="AM21" s="145">
        <v>206</v>
      </c>
      <c r="AN21" s="125">
        <v>0.945</v>
      </c>
      <c r="AP21" s="120">
        <v>29.1</v>
      </c>
      <c r="AQ21" s="122" t="s">
        <v>41</v>
      </c>
      <c r="AR21" s="135">
        <f t="shared" si="0"/>
        <v>7563</v>
      </c>
      <c r="AS21" s="135">
        <f t="shared" si="0"/>
        <v>4254</v>
      </c>
      <c r="AT21" s="135">
        <f t="shared" si="0"/>
        <v>2723</v>
      </c>
      <c r="AU21" s="135">
        <f t="shared" si="0"/>
        <v>1891</v>
      </c>
      <c r="AV21" s="135">
        <f t="shared" si="0"/>
        <v>1389</v>
      </c>
      <c r="AW21" s="238">
        <f t="shared" si="0"/>
        <v>1063</v>
      </c>
      <c r="AX21" s="238">
        <f t="shared" si="0"/>
        <v>840</v>
      </c>
      <c r="AY21" s="238">
        <f t="shared" si="0"/>
        <v>681</v>
      </c>
      <c r="AZ21" s="238">
        <f t="shared" si="0"/>
        <v>473</v>
      </c>
      <c r="BA21" s="135">
        <f t="shared" si="0"/>
        <v>347</v>
      </c>
      <c r="BB21" s="70"/>
    </row>
    <row r="22" spans="1:54" ht="13.5" thickBot="1">
      <c r="A22" s="260" t="s">
        <v>160</v>
      </c>
      <c r="B22" s="173"/>
      <c r="C22" s="231"/>
      <c r="D22" s="231"/>
      <c r="E22" s="31"/>
      <c r="F22" s="31"/>
      <c r="G22" s="26"/>
      <c r="H22" s="31"/>
      <c r="I22" s="31"/>
      <c r="J22" s="160"/>
      <c r="L22" s="254">
        <v>0.75</v>
      </c>
      <c r="M22" s="55">
        <v>31.65</v>
      </c>
      <c r="O22" s="70"/>
      <c r="AB22" s="120">
        <v>31.65</v>
      </c>
      <c r="AC22" s="122" t="s">
        <v>42</v>
      </c>
      <c r="AD22" s="135">
        <v>5333</v>
      </c>
      <c r="AE22" s="135">
        <v>3000</v>
      </c>
      <c r="AF22" s="135">
        <v>1920</v>
      </c>
      <c r="AG22" s="135">
        <v>1333</v>
      </c>
      <c r="AH22" s="135">
        <v>980</v>
      </c>
      <c r="AI22" s="135">
        <v>750</v>
      </c>
      <c r="AJ22" s="135">
        <v>593</v>
      </c>
      <c r="AK22" s="135">
        <v>480</v>
      </c>
      <c r="AL22" s="146">
        <v>333</v>
      </c>
      <c r="AM22" s="145">
        <v>245</v>
      </c>
      <c r="AN22" s="125">
        <v>1.125</v>
      </c>
      <c r="AP22" s="120">
        <v>31.65</v>
      </c>
      <c r="AQ22" s="122" t="s">
        <v>42</v>
      </c>
      <c r="AR22" s="135">
        <f aca="true" t="shared" si="1" ref="AR22:BA31">ROUND(12*(0.75*$C$14)*(8*(12*$L22^2/6))*1000/(AR$9*12)^2,0)</f>
        <v>9000</v>
      </c>
      <c r="AS22" s="135">
        <f t="shared" si="1"/>
        <v>5063</v>
      </c>
      <c r="AT22" s="135">
        <f t="shared" si="1"/>
        <v>3240</v>
      </c>
      <c r="AU22" s="135">
        <f t="shared" si="1"/>
        <v>2250</v>
      </c>
      <c r="AV22" s="135">
        <f t="shared" si="1"/>
        <v>1653</v>
      </c>
      <c r="AW22" s="238">
        <f t="shared" si="1"/>
        <v>1266</v>
      </c>
      <c r="AX22" s="238">
        <f t="shared" si="1"/>
        <v>1000</v>
      </c>
      <c r="AY22" s="238">
        <f t="shared" si="1"/>
        <v>810</v>
      </c>
      <c r="AZ22" s="238">
        <f t="shared" si="1"/>
        <v>563</v>
      </c>
      <c r="BA22" s="135">
        <f t="shared" si="1"/>
        <v>413</v>
      </c>
      <c r="BB22" s="70"/>
    </row>
    <row r="23" spans="1:54" ht="12.75">
      <c r="A23" s="261" t="s">
        <v>161</v>
      </c>
      <c r="B23" s="231"/>
      <c r="C23" s="231"/>
      <c r="D23" s="231"/>
      <c r="E23" s="164" t="s">
        <v>91</v>
      </c>
      <c r="F23" s="165"/>
      <c r="G23" s="165"/>
      <c r="H23" s="164" t="s">
        <v>92</v>
      </c>
      <c r="I23" s="165"/>
      <c r="J23" s="166"/>
      <c r="L23" s="254">
        <v>0.8125</v>
      </c>
      <c r="M23" s="55">
        <v>34.2</v>
      </c>
      <c r="O23" s="70"/>
      <c r="AB23" s="120">
        <v>34.2</v>
      </c>
      <c r="AC23" s="122" t="s">
        <v>43</v>
      </c>
      <c r="AD23" s="135">
        <v>6260</v>
      </c>
      <c r="AE23" s="135">
        <v>3521</v>
      </c>
      <c r="AF23" s="135">
        <v>2253</v>
      </c>
      <c r="AG23" s="135">
        <v>1565</v>
      </c>
      <c r="AH23" s="135">
        <v>1150</v>
      </c>
      <c r="AI23" s="135">
        <v>880</v>
      </c>
      <c r="AJ23" s="135">
        <v>696</v>
      </c>
      <c r="AK23" s="135">
        <v>563</v>
      </c>
      <c r="AL23" s="137">
        <v>391</v>
      </c>
      <c r="AM23" s="145">
        <v>287</v>
      </c>
      <c r="AN23" s="125">
        <v>1.32</v>
      </c>
      <c r="AP23" s="120">
        <v>34.2</v>
      </c>
      <c r="AQ23" s="122" t="s">
        <v>43</v>
      </c>
      <c r="AR23" s="135">
        <f t="shared" si="1"/>
        <v>10563</v>
      </c>
      <c r="AS23" s="135">
        <f t="shared" si="1"/>
        <v>5941</v>
      </c>
      <c r="AT23" s="135">
        <f t="shared" si="1"/>
        <v>3803</v>
      </c>
      <c r="AU23" s="135">
        <f t="shared" si="1"/>
        <v>2641</v>
      </c>
      <c r="AV23" s="135">
        <f t="shared" si="1"/>
        <v>1940</v>
      </c>
      <c r="AW23" s="238">
        <f t="shared" si="1"/>
        <v>1485</v>
      </c>
      <c r="AX23" s="238">
        <f t="shared" si="1"/>
        <v>1174</v>
      </c>
      <c r="AY23" s="238">
        <f t="shared" si="1"/>
        <v>951</v>
      </c>
      <c r="AZ23" s="238">
        <f t="shared" si="1"/>
        <v>660</v>
      </c>
      <c r="BA23" s="135">
        <f t="shared" si="1"/>
        <v>485</v>
      </c>
      <c r="BB23" s="70"/>
    </row>
    <row r="24" spans="1:54" ht="13.5" thickBot="1">
      <c r="A24" s="260" t="s">
        <v>162</v>
      </c>
      <c r="B24" s="231"/>
      <c r="C24" s="231"/>
      <c r="D24" s="231"/>
      <c r="E24" s="12"/>
      <c r="F24" s="12"/>
      <c r="G24" s="12"/>
      <c r="H24" s="12"/>
      <c r="I24" s="12"/>
      <c r="J24" s="73"/>
      <c r="L24" s="254">
        <v>0.875</v>
      </c>
      <c r="M24" s="55">
        <v>36.75</v>
      </c>
      <c r="O24" s="70"/>
      <c r="AB24" s="120">
        <v>36.75</v>
      </c>
      <c r="AC24" s="122" t="s">
        <v>44</v>
      </c>
      <c r="AD24" s="135">
        <v>7258</v>
      </c>
      <c r="AE24" s="135">
        <v>4088</v>
      </c>
      <c r="AF24" s="135">
        <v>2613</v>
      </c>
      <c r="AG24" s="135">
        <v>1815</v>
      </c>
      <c r="AH24" s="135">
        <v>1333</v>
      </c>
      <c r="AI24" s="135">
        <v>1022</v>
      </c>
      <c r="AJ24" s="135">
        <v>807</v>
      </c>
      <c r="AK24" s="135">
        <v>653</v>
      </c>
      <c r="AL24" s="135">
        <v>454</v>
      </c>
      <c r="AM24" s="146">
        <v>333</v>
      </c>
      <c r="AN24" s="125">
        <v>1.531</v>
      </c>
      <c r="AP24" s="120">
        <v>36.75</v>
      </c>
      <c r="AQ24" s="122" t="s">
        <v>44</v>
      </c>
      <c r="AR24" s="135">
        <f t="shared" si="1"/>
        <v>12250</v>
      </c>
      <c r="AS24" s="135">
        <f t="shared" si="1"/>
        <v>6891</v>
      </c>
      <c r="AT24" s="135">
        <f t="shared" si="1"/>
        <v>4410</v>
      </c>
      <c r="AU24" s="135">
        <f t="shared" si="1"/>
        <v>3063</v>
      </c>
      <c r="AV24" s="135">
        <f t="shared" si="1"/>
        <v>2250</v>
      </c>
      <c r="AW24" s="238">
        <f t="shared" si="1"/>
        <v>1723</v>
      </c>
      <c r="AX24" s="238">
        <f t="shared" si="1"/>
        <v>1361</v>
      </c>
      <c r="AY24" s="238">
        <f t="shared" si="1"/>
        <v>1103</v>
      </c>
      <c r="AZ24" s="238">
        <f t="shared" si="1"/>
        <v>766</v>
      </c>
      <c r="BA24" s="135">
        <f t="shared" si="1"/>
        <v>563</v>
      </c>
      <c r="BB24" s="70"/>
    </row>
    <row r="25" spans="1:54" ht="12.75">
      <c r="A25" s="230"/>
      <c r="B25" s="231"/>
      <c r="C25" s="12"/>
      <c r="D25" s="231"/>
      <c r="E25" s="163" t="s">
        <v>90</v>
      </c>
      <c r="F25" s="163"/>
      <c r="G25" s="163"/>
      <c r="H25" s="163"/>
      <c r="I25" s="163"/>
      <c r="J25" s="167"/>
      <c r="L25" s="254">
        <v>0.9375</v>
      </c>
      <c r="M25" s="55">
        <v>39.3</v>
      </c>
      <c r="O25" s="70"/>
      <c r="AB25" s="120">
        <v>39.3</v>
      </c>
      <c r="AC25" s="122" t="s">
        <v>45</v>
      </c>
      <c r="AD25" s="135">
        <v>8333</v>
      </c>
      <c r="AE25" s="135">
        <v>4688</v>
      </c>
      <c r="AF25" s="135">
        <v>3000</v>
      </c>
      <c r="AG25" s="135">
        <v>2083</v>
      </c>
      <c r="AH25" s="135">
        <v>1531</v>
      </c>
      <c r="AI25" s="135">
        <v>1172</v>
      </c>
      <c r="AJ25" s="135">
        <v>926</v>
      </c>
      <c r="AK25" s="135">
        <v>750</v>
      </c>
      <c r="AL25" s="135">
        <v>521</v>
      </c>
      <c r="AM25" s="137">
        <v>383</v>
      </c>
      <c r="AN25" s="125">
        <v>1.758</v>
      </c>
      <c r="AP25" s="120">
        <v>39.3</v>
      </c>
      <c r="AQ25" s="122" t="s">
        <v>45</v>
      </c>
      <c r="AR25" s="135">
        <f t="shared" si="1"/>
        <v>14063</v>
      </c>
      <c r="AS25" s="135">
        <f t="shared" si="1"/>
        <v>7910</v>
      </c>
      <c r="AT25" s="135">
        <f t="shared" si="1"/>
        <v>5063</v>
      </c>
      <c r="AU25" s="135">
        <f t="shared" si="1"/>
        <v>3516</v>
      </c>
      <c r="AV25" s="135">
        <f t="shared" si="1"/>
        <v>2583</v>
      </c>
      <c r="AW25" s="238">
        <f t="shared" si="1"/>
        <v>1978</v>
      </c>
      <c r="AX25" s="238">
        <f t="shared" si="1"/>
        <v>1563</v>
      </c>
      <c r="AY25" s="238">
        <f t="shared" si="1"/>
        <v>1266</v>
      </c>
      <c r="AZ25" s="238">
        <f t="shared" si="1"/>
        <v>879</v>
      </c>
      <c r="BA25" s="135">
        <f t="shared" si="1"/>
        <v>646</v>
      </c>
      <c r="BB25" s="70"/>
    </row>
    <row r="26" spans="1:54" ht="12.75">
      <c r="A26" s="48" t="s">
        <v>13</v>
      </c>
      <c r="B26" s="12"/>
      <c r="C26" s="12"/>
      <c r="D26" s="12"/>
      <c r="E26" s="12"/>
      <c r="F26" s="12"/>
      <c r="G26" s="12"/>
      <c r="H26" s="12"/>
      <c r="I26" s="12"/>
      <c r="J26" s="73"/>
      <c r="L26" s="254">
        <v>1</v>
      </c>
      <c r="M26" s="55">
        <v>41.85</v>
      </c>
      <c r="O26" s="70"/>
      <c r="AB26" s="120">
        <v>41.85</v>
      </c>
      <c r="AC26" s="122" t="s">
        <v>46</v>
      </c>
      <c r="AD26" s="135">
        <v>9481</v>
      </c>
      <c r="AE26" s="135">
        <v>5333</v>
      </c>
      <c r="AF26" s="135">
        <v>3413</v>
      </c>
      <c r="AG26" s="135">
        <v>2370</v>
      </c>
      <c r="AH26" s="135">
        <v>1741</v>
      </c>
      <c r="AI26" s="135">
        <v>1333</v>
      </c>
      <c r="AJ26" s="135">
        <v>1053</v>
      </c>
      <c r="AK26" s="135">
        <v>853</v>
      </c>
      <c r="AL26" s="135">
        <v>593</v>
      </c>
      <c r="AM26" s="135">
        <v>435</v>
      </c>
      <c r="AN26" s="125">
        <v>2</v>
      </c>
      <c r="AP26" s="120">
        <v>41.85</v>
      </c>
      <c r="AQ26" s="122" t="s">
        <v>46</v>
      </c>
      <c r="AR26" s="135">
        <f t="shared" si="1"/>
        <v>16000</v>
      </c>
      <c r="AS26" s="135">
        <f t="shared" si="1"/>
        <v>9000</v>
      </c>
      <c r="AT26" s="135">
        <f t="shared" si="1"/>
        <v>5760</v>
      </c>
      <c r="AU26" s="135">
        <f t="shared" si="1"/>
        <v>4000</v>
      </c>
      <c r="AV26" s="135">
        <f t="shared" si="1"/>
        <v>2939</v>
      </c>
      <c r="AW26" s="238">
        <f t="shared" si="1"/>
        <v>2250</v>
      </c>
      <c r="AX26" s="238">
        <f t="shared" si="1"/>
        <v>1778</v>
      </c>
      <c r="AY26" s="238">
        <f t="shared" si="1"/>
        <v>1440</v>
      </c>
      <c r="AZ26" s="238">
        <f t="shared" si="1"/>
        <v>1000</v>
      </c>
      <c r="BA26" s="135">
        <f t="shared" si="1"/>
        <v>735</v>
      </c>
      <c r="BB26" s="70"/>
    </row>
    <row r="27" spans="1:54" ht="12.75">
      <c r="A27" s="10"/>
      <c r="B27" s="12"/>
      <c r="C27" s="12"/>
      <c r="D27" s="12"/>
      <c r="E27" s="12"/>
      <c r="F27" s="12"/>
      <c r="G27" s="12"/>
      <c r="H27" s="12"/>
      <c r="I27" s="12"/>
      <c r="J27" s="73"/>
      <c r="L27" s="254">
        <v>1.0625</v>
      </c>
      <c r="M27" s="71">
        <v>44.4</v>
      </c>
      <c r="O27" s="70"/>
      <c r="AB27" s="120">
        <v>44.4</v>
      </c>
      <c r="AC27" s="122" t="s">
        <v>47</v>
      </c>
      <c r="AD27" s="135">
        <v>10705</v>
      </c>
      <c r="AE27" s="135">
        <v>6021</v>
      </c>
      <c r="AF27" s="135">
        <v>3853</v>
      </c>
      <c r="AG27" s="135">
        <v>2676</v>
      </c>
      <c r="AH27" s="135">
        <v>1966</v>
      </c>
      <c r="AI27" s="135">
        <v>1505</v>
      </c>
      <c r="AJ27" s="135">
        <v>1190</v>
      </c>
      <c r="AK27" s="135">
        <v>963</v>
      </c>
      <c r="AL27" s="135">
        <v>669</v>
      </c>
      <c r="AM27" s="135">
        <v>492</v>
      </c>
      <c r="AN27" s="125">
        <v>2.258</v>
      </c>
      <c r="AP27" s="120">
        <v>44.4</v>
      </c>
      <c r="AQ27" s="122" t="s">
        <v>47</v>
      </c>
      <c r="AR27" s="135">
        <f t="shared" si="1"/>
        <v>18063</v>
      </c>
      <c r="AS27" s="135">
        <f t="shared" si="1"/>
        <v>10160</v>
      </c>
      <c r="AT27" s="135">
        <f t="shared" si="1"/>
        <v>6503</v>
      </c>
      <c r="AU27" s="135">
        <f t="shared" si="1"/>
        <v>4516</v>
      </c>
      <c r="AV27" s="238">
        <f t="shared" si="1"/>
        <v>3318</v>
      </c>
      <c r="AW27" s="135">
        <f t="shared" si="1"/>
        <v>2540</v>
      </c>
      <c r="AX27" s="238">
        <f t="shared" si="1"/>
        <v>2007</v>
      </c>
      <c r="AY27" s="135">
        <f t="shared" si="1"/>
        <v>1626</v>
      </c>
      <c r="AZ27" s="135">
        <f t="shared" si="1"/>
        <v>1129</v>
      </c>
      <c r="BA27" s="135">
        <f t="shared" si="1"/>
        <v>829</v>
      </c>
      <c r="BB27" s="70"/>
    </row>
    <row r="28" spans="1:54" ht="12.75">
      <c r="A28" s="88" t="s">
        <v>29</v>
      </c>
      <c r="B28" s="12"/>
      <c r="C28" s="12"/>
      <c r="D28" s="12"/>
      <c r="E28" s="12"/>
      <c r="F28" s="12"/>
      <c r="G28" s="12"/>
      <c r="H28" s="12"/>
      <c r="I28" s="12"/>
      <c r="J28" s="73"/>
      <c r="L28" s="254">
        <v>1.125</v>
      </c>
      <c r="M28" s="71">
        <v>46.95</v>
      </c>
      <c r="O28" s="70"/>
      <c r="AB28" s="120">
        <v>46.95</v>
      </c>
      <c r="AC28" s="122" t="s">
        <v>48</v>
      </c>
      <c r="AD28" s="135">
        <v>11999</v>
      </c>
      <c r="AE28" s="135">
        <v>6749</v>
      </c>
      <c r="AF28" s="135">
        <v>4319</v>
      </c>
      <c r="AG28" s="135">
        <v>3000</v>
      </c>
      <c r="AH28" s="135">
        <v>2204</v>
      </c>
      <c r="AI28" s="135">
        <v>1687</v>
      </c>
      <c r="AJ28" s="135">
        <v>1333</v>
      </c>
      <c r="AK28" s="135">
        <v>1080</v>
      </c>
      <c r="AL28" s="135">
        <v>750</v>
      </c>
      <c r="AM28" s="135">
        <v>551</v>
      </c>
      <c r="AN28" s="125">
        <v>2.531</v>
      </c>
      <c r="AP28" s="120">
        <v>46.95</v>
      </c>
      <c r="AQ28" s="122" t="s">
        <v>48</v>
      </c>
      <c r="AR28" s="135">
        <f t="shared" si="1"/>
        <v>20250</v>
      </c>
      <c r="AS28" s="135">
        <f t="shared" si="1"/>
        <v>11391</v>
      </c>
      <c r="AT28" s="135">
        <f t="shared" si="1"/>
        <v>7290</v>
      </c>
      <c r="AU28" s="135">
        <f t="shared" si="1"/>
        <v>5063</v>
      </c>
      <c r="AV28" s="135">
        <f t="shared" si="1"/>
        <v>3719</v>
      </c>
      <c r="AW28" s="135">
        <f t="shared" si="1"/>
        <v>2848</v>
      </c>
      <c r="AX28" s="135">
        <f t="shared" si="1"/>
        <v>2250</v>
      </c>
      <c r="AY28" s="135">
        <f t="shared" si="1"/>
        <v>1823</v>
      </c>
      <c r="AZ28" s="135">
        <f t="shared" si="1"/>
        <v>1266</v>
      </c>
      <c r="BA28" s="135">
        <f t="shared" si="1"/>
        <v>930</v>
      </c>
      <c r="BB28" s="70"/>
    </row>
    <row r="29" spans="1:54" ht="12.75">
      <c r="A29" s="30"/>
      <c r="B29" s="49" t="s">
        <v>14</v>
      </c>
      <c r="C29" s="76">
        <f>VLOOKUP($C$11,$L$12:$M$42,2)</f>
        <v>16.35</v>
      </c>
      <c r="D29" s="51" t="s">
        <v>10</v>
      </c>
      <c r="E29" s="31" t="s">
        <v>28</v>
      </c>
      <c r="F29" s="31"/>
      <c r="G29" s="24"/>
      <c r="H29" s="24"/>
      <c r="I29" s="24"/>
      <c r="J29" s="174"/>
      <c r="L29" s="254">
        <v>1.1875</v>
      </c>
      <c r="M29" s="71">
        <v>49.5</v>
      </c>
      <c r="O29" s="70"/>
      <c r="AB29" s="120">
        <v>49.5</v>
      </c>
      <c r="AC29" s="122" t="s">
        <v>49</v>
      </c>
      <c r="AD29" s="135">
        <v>13369</v>
      </c>
      <c r="AE29" s="135">
        <v>7520</v>
      </c>
      <c r="AF29" s="135">
        <v>4813</v>
      </c>
      <c r="AG29" s="135">
        <v>3343</v>
      </c>
      <c r="AH29" s="135">
        <v>2456</v>
      </c>
      <c r="AI29" s="135">
        <v>1880</v>
      </c>
      <c r="AJ29" s="135">
        <v>1486</v>
      </c>
      <c r="AK29" s="135">
        <v>1203</v>
      </c>
      <c r="AL29" s="135">
        <v>836</v>
      </c>
      <c r="AM29" s="135">
        <v>614</v>
      </c>
      <c r="AN29" s="125">
        <v>2.82</v>
      </c>
      <c r="AP29" s="120">
        <v>49.5</v>
      </c>
      <c r="AQ29" s="122" t="s">
        <v>49</v>
      </c>
      <c r="AR29" s="135">
        <f t="shared" si="1"/>
        <v>22563</v>
      </c>
      <c r="AS29" s="135">
        <f t="shared" si="1"/>
        <v>12691</v>
      </c>
      <c r="AT29" s="135">
        <f t="shared" si="1"/>
        <v>8123</v>
      </c>
      <c r="AU29" s="135">
        <f t="shared" si="1"/>
        <v>5641</v>
      </c>
      <c r="AV29" s="135">
        <f t="shared" si="1"/>
        <v>4144</v>
      </c>
      <c r="AW29" s="135">
        <f t="shared" si="1"/>
        <v>3173</v>
      </c>
      <c r="AX29" s="135">
        <f t="shared" si="1"/>
        <v>2507</v>
      </c>
      <c r="AY29" s="135">
        <f t="shared" si="1"/>
        <v>2031</v>
      </c>
      <c r="AZ29" s="135">
        <f t="shared" si="1"/>
        <v>1410</v>
      </c>
      <c r="BA29" s="135">
        <f t="shared" si="1"/>
        <v>1036</v>
      </c>
      <c r="BB29" s="70"/>
    </row>
    <row r="30" spans="1:54" ht="12.75">
      <c r="A30" s="30"/>
      <c r="B30" s="49" t="s">
        <v>24</v>
      </c>
      <c r="C30" s="54">
        <f>$C$29+$C$12</f>
        <v>116.35</v>
      </c>
      <c r="D30" s="51" t="s">
        <v>10</v>
      </c>
      <c r="E30" s="31" t="s">
        <v>141</v>
      </c>
      <c r="F30" s="31"/>
      <c r="G30" s="24"/>
      <c r="H30" s="24"/>
      <c r="I30" s="24"/>
      <c r="J30" s="174"/>
      <c r="L30" s="254">
        <v>1.25</v>
      </c>
      <c r="M30" s="71">
        <v>52.05</v>
      </c>
      <c r="AB30" s="120">
        <v>52.05</v>
      </c>
      <c r="AC30" s="122" t="s">
        <v>50</v>
      </c>
      <c r="AD30" s="135">
        <v>14815</v>
      </c>
      <c r="AE30" s="135">
        <v>8333</v>
      </c>
      <c r="AF30" s="135">
        <v>5333</v>
      </c>
      <c r="AG30" s="135">
        <v>3704</v>
      </c>
      <c r="AH30" s="135">
        <v>2721</v>
      </c>
      <c r="AI30" s="135">
        <v>2083</v>
      </c>
      <c r="AJ30" s="135">
        <v>1646</v>
      </c>
      <c r="AK30" s="135">
        <v>1333</v>
      </c>
      <c r="AL30" s="135">
        <v>926</v>
      </c>
      <c r="AM30" s="135">
        <v>680</v>
      </c>
      <c r="AN30" s="125">
        <v>3.125</v>
      </c>
      <c r="AP30" s="120">
        <v>52.05</v>
      </c>
      <c r="AQ30" s="122" t="s">
        <v>50</v>
      </c>
      <c r="AR30" s="135">
        <f t="shared" si="1"/>
        <v>25000</v>
      </c>
      <c r="AS30" s="135">
        <f t="shared" si="1"/>
        <v>14063</v>
      </c>
      <c r="AT30" s="135">
        <f t="shared" si="1"/>
        <v>9000</v>
      </c>
      <c r="AU30" s="135">
        <f t="shared" si="1"/>
        <v>6250</v>
      </c>
      <c r="AV30" s="135">
        <f t="shared" si="1"/>
        <v>4592</v>
      </c>
      <c r="AW30" s="135">
        <f t="shared" si="1"/>
        <v>3516</v>
      </c>
      <c r="AX30" s="135">
        <f t="shared" si="1"/>
        <v>2778</v>
      </c>
      <c r="AY30" s="135">
        <f t="shared" si="1"/>
        <v>2250</v>
      </c>
      <c r="AZ30" s="135">
        <f t="shared" si="1"/>
        <v>1563</v>
      </c>
      <c r="BA30" s="135">
        <f t="shared" si="1"/>
        <v>1148</v>
      </c>
      <c r="BB30" s="70"/>
    </row>
    <row r="31" spans="1:54" ht="12.75">
      <c r="A31" s="30"/>
      <c r="B31" s="75" t="s">
        <v>25</v>
      </c>
      <c r="C31" s="54">
        <f>IF($C$13="Pinned",0.75*($C$30/144)*($C$9*12)^2/($C$11^2*(1+1.61*($C$9/$C$10)^3)),0.5*($C$30/144)*($C$9*12)^2/($C$11^2*(1+0.623*($C$9/$C$10)^6)))/1000</f>
        <v>9.904729640222461</v>
      </c>
      <c r="D31" s="52" t="s">
        <v>138</v>
      </c>
      <c r="E31" s="31" t="str">
        <f>IF($C$13="Pinned","fb(max) = 0.75*(w(total)/144)*(S*12)^2/(t^2*(1+1.61*(S/L)^3))","fb(max) = 0.5*(w(total)/144)*(S*12)^2/(t^2*(1+0.623*(S/L)^6))")&amp;"/1000"</f>
        <v>fb(max) = 0.75*(w(total)/144)*(S*12)^2/(t^2*(1+1.61*(S/L)^3))/1000</v>
      </c>
      <c r="F31" s="31"/>
      <c r="G31" s="24"/>
      <c r="H31" s="24"/>
      <c r="I31" s="24"/>
      <c r="J31" s="174"/>
      <c r="L31" s="254">
        <v>1.3125</v>
      </c>
      <c r="M31" s="71">
        <v>54.6</v>
      </c>
      <c r="O31" s="78"/>
      <c r="AB31" s="120">
        <v>54.6</v>
      </c>
      <c r="AC31" s="122" t="s">
        <v>51</v>
      </c>
      <c r="AD31" s="135">
        <v>16332</v>
      </c>
      <c r="AE31" s="135">
        <v>9186</v>
      </c>
      <c r="AF31" s="135">
        <v>5879</v>
      </c>
      <c r="AG31" s="135">
        <v>4083</v>
      </c>
      <c r="AH31" s="135">
        <v>3000</v>
      </c>
      <c r="AI31" s="135">
        <v>2297</v>
      </c>
      <c r="AJ31" s="135">
        <v>1815</v>
      </c>
      <c r="AK31" s="135">
        <v>1470</v>
      </c>
      <c r="AL31" s="135">
        <v>1021</v>
      </c>
      <c r="AM31" s="135">
        <v>750</v>
      </c>
      <c r="AN31" s="125">
        <v>3.445</v>
      </c>
      <c r="AP31" s="120">
        <v>54.6</v>
      </c>
      <c r="AQ31" s="122" t="s">
        <v>51</v>
      </c>
      <c r="AR31" s="135">
        <f t="shared" si="1"/>
        <v>27563</v>
      </c>
      <c r="AS31" s="135">
        <f t="shared" si="1"/>
        <v>15504</v>
      </c>
      <c r="AT31" s="135">
        <f t="shared" si="1"/>
        <v>9923</v>
      </c>
      <c r="AU31" s="135">
        <f t="shared" si="1"/>
        <v>6891</v>
      </c>
      <c r="AV31" s="135">
        <f t="shared" si="1"/>
        <v>5063</v>
      </c>
      <c r="AW31" s="135">
        <f t="shared" si="1"/>
        <v>3876</v>
      </c>
      <c r="AX31" s="135">
        <f t="shared" si="1"/>
        <v>3063</v>
      </c>
      <c r="AY31" s="135">
        <f t="shared" si="1"/>
        <v>2481</v>
      </c>
      <c r="AZ31" s="135">
        <f t="shared" si="1"/>
        <v>1723</v>
      </c>
      <c r="BA31" s="135">
        <f t="shared" si="1"/>
        <v>1266</v>
      </c>
      <c r="BB31" s="70"/>
    </row>
    <row r="32" spans="1:54" ht="12.75">
      <c r="A32" s="30"/>
      <c r="B32" s="75" t="s">
        <v>26</v>
      </c>
      <c r="C32" s="87">
        <f>IF($C$15="Yes",16,ROUND(0.75*$C$14,0))</f>
        <v>27</v>
      </c>
      <c r="D32" s="52" t="s">
        <v>138</v>
      </c>
      <c r="E32" s="12" t="s">
        <v>156</v>
      </c>
      <c r="F32" s="31" t="str">
        <f>IF($C$15="Yes","16.0 ksi (suggested for ASTM A786 material)","0.75*Fy")</f>
        <v>0.75*Fy</v>
      </c>
      <c r="G32" s="24"/>
      <c r="H32" s="24"/>
      <c r="I32" s="24"/>
      <c r="J32" s="174"/>
      <c r="L32" s="254">
        <v>1.375</v>
      </c>
      <c r="M32" s="71">
        <v>57.15</v>
      </c>
      <c r="O32" s="20"/>
      <c r="AB32" s="120">
        <v>57.15</v>
      </c>
      <c r="AC32" s="122" t="s">
        <v>52</v>
      </c>
      <c r="AD32" s="135">
        <v>17925</v>
      </c>
      <c r="AE32" s="135">
        <v>10082</v>
      </c>
      <c r="AF32" s="135">
        <v>6453</v>
      </c>
      <c r="AG32" s="135">
        <v>4482</v>
      </c>
      <c r="AH32" s="135">
        <v>3292</v>
      </c>
      <c r="AI32" s="135">
        <v>2521</v>
      </c>
      <c r="AJ32" s="135">
        <v>1992</v>
      </c>
      <c r="AK32" s="135">
        <v>1613</v>
      </c>
      <c r="AL32" s="135">
        <v>1120</v>
      </c>
      <c r="AM32" s="135">
        <v>823</v>
      </c>
      <c r="AN32" s="125">
        <v>3.781</v>
      </c>
      <c r="AP32" s="120">
        <v>57.15</v>
      </c>
      <c r="AQ32" s="122" t="s">
        <v>52</v>
      </c>
      <c r="AR32" s="135">
        <f aca="true" t="shared" si="2" ref="AR32:BA42">ROUND(12*(0.75*$C$14)*(8*(12*$L32^2/6))*1000/(AR$9*12)^2,0)</f>
        <v>30250</v>
      </c>
      <c r="AS32" s="135">
        <f t="shared" si="2"/>
        <v>17016</v>
      </c>
      <c r="AT32" s="135">
        <f t="shared" si="2"/>
        <v>10890</v>
      </c>
      <c r="AU32" s="135">
        <f t="shared" si="2"/>
        <v>7563</v>
      </c>
      <c r="AV32" s="135">
        <f t="shared" si="2"/>
        <v>5556</v>
      </c>
      <c r="AW32" s="135">
        <f t="shared" si="2"/>
        <v>4254</v>
      </c>
      <c r="AX32" s="135">
        <f t="shared" si="2"/>
        <v>3361</v>
      </c>
      <c r="AY32" s="135">
        <f t="shared" si="2"/>
        <v>2723</v>
      </c>
      <c r="AZ32" s="135">
        <f t="shared" si="2"/>
        <v>1891</v>
      </c>
      <c r="BA32" s="135">
        <f t="shared" si="2"/>
        <v>1389</v>
      </c>
      <c r="BB32" s="70"/>
    </row>
    <row r="33" spans="1:54" ht="12.75">
      <c r="A33" s="10"/>
      <c r="B33" s="12"/>
      <c r="C33" s="12"/>
      <c r="D33" s="12"/>
      <c r="E33" s="12"/>
      <c r="F33" s="12"/>
      <c r="G33" s="12"/>
      <c r="H33" s="89" t="str">
        <f>IF($C$31&lt;=$C$32,"fb(max) &lt;= Fb(allow),  O.K.","fb(max) &gt; Fb(allow)")</f>
        <v>fb(max) &lt;= Fb(allow),  O.K.</v>
      </c>
      <c r="I33" s="12"/>
      <c r="J33" s="73"/>
      <c r="L33" s="254">
        <v>1.4375</v>
      </c>
      <c r="M33" s="53">
        <v>59.7</v>
      </c>
      <c r="O33" s="20"/>
      <c r="AB33" s="120">
        <v>59.7</v>
      </c>
      <c r="AC33" s="123" t="s">
        <v>53</v>
      </c>
      <c r="AD33" s="135">
        <v>19593</v>
      </c>
      <c r="AE33" s="135">
        <v>11021</v>
      </c>
      <c r="AF33" s="135">
        <v>7053</v>
      </c>
      <c r="AG33" s="135">
        <v>4898</v>
      </c>
      <c r="AH33" s="135">
        <v>3599</v>
      </c>
      <c r="AI33" s="135">
        <v>2755</v>
      </c>
      <c r="AJ33" s="135">
        <v>2177</v>
      </c>
      <c r="AK33" s="135">
        <v>1764</v>
      </c>
      <c r="AL33" s="135">
        <v>1225</v>
      </c>
      <c r="AM33" s="135">
        <v>900</v>
      </c>
      <c r="AN33" s="125">
        <v>4.133</v>
      </c>
      <c r="AP33" s="120">
        <v>59.7</v>
      </c>
      <c r="AQ33" s="123" t="s">
        <v>53</v>
      </c>
      <c r="AR33" s="135">
        <f t="shared" si="2"/>
        <v>33063</v>
      </c>
      <c r="AS33" s="135">
        <f t="shared" si="2"/>
        <v>18598</v>
      </c>
      <c r="AT33" s="135">
        <f t="shared" si="2"/>
        <v>11903</v>
      </c>
      <c r="AU33" s="135">
        <f t="shared" si="2"/>
        <v>8266</v>
      </c>
      <c r="AV33" s="135">
        <f t="shared" si="2"/>
        <v>6073</v>
      </c>
      <c r="AW33" s="135">
        <f t="shared" si="2"/>
        <v>4649</v>
      </c>
      <c r="AX33" s="135">
        <f t="shared" si="2"/>
        <v>3674</v>
      </c>
      <c r="AY33" s="135">
        <f t="shared" si="2"/>
        <v>2976</v>
      </c>
      <c r="AZ33" s="135">
        <f t="shared" si="2"/>
        <v>2066</v>
      </c>
      <c r="BA33" s="135">
        <f t="shared" si="2"/>
        <v>1518</v>
      </c>
      <c r="BB33" s="70"/>
    </row>
    <row r="34" spans="1:54" ht="12.75">
      <c r="A34" s="88" t="s">
        <v>30</v>
      </c>
      <c r="B34" s="12"/>
      <c r="C34" s="12"/>
      <c r="D34" s="12"/>
      <c r="E34" s="12"/>
      <c r="F34" s="12"/>
      <c r="G34" s="12"/>
      <c r="H34" s="12"/>
      <c r="I34" s="12"/>
      <c r="J34" s="73"/>
      <c r="L34" s="254">
        <v>1.5</v>
      </c>
      <c r="M34" s="53">
        <v>62.25</v>
      </c>
      <c r="O34" s="70"/>
      <c r="AB34" s="120">
        <v>62.25</v>
      </c>
      <c r="AC34" s="122" t="s">
        <v>54</v>
      </c>
      <c r="AD34" s="135">
        <v>21333</v>
      </c>
      <c r="AE34" s="135">
        <v>12000</v>
      </c>
      <c r="AF34" s="135">
        <v>7680</v>
      </c>
      <c r="AG34" s="135">
        <v>5333</v>
      </c>
      <c r="AH34" s="135">
        <v>3919</v>
      </c>
      <c r="AI34" s="135">
        <v>3000</v>
      </c>
      <c r="AJ34" s="135">
        <v>2371</v>
      </c>
      <c r="AK34" s="135">
        <v>1920</v>
      </c>
      <c r="AL34" s="135">
        <v>1333</v>
      </c>
      <c r="AM34" s="135">
        <v>980</v>
      </c>
      <c r="AN34" s="125">
        <v>4.5</v>
      </c>
      <c r="AP34" s="120">
        <v>62.25</v>
      </c>
      <c r="AQ34" s="122" t="s">
        <v>54</v>
      </c>
      <c r="AR34" s="135">
        <f t="shared" si="2"/>
        <v>36000</v>
      </c>
      <c r="AS34" s="135">
        <f t="shared" si="2"/>
        <v>20250</v>
      </c>
      <c r="AT34" s="135">
        <f t="shared" si="2"/>
        <v>12960</v>
      </c>
      <c r="AU34" s="135">
        <f t="shared" si="2"/>
        <v>9000</v>
      </c>
      <c r="AV34" s="135">
        <f t="shared" si="2"/>
        <v>6612</v>
      </c>
      <c r="AW34" s="135">
        <f t="shared" si="2"/>
        <v>5063</v>
      </c>
      <c r="AX34" s="135">
        <f t="shared" si="2"/>
        <v>4000</v>
      </c>
      <c r="AY34" s="135">
        <f t="shared" si="2"/>
        <v>3240</v>
      </c>
      <c r="AZ34" s="135">
        <f t="shared" si="2"/>
        <v>2250</v>
      </c>
      <c r="BA34" s="135">
        <f t="shared" si="2"/>
        <v>1653</v>
      </c>
      <c r="BB34" s="70"/>
    </row>
    <row r="35" spans="1:54" ht="12.75">
      <c r="A35" s="10"/>
      <c r="B35" s="13" t="s">
        <v>93</v>
      </c>
      <c r="C35" s="172">
        <f>$C$9/$C$10</f>
        <v>0.11428571428571428</v>
      </c>
      <c r="D35" s="12"/>
      <c r="E35" s="176" t="s">
        <v>94</v>
      </c>
      <c r="F35" s="83"/>
      <c r="G35" s="83"/>
      <c r="H35" s="83"/>
      <c r="I35" s="83"/>
      <c r="J35" s="73"/>
      <c r="L35" s="254">
        <v>1.5625</v>
      </c>
      <c r="M35" s="53">
        <v>64.8</v>
      </c>
      <c r="O35" s="70"/>
      <c r="AB35" s="120">
        <v>64.8</v>
      </c>
      <c r="AC35" s="123" t="s">
        <v>55</v>
      </c>
      <c r="AD35" s="135">
        <v>23149</v>
      </c>
      <c r="AE35" s="135">
        <v>13021</v>
      </c>
      <c r="AF35" s="135">
        <v>8333</v>
      </c>
      <c r="AG35" s="135">
        <v>5787</v>
      </c>
      <c r="AH35" s="135">
        <v>4252</v>
      </c>
      <c r="AI35" s="135">
        <v>3255</v>
      </c>
      <c r="AJ35" s="135">
        <v>2572</v>
      </c>
      <c r="AK35" s="135">
        <v>2084</v>
      </c>
      <c r="AL35" s="135">
        <v>1447</v>
      </c>
      <c r="AM35" s="135">
        <v>1063</v>
      </c>
      <c r="AN35" s="125">
        <v>4.883</v>
      </c>
      <c r="AP35" s="120">
        <v>64.8</v>
      </c>
      <c r="AQ35" s="123" t="s">
        <v>55</v>
      </c>
      <c r="AR35" s="135">
        <f t="shared" si="2"/>
        <v>39063</v>
      </c>
      <c r="AS35" s="135">
        <f t="shared" si="2"/>
        <v>21973</v>
      </c>
      <c r="AT35" s="135">
        <f t="shared" si="2"/>
        <v>14063</v>
      </c>
      <c r="AU35" s="135">
        <f t="shared" si="2"/>
        <v>9766</v>
      </c>
      <c r="AV35" s="135">
        <f t="shared" si="2"/>
        <v>7175</v>
      </c>
      <c r="AW35" s="135">
        <f t="shared" si="2"/>
        <v>5493</v>
      </c>
      <c r="AX35" s="135">
        <f t="shared" si="2"/>
        <v>4340</v>
      </c>
      <c r="AY35" s="135">
        <f t="shared" si="2"/>
        <v>3516</v>
      </c>
      <c r="AZ35" s="135">
        <f t="shared" si="2"/>
        <v>2441</v>
      </c>
      <c r="BA35" s="135">
        <f t="shared" si="2"/>
        <v>1794</v>
      </c>
      <c r="BB35" s="70"/>
    </row>
    <row r="36" spans="1:54" ht="12.75">
      <c r="A36" s="10"/>
      <c r="B36" s="13" t="s">
        <v>22</v>
      </c>
      <c r="C36" s="124">
        <f>29000000</f>
        <v>29000000</v>
      </c>
      <c r="D36" s="57" t="s">
        <v>17</v>
      </c>
      <c r="E36" s="83" t="s">
        <v>23</v>
      </c>
      <c r="F36" s="83"/>
      <c r="G36" s="83"/>
      <c r="H36" s="83"/>
      <c r="I36" s="83"/>
      <c r="J36" s="73"/>
      <c r="L36" s="254">
        <v>1.625</v>
      </c>
      <c r="M36" s="53">
        <v>67.35</v>
      </c>
      <c r="O36" s="80"/>
      <c r="AB36" s="120">
        <v>67.35</v>
      </c>
      <c r="AC36" s="123" t="s">
        <v>56</v>
      </c>
      <c r="AD36" s="135">
        <v>25036</v>
      </c>
      <c r="AE36" s="135">
        <v>14082</v>
      </c>
      <c r="AF36" s="135">
        <v>9013</v>
      </c>
      <c r="AG36" s="135">
        <v>6260</v>
      </c>
      <c r="AH36" s="135">
        <v>4599</v>
      </c>
      <c r="AI36" s="135">
        <v>3521</v>
      </c>
      <c r="AJ36" s="135">
        <v>2782</v>
      </c>
      <c r="AK36" s="135">
        <v>2253</v>
      </c>
      <c r="AL36" s="135">
        <v>1565</v>
      </c>
      <c r="AM36" s="135">
        <v>1150</v>
      </c>
      <c r="AN36" s="125">
        <v>5.281</v>
      </c>
      <c r="AP36" s="120">
        <v>67.35</v>
      </c>
      <c r="AQ36" s="123" t="s">
        <v>56</v>
      </c>
      <c r="AR36" s="135">
        <f t="shared" si="2"/>
        <v>42250</v>
      </c>
      <c r="AS36" s="135">
        <f t="shared" si="2"/>
        <v>23766</v>
      </c>
      <c r="AT36" s="135">
        <f t="shared" si="2"/>
        <v>15210</v>
      </c>
      <c r="AU36" s="135">
        <f t="shared" si="2"/>
        <v>10563</v>
      </c>
      <c r="AV36" s="135">
        <f t="shared" si="2"/>
        <v>7760</v>
      </c>
      <c r="AW36" s="135">
        <f t="shared" si="2"/>
        <v>5941</v>
      </c>
      <c r="AX36" s="135">
        <f t="shared" si="2"/>
        <v>4694</v>
      </c>
      <c r="AY36" s="135">
        <f t="shared" si="2"/>
        <v>3803</v>
      </c>
      <c r="AZ36" s="135">
        <f t="shared" si="2"/>
        <v>2641</v>
      </c>
      <c r="BA36" s="135">
        <f t="shared" si="2"/>
        <v>1940</v>
      </c>
      <c r="BB36" s="70"/>
    </row>
    <row r="37" spans="1:54" ht="12.75">
      <c r="A37" s="30"/>
      <c r="B37" s="77" t="s">
        <v>27</v>
      </c>
      <c r="C37" s="138">
        <f>IF($C$13="Pinned",0.1422*($C$30/144)*($C$9*12)^4/($C$36*$C$11^3*(1+2.21*($C$9/$C$10)^3)),0.0284*($C$30/144)*($C$9*12)^4/($C$36*$C$11^3*(1+1.056*($C$9/$C$10)^5)))*IF($C$35&lt;=1/8,1.1,1)</f>
        <v>0.43725923719708243</v>
      </c>
      <c r="D37" s="52" t="s">
        <v>9</v>
      </c>
      <c r="E37" s="85" t="s">
        <v>27</v>
      </c>
      <c r="F37" s="175" t="str">
        <f>IF($C$13="Pinned",IF($C$35&lt;=1/8,"1.10*","")&amp;"0.1422*(w(total)/144)*(S*12)^4/(E*t^3*(1+2.21*(S/L)^3))",IF($C$35&lt;=1/8,"1.10*","")&amp;"0.0284*(w(total)/144)*(S*12)^4/(E*t^3*(1+1.056*(S/L)^5))")</f>
        <v>1.10*0.1422*(w(total)/144)*(S*12)^4/(E*t^3*(1+2.21*(S/L)^3))</v>
      </c>
      <c r="G37" s="26"/>
      <c r="H37" s="26"/>
      <c r="I37" s="26"/>
      <c r="J37" s="73"/>
      <c r="L37" s="254">
        <v>1.6875</v>
      </c>
      <c r="M37" s="53">
        <v>69.9</v>
      </c>
      <c r="O37" s="80"/>
      <c r="AB37" s="120">
        <v>69.9</v>
      </c>
      <c r="AC37" s="123" t="s">
        <v>57</v>
      </c>
      <c r="AD37" s="135">
        <v>26998</v>
      </c>
      <c r="AE37" s="135">
        <v>15186</v>
      </c>
      <c r="AF37" s="135">
        <v>9719</v>
      </c>
      <c r="AG37" s="135">
        <v>6750</v>
      </c>
      <c r="AH37" s="135">
        <v>4959</v>
      </c>
      <c r="AI37" s="135">
        <v>3797</v>
      </c>
      <c r="AJ37" s="135">
        <v>3000</v>
      </c>
      <c r="AK37" s="135">
        <v>2430</v>
      </c>
      <c r="AL37" s="135">
        <v>1687</v>
      </c>
      <c r="AM37" s="135">
        <v>1240</v>
      </c>
      <c r="AN37" s="125">
        <v>5.695</v>
      </c>
      <c r="AP37" s="120">
        <v>69.9</v>
      </c>
      <c r="AQ37" s="123" t="s">
        <v>57</v>
      </c>
      <c r="AR37" s="135">
        <f t="shared" si="2"/>
        <v>45563</v>
      </c>
      <c r="AS37" s="135">
        <f t="shared" si="2"/>
        <v>25629</v>
      </c>
      <c r="AT37" s="135">
        <f t="shared" si="2"/>
        <v>16403</v>
      </c>
      <c r="AU37" s="135">
        <f t="shared" si="2"/>
        <v>11391</v>
      </c>
      <c r="AV37" s="135">
        <f t="shared" si="2"/>
        <v>8369</v>
      </c>
      <c r="AW37" s="135">
        <f t="shared" si="2"/>
        <v>6407</v>
      </c>
      <c r="AX37" s="135">
        <f t="shared" si="2"/>
        <v>5063</v>
      </c>
      <c r="AY37" s="135">
        <f t="shared" si="2"/>
        <v>4101</v>
      </c>
      <c r="AZ37" s="135">
        <f t="shared" si="2"/>
        <v>2848</v>
      </c>
      <c r="BA37" s="135">
        <f t="shared" si="2"/>
        <v>2092</v>
      </c>
      <c r="BB37" s="70"/>
    </row>
    <row r="38" spans="1:54" ht="12.75" customHeight="1">
      <c r="A38" s="10"/>
      <c r="B38" s="77" t="s">
        <v>85</v>
      </c>
      <c r="C38" s="124" t="str">
        <f>"S/"&amp;ROUND($C$9*12/$C$37,0)</f>
        <v>S/110</v>
      </c>
      <c r="D38" s="12"/>
      <c r="E38" s="85" t="s">
        <v>142</v>
      </c>
      <c r="F38" s="83"/>
      <c r="G38" s="83"/>
      <c r="H38" s="83"/>
      <c r="I38" s="83"/>
      <c r="J38" s="73"/>
      <c r="L38" s="254">
        <v>1.75</v>
      </c>
      <c r="M38" s="53">
        <v>72.45</v>
      </c>
      <c r="O38" s="80"/>
      <c r="AB38" s="120">
        <v>72.45</v>
      </c>
      <c r="AC38" s="123" t="s">
        <v>58</v>
      </c>
      <c r="AD38" s="135">
        <v>29037</v>
      </c>
      <c r="AE38" s="135">
        <v>16333</v>
      </c>
      <c r="AF38" s="135">
        <v>10453</v>
      </c>
      <c r="AG38" s="135">
        <v>7259</v>
      </c>
      <c r="AH38" s="135">
        <v>5334</v>
      </c>
      <c r="AI38" s="135">
        <v>4084</v>
      </c>
      <c r="AJ38" s="135">
        <v>3227</v>
      </c>
      <c r="AK38" s="135">
        <v>2614</v>
      </c>
      <c r="AL38" s="135">
        <v>1815</v>
      </c>
      <c r="AM38" s="135">
        <v>1333</v>
      </c>
      <c r="AN38" s="125">
        <v>6.125</v>
      </c>
      <c r="AP38" s="120">
        <v>72.45</v>
      </c>
      <c r="AQ38" s="123" t="s">
        <v>58</v>
      </c>
      <c r="AR38" s="135">
        <f t="shared" si="2"/>
        <v>49000</v>
      </c>
      <c r="AS38" s="135">
        <f t="shared" si="2"/>
        <v>27563</v>
      </c>
      <c r="AT38" s="135">
        <f t="shared" si="2"/>
        <v>17640</v>
      </c>
      <c r="AU38" s="135">
        <f t="shared" si="2"/>
        <v>12250</v>
      </c>
      <c r="AV38" s="135">
        <f t="shared" si="2"/>
        <v>9000</v>
      </c>
      <c r="AW38" s="135">
        <f t="shared" si="2"/>
        <v>6891</v>
      </c>
      <c r="AX38" s="135">
        <f t="shared" si="2"/>
        <v>5444</v>
      </c>
      <c r="AY38" s="135">
        <f t="shared" si="2"/>
        <v>4410</v>
      </c>
      <c r="AZ38" s="135">
        <f t="shared" si="2"/>
        <v>3063</v>
      </c>
      <c r="BA38" s="135">
        <f t="shared" si="2"/>
        <v>2250</v>
      </c>
      <c r="BB38" s="70"/>
    </row>
    <row r="39" spans="1:54" ht="12.75">
      <c r="A39" s="30"/>
      <c r="B39" s="75" t="s">
        <v>86</v>
      </c>
      <c r="C39" s="140" t="str">
        <f>$C$16</f>
        <v>S/100</v>
      </c>
      <c r="D39" s="26"/>
      <c r="E39" s="141" t="s">
        <v>86</v>
      </c>
      <c r="F39" s="12"/>
      <c r="G39" s="12" t="str">
        <f>"S/"&amp;RIGHT($C$16,3)&amp;" (user defined and selected)"</f>
        <v>S/100 (user defined and selected)</v>
      </c>
      <c r="H39" s="173"/>
      <c r="I39" s="26"/>
      <c r="J39" s="73"/>
      <c r="L39" s="254">
        <v>1.8125</v>
      </c>
      <c r="M39" s="53">
        <v>75</v>
      </c>
      <c r="O39" s="17"/>
      <c r="AB39" s="120">
        <v>75</v>
      </c>
      <c r="AC39" s="123" t="s">
        <v>59</v>
      </c>
      <c r="AD39" s="135">
        <v>31146</v>
      </c>
      <c r="AE39" s="135">
        <v>17520</v>
      </c>
      <c r="AF39" s="135">
        <v>11212</v>
      </c>
      <c r="AG39" s="135">
        <v>7787</v>
      </c>
      <c r="AH39" s="135">
        <v>5721</v>
      </c>
      <c r="AI39" s="135">
        <v>4380</v>
      </c>
      <c r="AJ39" s="135">
        <v>3461</v>
      </c>
      <c r="AK39" s="135">
        <v>2803</v>
      </c>
      <c r="AL39" s="135">
        <v>1947</v>
      </c>
      <c r="AM39" s="135">
        <v>1430</v>
      </c>
      <c r="AN39" s="125">
        <v>6.57</v>
      </c>
      <c r="AP39" s="120">
        <v>75</v>
      </c>
      <c r="AQ39" s="123" t="s">
        <v>59</v>
      </c>
      <c r="AR39" s="135">
        <f t="shared" si="2"/>
        <v>52563</v>
      </c>
      <c r="AS39" s="135">
        <f t="shared" si="2"/>
        <v>29566</v>
      </c>
      <c r="AT39" s="135">
        <f t="shared" si="2"/>
        <v>18923</v>
      </c>
      <c r="AU39" s="135">
        <f t="shared" si="2"/>
        <v>13141</v>
      </c>
      <c r="AV39" s="135">
        <f t="shared" si="2"/>
        <v>9654</v>
      </c>
      <c r="AW39" s="135">
        <f t="shared" si="2"/>
        <v>7392</v>
      </c>
      <c r="AX39" s="135">
        <f t="shared" si="2"/>
        <v>5840</v>
      </c>
      <c r="AY39" s="135">
        <f t="shared" si="2"/>
        <v>4731</v>
      </c>
      <c r="AZ39" s="135">
        <f t="shared" si="2"/>
        <v>3285</v>
      </c>
      <c r="BA39" s="135">
        <f t="shared" si="2"/>
        <v>2414</v>
      </c>
      <c r="BB39" s="70"/>
    </row>
    <row r="40" spans="1:54" ht="12.75">
      <c r="A40" s="30"/>
      <c r="B40" s="27"/>
      <c r="C40" s="27"/>
      <c r="D40" s="26"/>
      <c r="E40" s="177" t="str">
        <f>IF($C$35&lt;=1/8,"Note: if S/L&lt;=1/8, deflect. was increased by 10% to simulate one-way span.","")</f>
        <v>Note: if S/L&lt;=1/8, deflect. was increased by 10% to simulate one-way span.</v>
      </c>
      <c r="F40" s="31"/>
      <c r="G40" s="26"/>
      <c r="H40" s="12"/>
      <c r="I40" s="12"/>
      <c r="J40" s="73"/>
      <c r="L40" s="254">
        <v>1.875</v>
      </c>
      <c r="M40" s="53">
        <v>77.55</v>
      </c>
      <c r="O40" s="20"/>
      <c r="R40" s="60"/>
      <c r="S40" s="55"/>
      <c r="T40" s="17"/>
      <c r="U40" s="55"/>
      <c r="V40" s="55"/>
      <c r="W40" s="74"/>
      <c r="AB40" s="120">
        <v>77.55</v>
      </c>
      <c r="AC40" s="123" t="s">
        <v>60</v>
      </c>
      <c r="AD40" s="135">
        <v>33332</v>
      </c>
      <c r="AE40" s="135">
        <v>18749</v>
      </c>
      <c r="AF40" s="135">
        <v>11999</v>
      </c>
      <c r="AG40" s="135">
        <v>8333</v>
      </c>
      <c r="AH40" s="135">
        <v>6123</v>
      </c>
      <c r="AI40" s="135">
        <v>4688</v>
      </c>
      <c r="AJ40" s="135">
        <v>3704</v>
      </c>
      <c r="AK40" s="135">
        <v>3000</v>
      </c>
      <c r="AL40" s="135">
        <v>2083</v>
      </c>
      <c r="AM40" s="135">
        <v>1531</v>
      </c>
      <c r="AN40" s="125">
        <v>7.031</v>
      </c>
      <c r="AP40" s="120">
        <v>77.55</v>
      </c>
      <c r="AQ40" s="123" t="s">
        <v>60</v>
      </c>
      <c r="AR40" s="135">
        <f t="shared" si="2"/>
        <v>56250</v>
      </c>
      <c r="AS40" s="135">
        <f t="shared" si="2"/>
        <v>31641</v>
      </c>
      <c r="AT40" s="135">
        <f t="shared" si="2"/>
        <v>20250</v>
      </c>
      <c r="AU40" s="135">
        <f t="shared" si="2"/>
        <v>14063</v>
      </c>
      <c r="AV40" s="135">
        <f t="shared" si="2"/>
        <v>10332</v>
      </c>
      <c r="AW40" s="135">
        <f t="shared" si="2"/>
        <v>7910</v>
      </c>
      <c r="AX40" s="135">
        <f t="shared" si="2"/>
        <v>6250</v>
      </c>
      <c r="AY40" s="135">
        <f t="shared" si="2"/>
        <v>5063</v>
      </c>
      <c r="AZ40" s="135">
        <f t="shared" si="2"/>
        <v>3516</v>
      </c>
      <c r="BA40" s="135">
        <f t="shared" si="2"/>
        <v>2583</v>
      </c>
      <c r="BB40" s="70"/>
    </row>
    <row r="41" spans="1:54" ht="12.75">
      <c r="A41" s="10"/>
      <c r="B41" s="12"/>
      <c r="C41" s="12"/>
      <c r="D41" s="12"/>
      <c r="E41" s="12"/>
      <c r="F41" s="12"/>
      <c r="G41" s="12"/>
      <c r="H41" s="89" t="str">
        <f>IF($C$9*12/$C$37&gt;=1/VLOOKUP($C$16,$L$50:$M$54,2),$C$38&amp;" &lt;= S/"&amp;RIGHT($C$16,3)&amp;",  O.K.",$C$38&amp;" &gt; S/"&amp;RIGHT($C$16,3))</f>
        <v>S/110 &lt;= S/100,  O.K.</v>
      </c>
      <c r="I41" s="26"/>
      <c r="J41" s="73"/>
      <c r="L41" s="254">
        <v>1.9375</v>
      </c>
      <c r="M41" s="53">
        <v>80.1</v>
      </c>
      <c r="R41" s="74"/>
      <c r="S41" s="74"/>
      <c r="T41" s="74"/>
      <c r="U41" s="74"/>
      <c r="V41" s="74"/>
      <c r="W41" s="74"/>
      <c r="AB41" s="120">
        <v>80.1</v>
      </c>
      <c r="AC41" s="123" t="s">
        <v>61</v>
      </c>
      <c r="AD41" s="135">
        <v>35593</v>
      </c>
      <c r="AE41" s="135">
        <v>20021</v>
      </c>
      <c r="AF41" s="135">
        <v>12813</v>
      </c>
      <c r="AG41" s="135">
        <v>8898</v>
      </c>
      <c r="AH41" s="135">
        <v>6538</v>
      </c>
      <c r="AI41" s="135">
        <v>5006</v>
      </c>
      <c r="AJ41" s="135">
        <v>3955</v>
      </c>
      <c r="AK41" s="135">
        <v>3204</v>
      </c>
      <c r="AL41" s="135">
        <v>2225</v>
      </c>
      <c r="AM41" s="135">
        <v>1634</v>
      </c>
      <c r="AN41" s="125">
        <v>7.508</v>
      </c>
      <c r="AP41" s="120">
        <v>80.1</v>
      </c>
      <c r="AQ41" s="123" t="s">
        <v>61</v>
      </c>
      <c r="AR41" s="135">
        <f t="shared" si="2"/>
        <v>60063</v>
      </c>
      <c r="AS41" s="135">
        <f t="shared" si="2"/>
        <v>33785</v>
      </c>
      <c r="AT41" s="135">
        <f t="shared" si="2"/>
        <v>21623</v>
      </c>
      <c r="AU41" s="135">
        <f t="shared" si="2"/>
        <v>15016</v>
      </c>
      <c r="AV41" s="135">
        <f t="shared" si="2"/>
        <v>11032</v>
      </c>
      <c r="AW41" s="135">
        <f t="shared" si="2"/>
        <v>8446</v>
      </c>
      <c r="AX41" s="135">
        <f t="shared" si="2"/>
        <v>6674</v>
      </c>
      <c r="AY41" s="135">
        <f t="shared" si="2"/>
        <v>5406</v>
      </c>
      <c r="AZ41" s="135">
        <f t="shared" si="2"/>
        <v>3754</v>
      </c>
      <c r="BA41" s="135">
        <f t="shared" si="2"/>
        <v>2758</v>
      </c>
      <c r="BB41" s="70"/>
    </row>
    <row r="42" spans="1:54" ht="12.75">
      <c r="A42" s="10"/>
      <c r="B42" s="235"/>
      <c r="C42" s="12"/>
      <c r="D42" s="139"/>
      <c r="E42" s="12"/>
      <c r="F42" s="12"/>
      <c r="G42" s="12"/>
      <c r="H42" s="12"/>
      <c r="I42" s="12"/>
      <c r="J42" s="73"/>
      <c r="L42" s="254">
        <v>2</v>
      </c>
      <c r="M42" s="53">
        <v>82.65</v>
      </c>
      <c r="R42" s="81"/>
      <c r="T42" s="74"/>
      <c r="U42" s="74"/>
      <c r="V42" s="74"/>
      <c r="W42" s="74"/>
      <c r="AB42" s="126">
        <v>82.65</v>
      </c>
      <c r="AC42" s="127" t="s">
        <v>40</v>
      </c>
      <c r="AD42" s="136">
        <v>37926</v>
      </c>
      <c r="AE42" s="136">
        <v>21333</v>
      </c>
      <c r="AF42" s="136">
        <v>13653</v>
      </c>
      <c r="AG42" s="136">
        <v>9482</v>
      </c>
      <c r="AH42" s="136">
        <v>6966</v>
      </c>
      <c r="AI42" s="136">
        <v>5334</v>
      </c>
      <c r="AJ42" s="136">
        <v>4214</v>
      </c>
      <c r="AK42" s="136">
        <v>3414</v>
      </c>
      <c r="AL42" s="136">
        <v>2370</v>
      </c>
      <c r="AM42" s="136">
        <v>1742</v>
      </c>
      <c r="AN42" s="149">
        <v>8</v>
      </c>
      <c r="AP42" s="243">
        <v>82.65</v>
      </c>
      <c r="AQ42" s="244" t="s">
        <v>40</v>
      </c>
      <c r="AR42" s="136">
        <f t="shared" si="2"/>
        <v>64000</v>
      </c>
      <c r="AS42" s="136">
        <f t="shared" si="2"/>
        <v>36000</v>
      </c>
      <c r="AT42" s="136">
        <f t="shared" si="2"/>
        <v>23040</v>
      </c>
      <c r="AU42" s="136">
        <f t="shared" si="2"/>
        <v>16000</v>
      </c>
      <c r="AV42" s="136">
        <f t="shared" si="2"/>
        <v>11755</v>
      </c>
      <c r="AW42" s="136">
        <f t="shared" si="2"/>
        <v>9000</v>
      </c>
      <c r="AX42" s="136">
        <f t="shared" si="2"/>
        <v>7111</v>
      </c>
      <c r="AY42" s="136">
        <f t="shared" si="2"/>
        <v>5760</v>
      </c>
      <c r="AZ42" s="136">
        <f t="shared" si="2"/>
        <v>4000</v>
      </c>
      <c r="BA42" s="136">
        <f t="shared" si="2"/>
        <v>2939</v>
      </c>
      <c r="BB42" s="70"/>
    </row>
    <row r="43" spans="1:40" ht="12.75">
      <c r="A43" s="48" t="s">
        <v>18</v>
      </c>
      <c r="B43" s="27" t="s">
        <v>143</v>
      </c>
      <c r="C43" s="27"/>
      <c r="D43" s="26"/>
      <c r="E43" s="31"/>
      <c r="F43" s="31"/>
      <c r="G43" s="26"/>
      <c r="H43" s="26"/>
      <c r="I43" s="26"/>
      <c r="J43" s="73"/>
      <c r="K43" s="82"/>
      <c r="R43" s="79"/>
      <c r="S43" s="17"/>
      <c r="T43" s="74"/>
      <c r="U43" s="74"/>
      <c r="V43" s="74"/>
      <c r="W43" s="74"/>
      <c r="AB43" s="102" t="s">
        <v>82</v>
      </c>
      <c r="AC43" s="103"/>
      <c r="AD43" s="130"/>
      <c r="AE43" s="90"/>
      <c r="AF43" s="90"/>
      <c r="AG43" s="90"/>
      <c r="AH43" s="90"/>
      <c r="AI43" s="90"/>
      <c r="AJ43" s="90"/>
      <c r="AK43" s="90"/>
      <c r="AL43" s="90"/>
      <c r="AM43" s="90"/>
      <c r="AN43" s="130"/>
    </row>
    <row r="44" spans="1:40" ht="12.75">
      <c r="A44" s="30"/>
      <c r="B44" s="27" t="s">
        <v>122</v>
      </c>
      <c r="C44" s="27"/>
      <c r="D44" s="26"/>
      <c r="E44" s="31"/>
      <c r="F44" s="31"/>
      <c r="G44" s="26"/>
      <c r="H44" s="26"/>
      <c r="I44" s="26"/>
      <c r="J44" s="73"/>
      <c r="L44" s="53">
        <v>21.33</v>
      </c>
      <c r="R44" s="79"/>
      <c r="S44" s="17"/>
      <c r="T44" s="74"/>
      <c r="U44" s="74"/>
      <c r="V44" s="74"/>
      <c r="W44" s="74"/>
      <c r="AB44" s="128" t="s">
        <v>83</v>
      </c>
      <c r="AC44" s="129"/>
      <c r="AD44" s="133">
        <v>0.037</v>
      </c>
      <c r="AE44" s="134">
        <v>0.066</v>
      </c>
      <c r="AF44" s="134">
        <v>0.104</v>
      </c>
      <c r="AG44" s="134">
        <v>0.149</v>
      </c>
      <c r="AH44" s="134">
        <v>0.203</v>
      </c>
      <c r="AI44" s="134">
        <v>0.265</v>
      </c>
      <c r="AJ44" s="134">
        <v>0.355</v>
      </c>
      <c r="AK44" s="134">
        <v>0.414</v>
      </c>
      <c r="AL44" s="134">
        <v>0.596</v>
      </c>
      <c r="AM44" s="134">
        <v>0.81</v>
      </c>
      <c r="AN44" s="237" t="s">
        <v>87</v>
      </c>
    </row>
    <row r="45" spans="1:53" ht="12.75">
      <c r="A45" s="30"/>
      <c r="B45" s="27" t="s">
        <v>127</v>
      </c>
      <c r="C45" s="27"/>
      <c r="D45" s="26"/>
      <c r="E45" s="31"/>
      <c r="F45" s="31"/>
      <c r="G45" s="26"/>
      <c r="H45" s="26"/>
      <c r="I45" s="26"/>
      <c r="J45" s="73"/>
      <c r="K45" s="83"/>
      <c r="L45" s="53">
        <v>33</v>
      </c>
      <c r="R45" s="79"/>
      <c r="S45" s="17"/>
      <c r="T45" s="74"/>
      <c r="U45" s="74"/>
      <c r="V45" s="74"/>
      <c r="W45" s="74"/>
      <c r="AB45" s="104" t="s">
        <v>84</v>
      </c>
      <c r="AC45" s="105"/>
      <c r="AD45" s="131"/>
      <c r="AE45" s="132"/>
      <c r="AF45" s="132"/>
      <c r="AG45" s="132"/>
      <c r="AH45" s="132"/>
      <c r="AI45" s="132"/>
      <c r="AJ45" s="132"/>
      <c r="AK45" s="132"/>
      <c r="AL45" s="132"/>
      <c r="AM45" s="132"/>
      <c r="AN45" s="131"/>
      <c r="AP45" s="91" t="s">
        <v>147</v>
      </c>
      <c r="AQ45" s="92"/>
      <c r="AR45" s="3"/>
      <c r="AS45" s="3"/>
      <c r="AT45" s="3"/>
      <c r="AU45" s="3"/>
      <c r="AV45" s="3"/>
      <c r="AW45" s="3"/>
      <c r="AX45" s="3"/>
      <c r="AY45" s="3"/>
      <c r="AZ45" s="3"/>
      <c r="BA45" s="93"/>
    </row>
    <row r="46" spans="1:53" ht="12.75">
      <c r="A46" s="32"/>
      <c r="B46" s="139" t="s">
        <v>128</v>
      </c>
      <c r="C46" s="224"/>
      <c r="D46" s="31"/>
      <c r="E46" s="31"/>
      <c r="F46" s="31"/>
      <c r="G46" s="24"/>
      <c r="H46" s="24"/>
      <c r="I46" s="24"/>
      <c r="J46" s="155"/>
      <c r="K46" s="83"/>
      <c r="L46" s="53">
        <v>36</v>
      </c>
      <c r="R46" s="79"/>
      <c r="S46" s="53"/>
      <c r="T46" s="74"/>
      <c r="U46" s="74"/>
      <c r="V46" s="74"/>
      <c r="W46" s="74"/>
      <c r="AB46" s="150"/>
      <c r="AC46" s="151"/>
      <c r="AD46" s="151"/>
      <c r="AE46" s="151"/>
      <c r="AF46" s="152"/>
      <c r="AG46" s="152"/>
      <c r="AH46" s="152"/>
      <c r="AI46" s="152"/>
      <c r="AJ46" s="153"/>
      <c r="AK46" s="153"/>
      <c r="AL46" s="153"/>
      <c r="AM46" s="153"/>
      <c r="AN46" s="154"/>
      <c r="AP46" s="94" t="str">
        <f>"Based on Allowable Deflection = 1/"&amp;1/VLOOKUP($C$16,$L$50:$M$54,2)&amp;"*Span (for One-Way Plate Bending with Pinned Supports)"</f>
        <v>Based on Allowable Deflection = 1/100*Span (for One-Way Plate Bending with Pinned Supports)</v>
      </c>
      <c r="AQ46" s="95"/>
      <c r="AR46" s="95"/>
      <c r="AS46" s="95"/>
      <c r="AT46" s="95"/>
      <c r="AU46" s="95"/>
      <c r="AV46" s="95"/>
      <c r="AW46" s="95"/>
      <c r="AX46" s="95"/>
      <c r="AY46" s="95"/>
      <c r="AZ46" s="95"/>
      <c r="BA46" s="96"/>
    </row>
    <row r="47" spans="1:53" ht="12.75">
      <c r="A47" s="32"/>
      <c r="B47" s="139" t="s">
        <v>129</v>
      </c>
      <c r="C47" s="31"/>
      <c r="D47" s="31"/>
      <c r="E47" s="31"/>
      <c r="F47" s="31"/>
      <c r="G47" s="24"/>
      <c r="H47" s="31"/>
      <c r="I47" s="24"/>
      <c r="J47" s="155"/>
      <c r="K47" s="83"/>
      <c r="L47" s="53">
        <v>42</v>
      </c>
      <c r="R47" s="79"/>
      <c r="S47" s="53"/>
      <c r="T47" s="74"/>
      <c r="U47" s="74"/>
      <c r="V47" s="74"/>
      <c r="W47" s="74"/>
      <c r="AB47" s="32" t="s">
        <v>121</v>
      </c>
      <c r="AC47" s="24"/>
      <c r="AD47" s="24"/>
      <c r="AE47" s="24"/>
      <c r="AF47" s="31"/>
      <c r="AG47" s="31"/>
      <c r="AH47" s="31"/>
      <c r="AI47" s="31"/>
      <c r="AJ47" s="139"/>
      <c r="AK47" s="139"/>
      <c r="AL47" s="139"/>
      <c r="AM47" s="139"/>
      <c r="AN47" s="155"/>
      <c r="AP47" s="97"/>
      <c r="AQ47" s="98"/>
      <c r="AR47" s="98"/>
      <c r="AS47" s="99"/>
      <c r="AT47" s="100"/>
      <c r="AU47" s="100"/>
      <c r="AV47" s="100"/>
      <c r="AW47" s="100"/>
      <c r="AX47" s="98"/>
      <c r="AY47" s="98"/>
      <c r="AZ47" s="98"/>
      <c r="BA47" s="101"/>
    </row>
    <row r="48" spans="1:53" ht="12.75">
      <c r="A48" s="32"/>
      <c r="B48" s="24"/>
      <c r="C48" s="139"/>
      <c r="D48" s="31"/>
      <c r="E48" s="31"/>
      <c r="F48" s="31"/>
      <c r="G48" s="24"/>
      <c r="H48" s="31"/>
      <c r="I48" s="225"/>
      <c r="J48" s="155"/>
      <c r="K48" s="83"/>
      <c r="L48" s="53">
        <v>50</v>
      </c>
      <c r="R48" s="79"/>
      <c r="S48" s="71"/>
      <c r="T48" s="74"/>
      <c r="U48" s="74"/>
      <c r="V48" s="74"/>
      <c r="W48" s="74"/>
      <c r="AB48" s="32" t="s">
        <v>88</v>
      </c>
      <c r="AC48" s="24"/>
      <c r="AD48" s="24"/>
      <c r="AE48" s="24"/>
      <c r="AF48" s="31"/>
      <c r="AG48" s="31"/>
      <c r="AH48" s="31"/>
      <c r="AI48" s="31"/>
      <c r="AJ48" s="139"/>
      <c r="AK48" s="139"/>
      <c r="AL48" s="139"/>
      <c r="AM48" s="139"/>
      <c r="AN48" s="155"/>
      <c r="AP48" s="106" t="s">
        <v>77</v>
      </c>
      <c r="AQ48" s="106" t="s">
        <v>75</v>
      </c>
      <c r="AR48" s="245">
        <v>1.5</v>
      </c>
      <c r="AS48" s="246">
        <v>2</v>
      </c>
      <c r="AT48" s="246">
        <v>2.5</v>
      </c>
      <c r="AU48" s="246">
        <v>3</v>
      </c>
      <c r="AV48" s="246">
        <v>3.5</v>
      </c>
      <c r="AW48" s="246">
        <v>4</v>
      </c>
      <c r="AX48" s="246">
        <v>4.5</v>
      </c>
      <c r="AY48" s="246">
        <v>5</v>
      </c>
      <c r="AZ48" s="246">
        <v>6</v>
      </c>
      <c r="BA48" s="247">
        <v>7</v>
      </c>
    </row>
    <row r="49" spans="1:53" ht="12.75">
      <c r="A49" s="48" t="s">
        <v>130</v>
      </c>
      <c r="B49" s="168"/>
      <c r="C49" s="210"/>
      <c r="D49" s="208"/>
      <c r="E49" s="208"/>
      <c r="F49" s="208"/>
      <c r="G49" s="211"/>
      <c r="H49" s="208"/>
      <c r="I49" s="209"/>
      <c r="J49" s="170"/>
      <c r="AB49" s="32" t="s">
        <v>89</v>
      </c>
      <c r="AC49" s="24"/>
      <c r="AD49" s="24"/>
      <c r="AE49" s="24"/>
      <c r="AF49" s="31"/>
      <c r="AG49" s="31"/>
      <c r="AH49" s="31"/>
      <c r="AI49" s="31"/>
      <c r="AJ49" s="139"/>
      <c r="AK49" s="139"/>
      <c r="AL49" s="139"/>
      <c r="AM49" s="139"/>
      <c r="AN49" s="155"/>
      <c r="AP49" s="109" t="s">
        <v>74</v>
      </c>
      <c r="AQ49" s="109" t="s">
        <v>76</v>
      </c>
      <c r="AR49" s="97" t="s">
        <v>81</v>
      </c>
      <c r="AS49" s="100"/>
      <c r="AT49" s="100"/>
      <c r="AU49" s="100"/>
      <c r="AV49" s="100"/>
      <c r="AW49" s="100"/>
      <c r="AX49" s="98"/>
      <c r="AY49" s="98"/>
      <c r="AZ49" s="98"/>
      <c r="BA49" s="101"/>
    </row>
    <row r="50" spans="1:53" ht="12.75">
      <c r="A50" s="212"/>
      <c r="B50" s="210"/>
      <c r="C50" s="210"/>
      <c r="D50" s="210"/>
      <c r="E50" s="210"/>
      <c r="F50" s="210"/>
      <c r="G50" s="210"/>
      <c r="H50" s="210"/>
      <c r="I50" s="210"/>
      <c r="J50" s="170"/>
      <c r="L50" s="69" t="s">
        <v>133</v>
      </c>
      <c r="M50" s="234">
        <v>0.01</v>
      </c>
      <c r="AB50" s="32" t="s">
        <v>145</v>
      </c>
      <c r="AC50" s="24"/>
      <c r="AD50" s="24"/>
      <c r="AE50" s="24"/>
      <c r="AF50" s="24"/>
      <c r="AG50" s="24"/>
      <c r="AH50" s="24"/>
      <c r="AI50" s="24"/>
      <c r="AJ50" s="139"/>
      <c r="AK50" s="139"/>
      <c r="AL50" s="139"/>
      <c r="AM50" s="139"/>
      <c r="AN50" s="155"/>
      <c r="AP50" s="111" t="s">
        <v>73</v>
      </c>
      <c r="AQ50" s="112" t="s">
        <v>72</v>
      </c>
      <c r="AR50" s="113" t="s">
        <v>63</v>
      </c>
      <c r="AS50" s="113" t="s">
        <v>62</v>
      </c>
      <c r="AT50" s="114" t="s">
        <v>64</v>
      </c>
      <c r="AU50" s="114" t="s">
        <v>65</v>
      </c>
      <c r="AV50" s="115" t="s">
        <v>66</v>
      </c>
      <c r="AW50" s="113" t="s">
        <v>67</v>
      </c>
      <c r="AX50" s="116" t="s">
        <v>68</v>
      </c>
      <c r="AY50" s="117" t="s">
        <v>69</v>
      </c>
      <c r="AZ50" s="116" t="s">
        <v>70</v>
      </c>
      <c r="BA50" s="116" t="s">
        <v>71</v>
      </c>
    </row>
    <row r="51" spans="1:53" ht="12.75">
      <c r="A51" s="213"/>
      <c r="B51" s="204"/>
      <c r="C51" s="214"/>
      <c r="D51" s="214"/>
      <c r="E51" s="210"/>
      <c r="F51" s="210"/>
      <c r="G51" s="210"/>
      <c r="H51" s="215"/>
      <c r="I51" s="210"/>
      <c r="J51" s="170"/>
      <c r="L51" s="69" t="s">
        <v>134</v>
      </c>
      <c r="M51" s="234">
        <v>0.006097560975609756</v>
      </c>
      <c r="AB51" s="32" t="s">
        <v>119</v>
      </c>
      <c r="AC51" s="24"/>
      <c r="AD51" s="24"/>
      <c r="AE51" s="24"/>
      <c r="AF51" s="24"/>
      <c r="AG51" s="24"/>
      <c r="AH51" s="24"/>
      <c r="AI51" s="24"/>
      <c r="AJ51" s="139"/>
      <c r="AK51" s="139"/>
      <c r="AL51" s="139"/>
      <c r="AM51" s="139"/>
      <c r="AN51" s="155"/>
      <c r="AP51" s="119">
        <v>6.15</v>
      </c>
      <c r="AQ51" s="121" t="s">
        <v>31</v>
      </c>
      <c r="AR51" s="239">
        <f aca="true" t="shared" si="3" ref="AR51:BA51">ROUND(AR$48*144*(384*$C$36*(12*$L12^3/12)*VLOOKUP($C$16,$L$50:$M$54,2)/(5*(AR$48*12)^4)),0)</f>
        <v>90</v>
      </c>
      <c r="AS51" s="239">
        <f t="shared" si="3"/>
        <v>38</v>
      </c>
      <c r="AT51" s="239">
        <f t="shared" si="3"/>
        <v>19</v>
      </c>
      <c r="AU51" s="239">
        <f t="shared" si="3"/>
        <v>11</v>
      </c>
      <c r="AV51" s="240">
        <f t="shared" si="3"/>
        <v>7</v>
      </c>
      <c r="AW51" s="241">
        <f t="shared" si="3"/>
        <v>5</v>
      </c>
      <c r="AX51" s="241">
        <f t="shared" si="3"/>
        <v>3</v>
      </c>
      <c r="AY51" s="241">
        <f t="shared" si="3"/>
        <v>2</v>
      </c>
      <c r="AZ51" s="241">
        <f t="shared" si="3"/>
        <v>1</v>
      </c>
      <c r="BA51" s="240">
        <f t="shared" si="3"/>
        <v>1</v>
      </c>
    </row>
    <row r="52" spans="1:53" ht="12.75">
      <c r="A52" s="207"/>
      <c r="B52" s="210"/>
      <c r="C52" s="210"/>
      <c r="D52" s="210"/>
      <c r="E52" s="210"/>
      <c r="F52" s="210"/>
      <c r="G52" s="210"/>
      <c r="H52" s="210"/>
      <c r="I52" s="210"/>
      <c r="J52" s="170"/>
      <c r="L52" s="69" t="s">
        <v>135</v>
      </c>
      <c r="M52" s="234">
        <v>0.005555555555555556</v>
      </c>
      <c r="AB52" s="156" t="s">
        <v>120</v>
      </c>
      <c r="AC52" s="221"/>
      <c r="AD52" s="221"/>
      <c r="AE52" s="221"/>
      <c r="AF52" s="221"/>
      <c r="AG52" s="221"/>
      <c r="AH52" s="221"/>
      <c r="AI52" s="221"/>
      <c r="AJ52" s="222"/>
      <c r="AK52" s="222"/>
      <c r="AL52" s="222"/>
      <c r="AM52" s="222"/>
      <c r="AN52" s="223"/>
      <c r="AP52" s="120">
        <v>8.7</v>
      </c>
      <c r="AQ52" s="122" t="s">
        <v>32</v>
      </c>
      <c r="AR52" s="135">
        <f aca="true" t="shared" si="4" ref="AR52:BA52">ROUND(AR$48*144*(384*$C$36*(12*$L13^3/12)*VLOOKUP($C$16,$L$50:$M$54,2)/(5*(AR$48*12)^4)),0)</f>
        <v>302</v>
      </c>
      <c r="AS52" s="135">
        <f t="shared" si="4"/>
        <v>127</v>
      </c>
      <c r="AT52" s="135">
        <f t="shared" si="4"/>
        <v>65</v>
      </c>
      <c r="AU52" s="135">
        <f t="shared" si="4"/>
        <v>38</v>
      </c>
      <c r="AV52" s="135">
        <f t="shared" si="4"/>
        <v>24</v>
      </c>
      <c r="AW52" s="238">
        <f t="shared" si="4"/>
        <v>16</v>
      </c>
      <c r="AX52" s="242">
        <f t="shared" si="4"/>
        <v>11</v>
      </c>
      <c r="AY52" s="242">
        <f t="shared" si="4"/>
        <v>8</v>
      </c>
      <c r="AZ52" s="242">
        <f t="shared" si="4"/>
        <v>5</v>
      </c>
      <c r="BA52" s="249">
        <f t="shared" si="4"/>
        <v>3</v>
      </c>
    </row>
    <row r="53" spans="1:53" ht="12.75">
      <c r="A53" s="207"/>
      <c r="B53" s="205"/>
      <c r="C53" s="210"/>
      <c r="D53" s="210"/>
      <c r="E53" s="210"/>
      <c r="F53" s="210"/>
      <c r="G53" s="210"/>
      <c r="H53" s="216"/>
      <c r="I53" s="210"/>
      <c r="J53" s="170"/>
      <c r="L53" s="69" t="s">
        <v>136</v>
      </c>
      <c r="M53" s="234">
        <v>0.004166666666666667</v>
      </c>
      <c r="AP53" s="120">
        <v>11.25</v>
      </c>
      <c r="AQ53" s="122" t="s">
        <v>33</v>
      </c>
      <c r="AR53" s="135">
        <f aca="true" t="shared" si="5" ref="AR53:BA53">ROUND(AR$48*144*(384*$C$36*(12*$L14^3/12)*VLOOKUP($C$16,$L$50:$M$54,2)/(5*(AR$48*12)^4)),0)</f>
        <v>716</v>
      </c>
      <c r="AS53" s="135">
        <f t="shared" si="5"/>
        <v>302</v>
      </c>
      <c r="AT53" s="135">
        <f t="shared" si="5"/>
        <v>155</v>
      </c>
      <c r="AU53" s="135">
        <f t="shared" si="5"/>
        <v>90</v>
      </c>
      <c r="AV53" s="135">
        <f t="shared" si="5"/>
        <v>56</v>
      </c>
      <c r="AW53" s="238">
        <f t="shared" si="5"/>
        <v>38</v>
      </c>
      <c r="AX53" s="238">
        <f t="shared" si="5"/>
        <v>27</v>
      </c>
      <c r="AY53" s="238">
        <f t="shared" si="5"/>
        <v>19</v>
      </c>
      <c r="AZ53" s="242">
        <f t="shared" si="5"/>
        <v>11</v>
      </c>
      <c r="BA53" s="249">
        <f t="shared" si="5"/>
        <v>7</v>
      </c>
    </row>
    <row r="54" spans="1:53" ht="12.75">
      <c r="A54" s="217"/>
      <c r="B54" s="206"/>
      <c r="C54" s="218"/>
      <c r="D54" s="218"/>
      <c r="E54" s="218"/>
      <c r="F54" s="218"/>
      <c r="G54" s="218"/>
      <c r="H54" s="218"/>
      <c r="I54" s="219"/>
      <c r="J54" s="220"/>
      <c r="L54" s="69" t="s">
        <v>137</v>
      </c>
      <c r="M54" s="234">
        <v>0.002777777777777778</v>
      </c>
      <c r="AC54" s="179" t="s">
        <v>97</v>
      </c>
      <c r="AD54" s="28"/>
      <c r="AE54" s="28"/>
      <c r="AF54" s="28"/>
      <c r="AG54" s="28"/>
      <c r="AH54" s="28"/>
      <c r="AI54" s="28" t="s">
        <v>117</v>
      </c>
      <c r="AJ54" s="74"/>
      <c r="AK54" s="74"/>
      <c r="AL54" s="74"/>
      <c r="AM54" s="74"/>
      <c r="AN54" s="74"/>
      <c r="AP54" s="120">
        <v>13.8</v>
      </c>
      <c r="AQ54" s="122" t="s">
        <v>34</v>
      </c>
      <c r="AR54" s="135">
        <f aca="true" t="shared" si="6" ref="AR54:BA54">ROUND(AR$48*144*(384*$C$36*(12*$L15^3/12)*VLOOKUP($C$16,$L$50:$M$54,2)/(5*(AR$48*12)^4)),0)</f>
        <v>1399</v>
      </c>
      <c r="AS54" s="135">
        <f t="shared" si="6"/>
        <v>590</v>
      </c>
      <c r="AT54" s="135">
        <f t="shared" si="6"/>
        <v>302</v>
      </c>
      <c r="AU54" s="135">
        <f t="shared" si="6"/>
        <v>175</v>
      </c>
      <c r="AV54" s="135">
        <f t="shared" si="6"/>
        <v>110</v>
      </c>
      <c r="AW54" s="238">
        <f t="shared" si="6"/>
        <v>74</v>
      </c>
      <c r="AX54" s="238">
        <f t="shared" si="6"/>
        <v>52</v>
      </c>
      <c r="AY54" s="238">
        <f t="shared" si="6"/>
        <v>38</v>
      </c>
      <c r="AZ54" s="238">
        <f t="shared" si="6"/>
        <v>22</v>
      </c>
      <c r="BA54" s="249">
        <f t="shared" si="6"/>
        <v>14</v>
      </c>
    </row>
    <row r="55" spans="1:53" ht="12.75">
      <c r="A55" s="14"/>
      <c r="B55" s="14"/>
      <c r="C55" s="14"/>
      <c r="D55" s="14"/>
      <c r="E55" s="14"/>
      <c r="F55" s="14"/>
      <c r="G55" s="14"/>
      <c r="H55" s="14"/>
      <c r="I55" s="14"/>
      <c r="AC55" s="28"/>
      <c r="AD55" s="28"/>
      <c r="AE55" s="28"/>
      <c r="AF55" s="201" t="s">
        <v>113</v>
      </c>
      <c r="AG55" s="76">
        <f>$C$30/12*($C$9*12)^2/(8*(12*$C$11^2/6))/1000</f>
        <v>9.928533333333332</v>
      </c>
      <c r="AH55" s="202" t="s">
        <v>138</v>
      </c>
      <c r="AI55" s="28" t="s">
        <v>139</v>
      </c>
      <c r="AJ55" s="78"/>
      <c r="AK55" s="78"/>
      <c r="AL55" s="78"/>
      <c r="AM55" s="78"/>
      <c r="AN55" s="74"/>
      <c r="AP55" s="120">
        <v>16.35</v>
      </c>
      <c r="AQ55" s="122" t="s">
        <v>35</v>
      </c>
      <c r="AR55" s="135">
        <f aca="true" t="shared" si="7" ref="AR55:BA55">ROUND(AR$48*144*(384*$C$36*(12*$L16^3/12)*VLOOKUP($C$16,$L$50:$M$54,2)/(5*(AR$48*12)^4)),0)</f>
        <v>2417</v>
      </c>
      <c r="AS55" s="135">
        <f t="shared" si="7"/>
        <v>1020</v>
      </c>
      <c r="AT55" s="135">
        <f t="shared" si="7"/>
        <v>522</v>
      </c>
      <c r="AU55" s="135">
        <f t="shared" si="7"/>
        <v>302</v>
      </c>
      <c r="AV55" s="135">
        <f t="shared" si="7"/>
        <v>190</v>
      </c>
      <c r="AW55" s="238">
        <f t="shared" si="7"/>
        <v>127</v>
      </c>
      <c r="AX55" s="238">
        <f t="shared" si="7"/>
        <v>90</v>
      </c>
      <c r="AY55" s="238">
        <f t="shared" si="7"/>
        <v>65</v>
      </c>
      <c r="AZ55" s="238">
        <f t="shared" si="7"/>
        <v>38</v>
      </c>
      <c r="BA55" s="135">
        <f t="shared" si="7"/>
        <v>24</v>
      </c>
    </row>
    <row r="56" spans="1:53" ht="12.75">
      <c r="A56" s="14"/>
      <c r="B56" s="14"/>
      <c r="C56" s="14"/>
      <c r="D56" s="14"/>
      <c r="E56" s="14"/>
      <c r="F56" s="14"/>
      <c r="G56" s="14"/>
      <c r="H56" s="14"/>
      <c r="I56" s="12"/>
      <c r="AC56" s="28"/>
      <c r="AD56" s="28"/>
      <c r="AE56" s="28"/>
      <c r="AF56" s="178" t="s">
        <v>95</v>
      </c>
      <c r="AG56" s="180">
        <f>5*($C$30/12)*($C$9*12)^4/(384*$C$36*(12*$C$11^3/12))</f>
        <v>0.4382249195402299</v>
      </c>
      <c r="AH56" s="202" t="s">
        <v>9</v>
      </c>
      <c r="AI56" s="181" t="s">
        <v>115</v>
      </c>
      <c r="AJ56" s="74"/>
      <c r="AK56" s="74"/>
      <c r="AL56" s="74"/>
      <c r="AM56" s="74"/>
      <c r="AN56" s="74"/>
      <c r="AP56" s="120">
        <v>18.9</v>
      </c>
      <c r="AQ56" s="122" t="s">
        <v>36</v>
      </c>
      <c r="AR56" s="135">
        <f aca="true" t="shared" si="8" ref="AR56:BA56">ROUND(AR$48*144*(384*$C$36*(12*$L17^3/12)*VLOOKUP($C$16,$L$50:$M$54,2)/(5*(AR$48*12)^4)),0)</f>
        <v>3838</v>
      </c>
      <c r="AS56" s="135">
        <f t="shared" si="8"/>
        <v>1619</v>
      </c>
      <c r="AT56" s="135">
        <f t="shared" si="8"/>
        <v>829</v>
      </c>
      <c r="AU56" s="135">
        <f t="shared" si="8"/>
        <v>480</v>
      </c>
      <c r="AV56" s="135">
        <f t="shared" si="8"/>
        <v>302</v>
      </c>
      <c r="AW56" s="238">
        <f t="shared" si="8"/>
        <v>202</v>
      </c>
      <c r="AX56" s="238">
        <f t="shared" si="8"/>
        <v>142</v>
      </c>
      <c r="AY56" s="238">
        <f t="shared" si="8"/>
        <v>104</v>
      </c>
      <c r="AZ56" s="238">
        <f t="shared" si="8"/>
        <v>60</v>
      </c>
      <c r="BA56" s="135">
        <f t="shared" si="8"/>
        <v>38</v>
      </c>
    </row>
    <row r="57" spans="1:53" ht="12.75">
      <c r="A57" s="14"/>
      <c r="B57" s="14"/>
      <c r="C57" s="14"/>
      <c r="D57" s="14"/>
      <c r="E57" s="14"/>
      <c r="F57" s="14"/>
      <c r="G57" s="14"/>
      <c r="H57" s="12"/>
      <c r="I57" s="253"/>
      <c r="AC57" s="28"/>
      <c r="AD57" s="28"/>
      <c r="AE57" s="28"/>
      <c r="AF57" s="28"/>
      <c r="AG57" s="28"/>
      <c r="AH57" s="28"/>
      <c r="AI57" s="28"/>
      <c r="AJ57" s="74"/>
      <c r="AK57" s="74"/>
      <c r="AL57" s="74"/>
      <c r="AM57" s="74"/>
      <c r="AN57" s="74"/>
      <c r="AP57" s="120">
        <v>21.45</v>
      </c>
      <c r="AQ57" s="122" t="s">
        <v>37</v>
      </c>
      <c r="AR57" s="135">
        <f aca="true" t="shared" si="9" ref="AR57:BA57">ROUND(AR$48*144*(384*$C$36*(12*$L18^3/12)*VLOOKUP($C$16,$L$50:$M$54,2)/(5*(AR$48*12)^4)),0)</f>
        <v>5728</v>
      </c>
      <c r="AS57" s="135">
        <f t="shared" si="9"/>
        <v>2417</v>
      </c>
      <c r="AT57" s="135">
        <f t="shared" si="9"/>
        <v>1237</v>
      </c>
      <c r="AU57" s="135">
        <f t="shared" si="9"/>
        <v>716</v>
      </c>
      <c r="AV57" s="135">
        <f t="shared" si="9"/>
        <v>451</v>
      </c>
      <c r="AW57" s="238">
        <f t="shared" si="9"/>
        <v>302</v>
      </c>
      <c r="AX57" s="238">
        <f t="shared" si="9"/>
        <v>212</v>
      </c>
      <c r="AY57" s="238">
        <f t="shared" si="9"/>
        <v>155</v>
      </c>
      <c r="AZ57" s="238">
        <f t="shared" si="9"/>
        <v>90</v>
      </c>
      <c r="BA57" s="135">
        <f t="shared" si="9"/>
        <v>56</v>
      </c>
    </row>
    <row r="58" spans="1:53" ht="12.75">
      <c r="A58" s="12"/>
      <c r="B58" s="12"/>
      <c r="C58" s="12"/>
      <c r="D58" s="12"/>
      <c r="E58" s="12"/>
      <c r="F58" s="12"/>
      <c r="G58" s="12"/>
      <c r="H58" s="12"/>
      <c r="I58" s="12"/>
      <c r="AC58" s="28"/>
      <c r="AD58" s="28"/>
      <c r="AE58" s="28"/>
      <c r="AF58" s="201" t="s">
        <v>114</v>
      </c>
      <c r="AG58" s="76">
        <f>$C$30/12*($C$9*12)^2/(12*(12*$C$11^2/6))/1000</f>
        <v>6.619022222222221</v>
      </c>
      <c r="AH58" s="202" t="s">
        <v>138</v>
      </c>
      <c r="AI58" s="28" t="s">
        <v>140</v>
      </c>
      <c r="AJ58" s="78"/>
      <c r="AK58" s="78"/>
      <c r="AL58" s="78"/>
      <c r="AM58" s="78"/>
      <c r="AN58" s="74"/>
      <c r="AP58" s="120">
        <v>24</v>
      </c>
      <c r="AQ58" s="122" t="s">
        <v>38</v>
      </c>
      <c r="AR58" s="135">
        <f aca="true" t="shared" si="10" ref="AR58:BA58">ROUND(AR$48*144*(384*$C$36*(12*$L19^3/12)*VLOOKUP($C$16,$L$50:$M$54,2)/(5*(AR$48*12)^4)),0)</f>
        <v>8156</v>
      </c>
      <c r="AS58" s="135">
        <f t="shared" si="10"/>
        <v>3441</v>
      </c>
      <c r="AT58" s="135">
        <f t="shared" si="10"/>
        <v>1762</v>
      </c>
      <c r="AU58" s="135">
        <f t="shared" si="10"/>
        <v>1020</v>
      </c>
      <c r="AV58" s="135">
        <f t="shared" si="10"/>
        <v>642</v>
      </c>
      <c r="AW58" s="238">
        <f t="shared" si="10"/>
        <v>430</v>
      </c>
      <c r="AX58" s="238">
        <f t="shared" si="10"/>
        <v>302</v>
      </c>
      <c r="AY58" s="238">
        <f t="shared" si="10"/>
        <v>220</v>
      </c>
      <c r="AZ58" s="238">
        <f t="shared" si="10"/>
        <v>127</v>
      </c>
      <c r="BA58" s="135">
        <f t="shared" si="10"/>
        <v>80</v>
      </c>
    </row>
    <row r="59" spans="1:53" ht="12.75">
      <c r="A59" s="43"/>
      <c r="B59" s="12"/>
      <c r="C59" s="12"/>
      <c r="D59" s="12"/>
      <c r="E59" s="12"/>
      <c r="F59" s="12"/>
      <c r="G59" s="12"/>
      <c r="H59" s="12"/>
      <c r="I59" s="12"/>
      <c r="AC59" s="28"/>
      <c r="AD59" s="28"/>
      <c r="AE59" s="28"/>
      <c r="AF59" s="178" t="s">
        <v>96</v>
      </c>
      <c r="AG59" s="180">
        <f>($C$30/12)*($C$9*12)^4/(384*$C$36*(12*$C$11^3/12))</f>
        <v>0.08764498390804597</v>
      </c>
      <c r="AH59" s="202" t="s">
        <v>9</v>
      </c>
      <c r="AI59" s="181" t="s">
        <v>116</v>
      </c>
      <c r="AJ59" s="74"/>
      <c r="AK59" s="74"/>
      <c r="AL59" s="74"/>
      <c r="AM59" s="74"/>
      <c r="AN59" s="74"/>
      <c r="AP59" s="120">
        <v>26.55</v>
      </c>
      <c r="AQ59" s="122" t="s">
        <v>39</v>
      </c>
      <c r="AR59" s="135">
        <f aca="true" t="shared" si="11" ref="AR59:BA59">ROUND(AR$48*144*(384*$C$36*(12*$L20^3/12)*VLOOKUP($C$16,$L$50:$M$54,2)/(5*(AR$48*12)^4)),0)</f>
        <v>11188</v>
      </c>
      <c r="AS59" s="135">
        <f t="shared" si="11"/>
        <v>4720</v>
      </c>
      <c r="AT59" s="135">
        <f t="shared" si="11"/>
        <v>2417</v>
      </c>
      <c r="AU59" s="135">
        <f t="shared" si="11"/>
        <v>1399</v>
      </c>
      <c r="AV59" s="135">
        <f t="shared" si="11"/>
        <v>881</v>
      </c>
      <c r="AW59" s="238">
        <f t="shared" si="11"/>
        <v>590</v>
      </c>
      <c r="AX59" s="238">
        <f t="shared" si="11"/>
        <v>414</v>
      </c>
      <c r="AY59" s="238">
        <f t="shared" si="11"/>
        <v>302</v>
      </c>
      <c r="AZ59" s="238">
        <f t="shared" si="11"/>
        <v>175</v>
      </c>
      <c r="BA59" s="135">
        <f t="shared" si="11"/>
        <v>110</v>
      </c>
    </row>
    <row r="60" spans="1:53" ht="12.75">
      <c r="A60" s="12"/>
      <c r="B60" s="12"/>
      <c r="C60" s="12"/>
      <c r="D60" s="12"/>
      <c r="E60" s="12"/>
      <c r="F60" s="12"/>
      <c r="G60" s="12"/>
      <c r="H60" s="12"/>
      <c r="I60" s="12"/>
      <c r="AC60" s="28"/>
      <c r="AD60" s="28"/>
      <c r="AE60" s="28"/>
      <c r="AF60" s="28"/>
      <c r="AG60" s="28"/>
      <c r="AH60" s="28"/>
      <c r="AI60" s="28"/>
      <c r="AJ60" s="74"/>
      <c r="AK60" s="74"/>
      <c r="AL60" s="74"/>
      <c r="AM60" s="74"/>
      <c r="AN60" s="74"/>
      <c r="AP60" s="120">
        <v>29.1</v>
      </c>
      <c r="AQ60" s="122" t="s">
        <v>41</v>
      </c>
      <c r="AR60" s="135">
        <f aca="true" t="shared" si="12" ref="AR60:BA60">ROUND(AR$48*144*(384*$C$36*(12*$L21^3/12)*VLOOKUP($C$16,$L$50:$M$54,2)/(5*(AR$48*12)^4)),0)</f>
        <v>14892</v>
      </c>
      <c r="AS60" s="135">
        <f t="shared" si="12"/>
        <v>6282</v>
      </c>
      <c r="AT60" s="135">
        <f t="shared" si="12"/>
        <v>3217</v>
      </c>
      <c r="AU60" s="135">
        <f t="shared" si="12"/>
        <v>1861</v>
      </c>
      <c r="AV60" s="135">
        <f t="shared" si="12"/>
        <v>1172</v>
      </c>
      <c r="AW60" s="238">
        <f t="shared" si="12"/>
        <v>785</v>
      </c>
      <c r="AX60" s="238">
        <f t="shared" si="12"/>
        <v>552</v>
      </c>
      <c r="AY60" s="238">
        <f t="shared" si="12"/>
        <v>402</v>
      </c>
      <c r="AZ60" s="238">
        <f t="shared" si="12"/>
        <v>233</v>
      </c>
      <c r="BA60" s="135">
        <f t="shared" si="12"/>
        <v>147</v>
      </c>
    </row>
    <row r="61" spans="1:53" ht="12.75">
      <c r="A61" s="44"/>
      <c r="B61" s="11"/>
      <c r="C61" s="11"/>
      <c r="D61" s="11"/>
      <c r="E61" s="20"/>
      <c r="F61" s="12"/>
      <c r="G61" s="12"/>
      <c r="H61" s="12"/>
      <c r="I61" s="12"/>
      <c r="AC61" s="28"/>
      <c r="AD61" s="28"/>
      <c r="AE61" s="28"/>
      <c r="AF61" s="28"/>
      <c r="AG61" s="28"/>
      <c r="AH61" s="28"/>
      <c r="AI61" s="28"/>
      <c r="AJ61" s="74"/>
      <c r="AK61" s="74"/>
      <c r="AL61" s="74"/>
      <c r="AM61" s="74"/>
      <c r="AN61" s="74"/>
      <c r="AP61" s="120">
        <v>31.65</v>
      </c>
      <c r="AQ61" s="122" t="s">
        <v>42</v>
      </c>
      <c r="AR61" s="135">
        <f aca="true" t="shared" si="13" ref="AR61:BA61">ROUND(AR$48*144*(384*$C$36*(12*$L22^3/12)*VLOOKUP($C$16,$L$50:$M$54,2)/(5*(AR$48*12)^4)),0)</f>
        <v>19333</v>
      </c>
      <c r="AS61" s="135">
        <f t="shared" si="13"/>
        <v>8156</v>
      </c>
      <c r="AT61" s="135">
        <f t="shared" si="13"/>
        <v>4176</v>
      </c>
      <c r="AU61" s="135">
        <f t="shared" si="13"/>
        <v>2417</v>
      </c>
      <c r="AV61" s="135">
        <f t="shared" si="13"/>
        <v>1522</v>
      </c>
      <c r="AW61" s="238">
        <f t="shared" si="13"/>
        <v>1020</v>
      </c>
      <c r="AX61" s="238">
        <f t="shared" si="13"/>
        <v>716</v>
      </c>
      <c r="AY61" s="238">
        <f t="shared" si="13"/>
        <v>522</v>
      </c>
      <c r="AZ61" s="238">
        <f t="shared" si="13"/>
        <v>302</v>
      </c>
      <c r="BA61" s="135">
        <f t="shared" si="13"/>
        <v>190</v>
      </c>
    </row>
    <row r="62" spans="1:53" ht="12.75">
      <c r="A62" s="12"/>
      <c r="B62" s="12"/>
      <c r="C62" s="12"/>
      <c r="D62" s="12"/>
      <c r="E62" s="12"/>
      <c r="F62" s="12"/>
      <c r="G62" s="12"/>
      <c r="H62" s="12"/>
      <c r="I62" s="12"/>
      <c r="AC62" s="28"/>
      <c r="AD62" s="28"/>
      <c r="AE62" s="28"/>
      <c r="AF62" s="28"/>
      <c r="AG62" s="28"/>
      <c r="AH62" s="28"/>
      <c r="AI62" s="28"/>
      <c r="AJ62" s="74"/>
      <c r="AK62" s="74"/>
      <c r="AL62" s="74"/>
      <c r="AM62" s="74"/>
      <c r="AN62" s="74"/>
      <c r="AP62" s="120">
        <v>34.2</v>
      </c>
      <c r="AQ62" s="122" t="s">
        <v>43</v>
      </c>
      <c r="AR62" s="135">
        <f aca="true" t="shared" si="14" ref="AR62:BA62">ROUND(AR$48*144*(384*$C$36*(12*$L23^3/12)*VLOOKUP($C$16,$L$50:$M$54,2)/(5*(AR$48*12)^4)),0)</f>
        <v>24581</v>
      </c>
      <c r="AS62" s="135">
        <f t="shared" si="14"/>
        <v>10370</v>
      </c>
      <c r="AT62" s="135">
        <f t="shared" si="14"/>
        <v>5309</v>
      </c>
      <c r="AU62" s="135">
        <f t="shared" si="14"/>
        <v>3073</v>
      </c>
      <c r="AV62" s="135">
        <f t="shared" si="14"/>
        <v>1935</v>
      </c>
      <c r="AW62" s="238">
        <f t="shared" si="14"/>
        <v>1296</v>
      </c>
      <c r="AX62" s="238">
        <f t="shared" si="14"/>
        <v>910</v>
      </c>
      <c r="AY62" s="238">
        <f t="shared" si="14"/>
        <v>664</v>
      </c>
      <c r="AZ62" s="238">
        <f t="shared" si="14"/>
        <v>384</v>
      </c>
      <c r="BA62" s="135">
        <f t="shared" si="14"/>
        <v>242</v>
      </c>
    </row>
    <row r="63" spans="1:53" ht="12.75">
      <c r="A63" s="12"/>
      <c r="B63" s="12"/>
      <c r="C63" s="12"/>
      <c r="D63" s="12"/>
      <c r="E63" s="12"/>
      <c r="F63" s="12"/>
      <c r="G63" s="12"/>
      <c r="H63" s="12"/>
      <c r="I63" s="12"/>
      <c r="AC63" s="28"/>
      <c r="AD63" s="28"/>
      <c r="AE63" s="28"/>
      <c r="AF63" s="28"/>
      <c r="AG63" s="28"/>
      <c r="AH63" s="28"/>
      <c r="AI63" s="28"/>
      <c r="AJ63" s="74"/>
      <c r="AK63" s="74"/>
      <c r="AL63" s="74"/>
      <c r="AM63" s="74"/>
      <c r="AN63" s="74"/>
      <c r="AP63" s="120">
        <v>36.75</v>
      </c>
      <c r="AQ63" s="122" t="s">
        <v>44</v>
      </c>
      <c r="AR63" s="135">
        <f aca="true" t="shared" si="15" ref="AR63:BA63">ROUND(AR$48*144*(384*$C$36*(12*$L24^3/12)*VLOOKUP($C$16,$L$50:$M$54,2)/(5*(AR$48*12)^4)),0)</f>
        <v>30701</v>
      </c>
      <c r="AS63" s="135">
        <f t="shared" si="15"/>
        <v>12952</v>
      </c>
      <c r="AT63" s="135">
        <f t="shared" si="15"/>
        <v>6631</v>
      </c>
      <c r="AU63" s="135">
        <f t="shared" si="15"/>
        <v>3838</v>
      </c>
      <c r="AV63" s="135">
        <f t="shared" si="15"/>
        <v>2417</v>
      </c>
      <c r="AW63" s="238">
        <f t="shared" si="15"/>
        <v>1619</v>
      </c>
      <c r="AX63" s="238">
        <f t="shared" si="15"/>
        <v>1137</v>
      </c>
      <c r="AY63" s="238">
        <f t="shared" si="15"/>
        <v>829</v>
      </c>
      <c r="AZ63" s="238">
        <f t="shared" si="15"/>
        <v>480</v>
      </c>
      <c r="BA63" s="135">
        <f t="shared" si="15"/>
        <v>302</v>
      </c>
    </row>
    <row r="64" spans="1:53" ht="12.75">
      <c r="A64" s="12"/>
      <c r="B64" s="12"/>
      <c r="C64" s="12"/>
      <c r="D64" s="12"/>
      <c r="E64" s="12"/>
      <c r="F64" s="12"/>
      <c r="G64" s="12"/>
      <c r="H64" s="12"/>
      <c r="I64" s="12"/>
      <c r="AC64" s="28"/>
      <c r="AD64" s="28"/>
      <c r="AE64" s="28"/>
      <c r="AF64" s="28"/>
      <c r="AG64" s="28"/>
      <c r="AH64" s="28"/>
      <c r="AI64" s="28"/>
      <c r="AJ64" s="74"/>
      <c r="AK64" s="74"/>
      <c r="AL64" s="74"/>
      <c r="AM64" s="74"/>
      <c r="AN64" s="74"/>
      <c r="AP64" s="120">
        <v>39.3</v>
      </c>
      <c r="AQ64" s="122" t="s">
        <v>45</v>
      </c>
      <c r="AR64" s="135">
        <f aca="true" t="shared" si="16" ref="AR64:BA64">ROUND(AR$48*144*(384*$C$36*(12*$L25^3/12)*VLOOKUP($C$16,$L$50:$M$54,2)/(5*(AR$48*12)^4)),0)</f>
        <v>37760</v>
      </c>
      <c r="AS64" s="135">
        <f t="shared" si="16"/>
        <v>15930</v>
      </c>
      <c r="AT64" s="135">
        <f t="shared" si="16"/>
        <v>8156</v>
      </c>
      <c r="AU64" s="135">
        <f t="shared" si="16"/>
        <v>4720</v>
      </c>
      <c r="AV64" s="135">
        <f t="shared" si="16"/>
        <v>2972</v>
      </c>
      <c r="AW64" s="238">
        <f t="shared" si="16"/>
        <v>1991</v>
      </c>
      <c r="AX64" s="238">
        <f t="shared" si="16"/>
        <v>1399</v>
      </c>
      <c r="AY64" s="238">
        <f t="shared" si="16"/>
        <v>1020</v>
      </c>
      <c r="AZ64" s="238">
        <f t="shared" si="16"/>
        <v>590</v>
      </c>
      <c r="BA64" s="135">
        <f t="shared" si="16"/>
        <v>372</v>
      </c>
    </row>
    <row r="65" spans="1:53" ht="12.75">
      <c r="A65" s="13"/>
      <c r="B65" s="17"/>
      <c r="C65" s="12"/>
      <c r="D65" s="18"/>
      <c r="E65" s="17"/>
      <c r="F65" s="12"/>
      <c r="G65" s="15"/>
      <c r="H65" s="12"/>
      <c r="I65" s="12"/>
      <c r="AC65" s="28"/>
      <c r="AD65" s="28"/>
      <c r="AE65" s="28"/>
      <c r="AF65" s="28"/>
      <c r="AG65" s="28"/>
      <c r="AH65" s="28"/>
      <c r="AI65" s="28"/>
      <c r="AJ65" s="74"/>
      <c r="AK65" s="74"/>
      <c r="AL65" s="74"/>
      <c r="AM65" s="74"/>
      <c r="AN65" s="74"/>
      <c r="AP65" s="120">
        <v>41.85</v>
      </c>
      <c r="AQ65" s="122" t="s">
        <v>46</v>
      </c>
      <c r="AR65" s="135">
        <f aca="true" t="shared" si="17" ref="AR65:BA65">ROUND(AR$48*144*(384*$C$36*(12*$L26^3/12)*VLOOKUP($C$16,$L$50:$M$54,2)/(5*(AR$48*12)^4)),0)</f>
        <v>45827</v>
      </c>
      <c r="AS65" s="135">
        <f t="shared" si="17"/>
        <v>19333</v>
      </c>
      <c r="AT65" s="135">
        <f t="shared" si="17"/>
        <v>9899</v>
      </c>
      <c r="AU65" s="135">
        <f t="shared" si="17"/>
        <v>5728</v>
      </c>
      <c r="AV65" s="135">
        <f t="shared" si="17"/>
        <v>3607</v>
      </c>
      <c r="AW65" s="238">
        <f t="shared" si="17"/>
        <v>2417</v>
      </c>
      <c r="AX65" s="238">
        <f t="shared" si="17"/>
        <v>1697</v>
      </c>
      <c r="AY65" s="238">
        <f t="shared" si="17"/>
        <v>1237</v>
      </c>
      <c r="AZ65" s="238">
        <f t="shared" si="17"/>
        <v>716</v>
      </c>
      <c r="BA65" s="135">
        <f t="shared" si="17"/>
        <v>451</v>
      </c>
    </row>
    <row r="66" spans="1:53" ht="12.75">
      <c r="A66" s="12"/>
      <c r="B66" s="12"/>
      <c r="C66" s="12"/>
      <c r="D66" s="12"/>
      <c r="E66" s="12"/>
      <c r="F66" s="12"/>
      <c r="G66" s="12"/>
      <c r="H66" s="12"/>
      <c r="I66" s="12"/>
      <c r="AC66" s="28"/>
      <c r="AD66" s="28"/>
      <c r="AE66" s="28"/>
      <c r="AF66" s="28"/>
      <c r="AG66" s="28"/>
      <c r="AH66" s="28"/>
      <c r="AI66" s="28"/>
      <c r="AJ66" s="74"/>
      <c r="AK66" s="74"/>
      <c r="AL66" s="74"/>
      <c r="AM66" s="74"/>
      <c r="AN66" s="74"/>
      <c r="AP66" s="120">
        <v>44.4</v>
      </c>
      <c r="AQ66" s="122" t="s">
        <v>47</v>
      </c>
      <c r="AR66" s="135">
        <f aca="true" t="shared" si="18" ref="AR66:BA66">ROUND(AR$48*144*(384*$C$36*(12*$L27^3/12)*VLOOKUP($C$16,$L$50:$M$54,2)/(5*(AR$48*12)^4)),0)</f>
        <v>54968</v>
      </c>
      <c r="AS66" s="135">
        <f t="shared" si="18"/>
        <v>23190</v>
      </c>
      <c r="AT66" s="135">
        <f t="shared" si="18"/>
        <v>11873</v>
      </c>
      <c r="AU66" s="135">
        <f t="shared" si="18"/>
        <v>6871</v>
      </c>
      <c r="AV66" s="238">
        <f t="shared" si="18"/>
        <v>4327</v>
      </c>
      <c r="AW66" s="135">
        <f t="shared" si="18"/>
        <v>2899</v>
      </c>
      <c r="AX66" s="238">
        <f t="shared" si="18"/>
        <v>2036</v>
      </c>
      <c r="AY66" s="135">
        <f t="shared" si="18"/>
        <v>1484</v>
      </c>
      <c r="AZ66" s="135">
        <f t="shared" si="18"/>
        <v>859</v>
      </c>
      <c r="BA66" s="135">
        <f t="shared" si="18"/>
        <v>541</v>
      </c>
    </row>
    <row r="67" spans="1:53" ht="12.75">
      <c r="A67" s="43"/>
      <c r="B67" s="12"/>
      <c r="C67" s="12"/>
      <c r="D67" s="12"/>
      <c r="E67" s="12"/>
      <c r="F67" s="12"/>
      <c r="G67" s="12"/>
      <c r="H67" s="12"/>
      <c r="I67" s="12"/>
      <c r="AP67" s="120">
        <v>46.95</v>
      </c>
      <c r="AQ67" s="122" t="s">
        <v>48</v>
      </c>
      <c r="AR67" s="135">
        <f aca="true" t="shared" si="19" ref="AR67:BA67">ROUND(AR$48*144*(384*$C$36*(12*$L28^3/12)*VLOOKUP($C$16,$L$50:$M$54,2)/(5*(AR$48*12)^4)),0)</f>
        <v>65250</v>
      </c>
      <c r="AS67" s="135">
        <f t="shared" si="19"/>
        <v>27527</v>
      </c>
      <c r="AT67" s="135">
        <f t="shared" si="19"/>
        <v>14094</v>
      </c>
      <c r="AU67" s="135">
        <f t="shared" si="19"/>
        <v>8156</v>
      </c>
      <c r="AV67" s="135">
        <f t="shared" si="19"/>
        <v>5136</v>
      </c>
      <c r="AW67" s="135">
        <f t="shared" si="19"/>
        <v>3441</v>
      </c>
      <c r="AX67" s="135">
        <f t="shared" si="19"/>
        <v>2417</v>
      </c>
      <c r="AY67" s="135">
        <f t="shared" si="19"/>
        <v>1762</v>
      </c>
      <c r="AZ67" s="135">
        <f t="shared" si="19"/>
        <v>1020</v>
      </c>
      <c r="BA67" s="135">
        <f t="shared" si="19"/>
        <v>642</v>
      </c>
    </row>
    <row r="68" spans="1:53" ht="12.75">
      <c r="A68" s="45"/>
      <c r="B68" s="12"/>
      <c r="C68" s="12"/>
      <c r="D68" s="12"/>
      <c r="E68" s="12"/>
      <c r="F68" s="12"/>
      <c r="G68" s="12"/>
      <c r="H68" s="12"/>
      <c r="I68" s="12"/>
      <c r="AP68" s="120">
        <v>49.5</v>
      </c>
      <c r="AQ68" s="122" t="s">
        <v>49</v>
      </c>
      <c r="AR68" s="135">
        <f aca="true" t="shared" si="20" ref="AR68:BA68">ROUND(AR$48*144*(384*$C$36*(12*$L29^3/12)*VLOOKUP($C$16,$L$50:$M$54,2)/(5*(AR$48*12)^4)),0)</f>
        <v>76740</v>
      </c>
      <c r="AS68" s="135">
        <f t="shared" si="20"/>
        <v>32375</v>
      </c>
      <c r="AT68" s="135">
        <f t="shared" si="20"/>
        <v>16576</v>
      </c>
      <c r="AU68" s="135">
        <f t="shared" si="20"/>
        <v>9593</v>
      </c>
      <c r="AV68" s="135">
        <f t="shared" si="20"/>
        <v>6041</v>
      </c>
      <c r="AW68" s="135">
        <f t="shared" si="20"/>
        <v>4047</v>
      </c>
      <c r="AX68" s="135">
        <f t="shared" si="20"/>
        <v>2842</v>
      </c>
      <c r="AY68" s="135">
        <f t="shared" si="20"/>
        <v>2072</v>
      </c>
      <c r="AZ68" s="135">
        <f t="shared" si="20"/>
        <v>1199</v>
      </c>
      <c r="BA68" s="135">
        <f t="shared" si="20"/>
        <v>755</v>
      </c>
    </row>
    <row r="69" spans="1:53" ht="12.75">
      <c r="A69" s="13"/>
      <c r="B69" s="12"/>
      <c r="C69" s="12"/>
      <c r="D69" s="20"/>
      <c r="E69" s="12"/>
      <c r="F69" s="12"/>
      <c r="G69" s="12"/>
      <c r="H69" s="12"/>
      <c r="I69" s="12"/>
      <c r="AP69" s="120">
        <v>52.05</v>
      </c>
      <c r="AQ69" s="122" t="s">
        <v>50</v>
      </c>
      <c r="AR69" s="135">
        <f aca="true" t="shared" si="21" ref="AR69:BA69">ROUND(AR$48*144*(384*$C$36*(12*$L30^3/12)*VLOOKUP($C$16,$L$50:$M$54,2)/(5*(AR$48*12)^4)),0)</f>
        <v>89506</v>
      </c>
      <c r="AS69" s="135">
        <f t="shared" si="21"/>
        <v>37760</v>
      </c>
      <c r="AT69" s="135">
        <f t="shared" si="21"/>
        <v>19333</v>
      </c>
      <c r="AU69" s="135">
        <f t="shared" si="21"/>
        <v>11188</v>
      </c>
      <c r="AV69" s="135">
        <f t="shared" si="21"/>
        <v>7046</v>
      </c>
      <c r="AW69" s="135">
        <f t="shared" si="21"/>
        <v>4720</v>
      </c>
      <c r="AX69" s="135">
        <f t="shared" si="21"/>
        <v>3315</v>
      </c>
      <c r="AY69" s="135">
        <f t="shared" si="21"/>
        <v>2417</v>
      </c>
      <c r="AZ69" s="135">
        <f t="shared" si="21"/>
        <v>1399</v>
      </c>
      <c r="BA69" s="135">
        <f t="shared" si="21"/>
        <v>881</v>
      </c>
    </row>
    <row r="70" spans="1:53" ht="12.75">
      <c r="A70" s="12"/>
      <c r="B70" s="12"/>
      <c r="C70" s="12"/>
      <c r="D70" s="12"/>
      <c r="E70" s="12"/>
      <c r="F70" s="12"/>
      <c r="G70" s="12"/>
      <c r="H70" s="12"/>
      <c r="I70" s="12"/>
      <c r="AP70" s="120">
        <v>54.6</v>
      </c>
      <c r="AQ70" s="122" t="s">
        <v>51</v>
      </c>
      <c r="AR70" s="135">
        <f aca="true" t="shared" si="22" ref="AR70:BA70">ROUND(AR$48*144*(384*$C$36*(12*$L31^3/12)*VLOOKUP($C$16,$L$50:$M$54,2)/(5*(AR$48*12)^4)),0)</f>
        <v>103615</v>
      </c>
      <c r="AS70" s="135">
        <f t="shared" si="22"/>
        <v>43712</v>
      </c>
      <c r="AT70" s="135">
        <f t="shared" si="22"/>
        <v>22381</v>
      </c>
      <c r="AU70" s="135">
        <f t="shared" si="22"/>
        <v>12952</v>
      </c>
      <c r="AV70" s="135">
        <f t="shared" si="22"/>
        <v>8156</v>
      </c>
      <c r="AW70" s="135">
        <f t="shared" si="22"/>
        <v>5464</v>
      </c>
      <c r="AX70" s="135">
        <f t="shared" si="22"/>
        <v>3838</v>
      </c>
      <c r="AY70" s="135">
        <f t="shared" si="22"/>
        <v>2798</v>
      </c>
      <c r="AZ70" s="135">
        <f t="shared" si="22"/>
        <v>1619</v>
      </c>
      <c r="BA70" s="135">
        <f t="shared" si="22"/>
        <v>1020</v>
      </c>
    </row>
    <row r="71" spans="1:53" ht="12.75">
      <c r="A71" s="12"/>
      <c r="B71" s="12"/>
      <c r="C71" s="12"/>
      <c r="D71" s="12"/>
      <c r="E71" s="12"/>
      <c r="F71" s="12"/>
      <c r="G71" s="12"/>
      <c r="H71" s="12"/>
      <c r="I71" s="12"/>
      <c r="AP71" s="120">
        <v>57.15</v>
      </c>
      <c r="AQ71" s="122" t="s">
        <v>52</v>
      </c>
      <c r="AR71" s="135">
        <f aca="true" t="shared" si="23" ref="AR71:BA71">ROUND(AR$48*144*(384*$C$36*(12*$L32^3/12)*VLOOKUP($C$16,$L$50:$M$54,2)/(5*(AR$48*12)^4)),0)</f>
        <v>119133</v>
      </c>
      <c r="AS71" s="135">
        <f t="shared" si="23"/>
        <v>50259</v>
      </c>
      <c r="AT71" s="135">
        <f t="shared" si="23"/>
        <v>25733</v>
      </c>
      <c r="AU71" s="135">
        <f t="shared" si="23"/>
        <v>14892</v>
      </c>
      <c r="AV71" s="135">
        <f t="shared" si="23"/>
        <v>9378</v>
      </c>
      <c r="AW71" s="135">
        <f t="shared" si="23"/>
        <v>6282</v>
      </c>
      <c r="AX71" s="135">
        <f t="shared" si="23"/>
        <v>4412</v>
      </c>
      <c r="AY71" s="135">
        <f t="shared" si="23"/>
        <v>3217</v>
      </c>
      <c r="AZ71" s="135">
        <f t="shared" si="23"/>
        <v>1861</v>
      </c>
      <c r="BA71" s="135">
        <f t="shared" si="23"/>
        <v>1172</v>
      </c>
    </row>
    <row r="72" spans="1:53" ht="12.75">
      <c r="A72" s="12"/>
      <c r="B72" s="12"/>
      <c r="C72" s="12"/>
      <c r="D72" s="12"/>
      <c r="E72" s="12"/>
      <c r="F72" s="12"/>
      <c r="G72" s="12"/>
      <c r="H72" s="12"/>
      <c r="I72" s="12"/>
      <c r="AP72" s="120">
        <v>59.7</v>
      </c>
      <c r="AQ72" s="123" t="s">
        <v>53</v>
      </c>
      <c r="AR72" s="135">
        <f aca="true" t="shared" si="24" ref="AR72:BA72">ROUND(AR$48*144*(384*$C$36*(12*$L33^3/12)*VLOOKUP($C$16,$L$50:$M$54,2)/(5*(AR$48*12)^4)),0)</f>
        <v>136128</v>
      </c>
      <c r="AS72" s="135">
        <f t="shared" si="24"/>
        <v>57429</v>
      </c>
      <c r="AT72" s="135">
        <f t="shared" si="24"/>
        <v>29404</v>
      </c>
      <c r="AU72" s="135">
        <f t="shared" si="24"/>
        <v>17016</v>
      </c>
      <c r="AV72" s="135">
        <f t="shared" si="24"/>
        <v>10716</v>
      </c>
      <c r="AW72" s="135">
        <f t="shared" si="24"/>
        <v>7179</v>
      </c>
      <c r="AX72" s="135">
        <f t="shared" si="24"/>
        <v>5042</v>
      </c>
      <c r="AY72" s="135">
        <f t="shared" si="24"/>
        <v>3675</v>
      </c>
      <c r="AZ72" s="135">
        <f t="shared" si="24"/>
        <v>2127</v>
      </c>
      <c r="BA72" s="135">
        <f t="shared" si="24"/>
        <v>1339</v>
      </c>
    </row>
    <row r="73" spans="1:53" ht="12.75">
      <c r="A73" s="12"/>
      <c r="B73" s="12"/>
      <c r="C73" s="12"/>
      <c r="D73" s="12"/>
      <c r="E73" s="12"/>
      <c r="F73" s="12"/>
      <c r="G73" s="12"/>
      <c r="H73" s="12"/>
      <c r="I73" s="12"/>
      <c r="AP73" s="120">
        <v>62.25</v>
      </c>
      <c r="AQ73" s="122" t="s">
        <v>54</v>
      </c>
      <c r="AR73" s="135">
        <f aca="true" t="shared" si="25" ref="AR73:BA73">ROUND(AR$48*144*(384*$C$36*(12*$L34^3/12)*VLOOKUP($C$16,$L$50:$M$54,2)/(5*(AR$48*12)^4)),0)</f>
        <v>154667</v>
      </c>
      <c r="AS73" s="135">
        <f t="shared" si="25"/>
        <v>65250</v>
      </c>
      <c r="AT73" s="135">
        <f t="shared" si="25"/>
        <v>33408</v>
      </c>
      <c r="AU73" s="135">
        <f t="shared" si="25"/>
        <v>19333</v>
      </c>
      <c r="AV73" s="135">
        <f t="shared" si="25"/>
        <v>12175</v>
      </c>
      <c r="AW73" s="135">
        <f t="shared" si="25"/>
        <v>8156</v>
      </c>
      <c r="AX73" s="135">
        <f t="shared" si="25"/>
        <v>5728</v>
      </c>
      <c r="AY73" s="135">
        <f t="shared" si="25"/>
        <v>4176</v>
      </c>
      <c r="AZ73" s="135">
        <f t="shared" si="25"/>
        <v>2417</v>
      </c>
      <c r="BA73" s="135">
        <f t="shared" si="25"/>
        <v>1522</v>
      </c>
    </row>
    <row r="74" spans="1:53" ht="12.75">
      <c r="A74" s="12"/>
      <c r="B74" s="12"/>
      <c r="C74" s="12"/>
      <c r="D74" s="12"/>
      <c r="E74" s="12"/>
      <c r="F74" s="12"/>
      <c r="G74" s="12"/>
      <c r="H74" s="12"/>
      <c r="I74" s="12"/>
      <c r="AP74" s="120">
        <v>64.8</v>
      </c>
      <c r="AQ74" s="123" t="s">
        <v>55</v>
      </c>
      <c r="AR74" s="135">
        <f aca="true" t="shared" si="26" ref="AR74:BA74">ROUND(AR$48*144*(384*$C$36*(12*$L35^3/12)*VLOOKUP($C$16,$L$50:$M$54,2)/(5*(AR$48*12)^4)),0)</f>
        <v>174817</v>
      </c>
      <c r="AS74" s="135">
        <f t="shared" si="26"/>
        <v>73751</v>
      </c>
      <c r="AT74" s="135">
        <f t="shared" si="26"/>
        <v>37760</v>
      </c>
      <c r="AU74" s="135">
        <f t="shared" si="26"/>
        <v>21852</v>
      </c>
      <c r="AV74" s="135">
        <f t="shared" si="26"/>
        <v>13761</v>
      </c>
      <c r="AW74" s="135">
        <f t="shared" si="26"/>
        <v>9219</v>
      </c>
      <c r="AX74" s="135">
        <f t="shared" si="26"/>
        <v>6475</v>
      </c>
      <c r="AY74" s="135">
        <f t="shared" si="26"/>
        <v>4720</v>
      </c>
      <c r="AZ74" s="135">
        <f t="shared" si="26"/>
        <v>2732</v>
      </c>
      <c r="BA74" s="135">
        <f t="shared" si="26"/>
        <v>1720</v>
      </c>
    </row>
    <row r="75" spans="1:53" ht="12.75">
      <c r="A75" s="12"/>
      <c r="B75" s="12"/>
      <c r="C75" s="12"/>
      <c r="D75" s="12"/>
      <c r="E75" s="12"/>
      <c r="F75" s="12"/>
      <c r="G75" s="12"/>
      <c r="H75" s="12"/>
      <c r="I75" s="12"/>
      <c r="AP75" s="120">
        <v>67.35</v>
      </c>
      <c r="AQ75" s="123" t="s">
        <v>56</v>
      </c>
      <c r="AR75" s="135">
        <f aca="true" t="shared" si="27" ref="AR75:BA75">ROUND(AR$48*144*(384*$C$36*(12*$L36^3/12)*VLOOKUP($C$16,$L$50:$M$54,2)/(5*(AR$48*12)^4)),0)</f>
        <v>196645</v>
      </c>
      <c r="AS75" s="135">
        <f t="shared" si="27"/>
        <v>82960</v>
      </c>
      <c r="AT75" s="135">
        <f t="shared" si="27"/>
        <v>42475</v>
      </c>
      <c r="AU75" s="135">
        <f t="shared" si="27"/>
        <v>24581</v>
      </c>
      <c r="AV75" s="135">
        <f t="shared" si="27"/>
        <v>15479</v>
      </c>
      <c r="AW75" s="135">
        <f t="shared" si="27"/>
        <v>10370</v>
      </c>
      <c r="AX75" s="135">
        <f t="shared" si="27"/>
        <v>7283</v>
      </c>
      <c r="AY75" s="135">
        <f t="shared" si="27"/>
        <v>5309</v>
      </c>
      <c r="AZ75" s="135">
        <f t="shared" si="27"/>
        <v>3073</v>
      </c>
      <c r="BA75" s="135">
        <f t="shared" si="27"/>
        <v>1935</v>
      </c>
    </row>
    <row r="76" spans="1:53" ht="12.75">
      <c r="A76" s="12"/>
      <c r="B76" s="12"/>
      <c r="C76" s="12"/>
      <c r="D76" s="12"/>
      <c r="E76" s="12"/>
      <c r="F76" s="12"/>
      <c r="G76" s="12"/>
      <c r="H76" s="12"/>
      <c r="I76" s="12"/>
      <c r="AP76" s="120">
        <v>69.9</v>
      </c>
      <c r="AQ76" s="123" t="s">
        <v>57</v>
      </c>
      <c r="AR76" s="135">
        <f aca="true" t="shared" si="28" ref="AR76:BA76">ROUND(AR$48*144*(384*$C$36*(12*$L37^3/12)*VLOOKUP($C$16,$L$50:$M$54,2)/(5*(AR$48*12)^4)),0)</f>
        <v>220219</v>
      </c>
      <c r="AS76" s="135">
        <f t="shared" si="28"/>
        <v>92905</v>
      </c>
      <c r="AT76" s="135">
        <f t="shared" si="28"/>
        <v>47567</v>
      </c>
      <c r="AU76" s="135">
        <f t="shared" si="28"/>
        <v>27527</v>
      </c>
      <c r="AV76" s="135">
        <f t="shared" si="28"/>
        <v>17335</v>
      </c>
      <c r="AW76" s="135">
        <f t="shared" si="28"/>
        <v>11613</v>
      </c>
      <c r="AX76" s="135">
        <f t="shared" si="28"/>
        <v>8156</v>
      </c>
      <c r="AY76" s="135">
        <f t="shared" si="28"/>
        <v>5946</v>
      </c>
      <c r="AZ76" s="135">
        <f t="shared" si="28"/>
        <v>3441</v>
      </c>
      <c r="BA76" s="135">
        <f t="shared" si="28"/>
        <v>2167</v>
      </c>
    </row>
    <row r="77" spans="1:53" ht="12.75">
      <c r="A77" s="12"/>
      <c r="B77" s="12"/>
      <c r="C77" s="12"/>
      <c r="D77" s="12"/>
      <c r="E77" s="12"/>
      <c r="F77" s="12"/>
      <c r="G77" s="12"/>
      <c r="H77" s="12"/>
      <c r="I77" s="12"/>
      <c r="AP77" s="120">
        <v>72.45</v>
      </c>
      <c r="AQ77" s="123" t="s">
        <v>58</v>
      </c>
      <c r="AR77" s="135">
        <f aca="true" t="shared" si="29" ref="AR77:BA77">ROUND(AR$48*144*(384*$C$36*(12*$L38^3/12)*VLOOKUP($C$16,$L$50:$M$54,2)/(5*(AR$48*12)^4)),0)</f>
        <v>245605</v>
      </c>
      <c r="AS77" s="135">
        <f t="shared" si="29"/>
        <v>103615</v>
      </c>
      <c r="AT77" s="135">
        <f t="shared" si="29"/>
        <v>53051</v>
      </c>
      <c r="AU77" s="135">
        <f t="shared" si="29"/>
        <v>30701</v>
      </c>
      <c r="AV77" s="135">
        <f t="shared" si="29"/>
        <v>19333</v>
      </c>
      <c r="AW77" s="135">
        <f t="shared" si="29"/>
        <v>12952</v>
      </c>
      <c r="AX77" s="135">
        <f t="shared" si="29"/>
        <v>9096</v>
      </c>
      <c r="AY77" s="135">
        <f t="shared" si="29"/>
        <v>6631</v>
      </c>
      <c r="AZ77" s="135">
        <f t="shared" si="29"/>
        <v>3838</v>
      </c>
      <c r="BA77" s="135">
        <f t="shared" si="29"/>
        <v>2417</v>
      </c>
    </row>
    <row r="78" spans="1:53" ht="12.75">
      <c r="A78" s="12"/>
      <c r="B78" s="12"/>
      <c r="C78" s="12"/>
      <c r="D78" s="12"/>
      <c r="E78" s="12"/>
      <c r="F78" s="12"/>
      <c r="G78" s="12"/>
      <c r="H78" s="12"/>
      <c r="I78" s="12"/>
      <c r="AP78" s="120">
        <v>75</v>
      </c>
      <c r="AQ78" s="123" t="s">
        <v>59</v>
      </c>
      <c r="AR78" s="135">
        <f aca="true" t="shared" si="30" ref="AR78:BA78">ROUND(AR$48*144*(384*$C$36*(12*$L39^3/12)*VLOOKUP($C$16,$L$50:$M$54,2)/(5*(AR$48*12)^4)),0)</f>
        <v>272871</v>
      </c>
      <c r="AS78" s="135">
        <f t="shared" si="30"/>
        <v>115117</v>
      </c>
      <c r="AT78" s="135">
        <f t="shared" si="30"/>
        <v>58940</v>
      </c>
      <c r="AU78" s="135">
        <f t="shared" si="30"/>
        <v>34109</v>
      </c>
      <c r="AV78" s="135">
        <f t="shared" si="30"/>
        <v>21480</v>
      </c>
      <c r="AW78" s="135">
        <f t="shared" si="30"/>
        <v>14390</v>
      </c>
      <c r="AX78" s="135">
        <f t="shared" si="30"/>
        <v>10106</v>
      </c>
      <c r="AY78" s="135">
        <f t="shared" si="30"/>
        <v>7368</v>
      </c>
      <c r="AZ78" s="135">
        <f t="shared" si="30"/>
        <v>4264</v>
      </c>
      <c r="BA78" s="135">
        <f t="shared" si="30"/>
        <v>2685</v>
      </c>
    </row>
    <row r="79" spans="1:53" ht="12.75">
      <c r="A79" s="12"/>
      <c r="B79" s="12"/>
      <c r="C79" s="12"/>
      <c r="D79" s="12"/>
      <c r="E79" s="12"/>
      <c r="F79" s="12"/>
      <c r="G79" s="12"/>
      <c r="H79" s="12"/>
      <c r="I79" s="12"/>
      <c r="AP79" s="120">
        <v>77.55</v>
      </c>
      <c r="AQ79" s="123" t="s">
        <v>60</v>
      </c>
      <c r="AR79" s="135">
        <f aca="true" t="shared" si="31" ref="AR79:BA79">ROUND(AR$48*144*(384*$C$36*(12*$L40^3/12)*VLOOKUP($C$16,$L$50:$M$54,2)/(5*(AR$48*12)^4)),0)</f>
        <v>302083</v>
      </c>
      <c r="AS79" s="135">
        <f t="shared" si="31"/>
        <v>127441</v>
      </c>
      <c r="AT79" s="135">
        <f t="shared" si="31"/>
        <v>65250</v>
      </c>
      <c r="AU79" s="135">
        <f t="shared" si="31"/>
        <v>37760</v>
      </c>
      <c r="AV79" s="135">
        <f t="shared" si="31"/>
        <v>23779</v>
      </c>
      <c r="AW79" s="135">
        <f t="shared" si="31"/>
        <v>15930</v>
      </c>
      <c r="AX79" s="135">
        <f t="shared" si="31"/>
        <v>11188</v>
      </c>
      <c r="AY79" s="135">
        <f t="shared" si="31"/>
        <v>8156</v>
      </c>
      <c r="AZ79" s="135">
        <f t="shared" si="31"/>
        <v>4720</v>
      </c>
      <c r="BA79" s="135">
        <f t="shared" si="31"/>
        <v>2972</v>
      </c>
    </row>
    <row r="80" spans="1:53" ht="12.75">
      <c r="A80" s="12"/>
      <c r="B80" s="12"/>
      <c r="C80" s="12"/>
      <c r="D80" s="12"/>
      <c r="E80" s="12"/>
      <c r="F80" s="12"/>
      <c r="G80" s="12"/>
      <c r="H80" s="12"/>
      <c r="I80" s="12"/>
      <c r="AP80" s="120">
        <v>80.1</v>
      </c>
      <c r="AQ80" s="123" t="s">
        <v>61</v>
      </c>
      <c r="AR80" s="135">
        <f aca="true" t="shared" si="32" ref="AR80:BA80">ROUND(AR$48*144*(384*$C$36*(12*$L41^3/12)*VLOOKUP($C$16,$L$50:$M$54,2)/(5*(AR$48*12)^4)),0)</f>
        <v>333310</v>
      </c>
      <c r="AS80" s="135">
        <f t="shared" si="32"/>
        <v>140615</v>
      </c>
      <c r="AT80" s="135">
        <f t="shared" si="32"/>
        <v>71995</v>
      </c>
      <c r="AU80" s="135">
        <f t="shared" si="32"/>
        <v>41664</v>
      </c>
      <c r="AV80" s="135">
        <f t="shared" si="32"/>
        <v>26237</v>
      </c>
      <c r="AW80" s="135">
        <f t="shared" si="32"/>
        <v>17577</v>
      </c>
      <c r="AX80" s="135">
        <f t="shared" si="32"/>
        <v>12345</v>
      </c>
      <c r="AY80" s="135">
        <f t="shared" si="32"/>
        <v>8999</v>
      </c>
      <c r="AZ80" s="135">
        <f t="shared" si="32"/>
        <v>5208</v>
      </c>
      <c r="BA80" s="135">
        <f t="shared" si="32"/>
        <v>3280</v>
      </c>
    </row>
    <row r="81" spans="1:53" ht="12.75">
      <c r="A81" s="12"/>
      <c r="B81" s="12"/>
      <c r="C81" s="12"/>
      <c r="D81" s="12"/>
      <c r="E81" s="12"/>
      <c r="F81" s="12"/>
      <c r="G81" s="12"/>
      <c r="H81" s="12"/>
      <c r="I81" s="12"/>
      <c r="AP81" s="243">
        <v>82.65</v>
      </c>
      <c r="AQ81" s="244" t="s">
        <v>40</v>
      </c>
      <c r="AR81" s="136">
        <f aca="true" t="shared" si="33" ref="AR81:BA81">ROUND(AR$48*144*(384*$C$36*(12*$L42^3/12)*VLOOKUP($C$16,$L$50:$M$54,2)/(5*(AR$48*12)^4)),0)</f>
        <v>366617</v>
      </c>
      <c r="AS81" s="136">
        <f t="shared" si="33"/>
        <v>154667</v>
      </c>
      <c r="AT81" s="136">
        <f t="shared" si="33"/>
        <v>79189</v>
      </c>
      <c r="AU81" s="136">
        <f t="shared" si="33"/>
        <v>45827</v>
      </c>
      <c r="AV81" s="136">
        <f t="shared" si="33"/>
        <v>28859</v>
      </c>
      <c r="AW81" s="136">
        <f t="shared" si="33"/>
        <v>19333</v>
      </c>
      <c r="AX81" s="136">
        <f t="shared" si="33"/>
        <v>13578</v>
      </c>
      <c r="AY81" s="136">
        <f t="shared" si="33"/>
        <v>9899</v>
      </c>
      <c r="AZ81" s="136">
        <f t="shared" si="33"/>
        <v>5728</v>
      </c>
      <c r="BA81" s="136">
        <f t="shared" si="33"/>
        <v>3607</v>
      </c>
    </row>
    <row r="82" spans="1:9" ht="12.75">
      <c r="A82" s="12"/>
      <c r="B82" s="12"/>
      <c r="C82" s="12"/>
      <c r="D82" s="12"/>
      <c r="E82" s="12"/>
      <c r="F82" s="12"/>
      <c r="G82" s="12"/>
      <c r="H82" s="12"/>
      <c r="I82" s="12"/>
    </row>
    <row r="83" spans="1:9" ht="12.75">
      <c r="A83" s="12"/>
      <c r="B83" s="12"/>
      <c r="C83" s="12"/>
      <c r="D83" s="12"/>
      <c r="E83" s="12"/>
      <c r="F83" s="12"/>
      <c r="G83" s="12"/>
      <c r="H83" s="12"/>
      <c r="I83" s="12"/>
    </row>
    <row r="84" spans="1:9" ht="12.75">
      <c r="A84" s="12"/>
      <c r="B84" s="12"/>
      <c r="C84" s="12"/>
      <c r="D84" s="12"/>
      <c r="E84" s="12"/>
      <c r="F84" s="12"/>
      <c r="G84" s="12"/>
      <c r="H84" s="12"/>
      <c r="I84" s="12"/>
    </row>
    <row r="85" spans="1:9" ht="12.75">
      <c r="A85" s="12"/>
      <c r="B85" s="12"/>
      <c r="C85" s="12"/>
      <c r="D85" s="12"/>
      <c r="E85" s="12"/>
      <c r="F85" s="12"/>
      <c r="G85" s="12"/>
      <c r="H85" s="12"/>
      <c r="I85" s="12"/>
    </row>
    <row r="86" spans="1:9" ht="12.75">
      <c r="A86" s="12"/>
      <c r="B86" s="12"/>
      <c r="C86" s="12"/>
      <c r="D86" s="12"/>
      <c r="E86" s="12"/>
      <c r="F86" s="12"/>
      <c r="G86" s="12"/>
      <c r="H86" s="12"/>
      <c r="I86" s="12"/>
    </row>
    <row r="87" spans="1:9" ht="12.75">
      <c r="A87" s="12"/>
      <c r="B87" s="12"/>
      <c r="C87" s="12"/>
      <c r="D87" s="12"/>
      <c r="E87" s="12"/>
      <c r="F87" s="12"/>
      <c r="G87" s="12"/>
      <c r="H87" s="12"/>
      <c r="I87" s="12"/>
    </row>
    <row r="88" spans="1:9" ht="12.75">
      <c r="A88" s="12"/>
      <c r="B88" s="12"/>
      <c r="C88" s="12"/>
      <c r="D88" s="12"/>
      <c r="E88" s="12"/>
      <c r="F88" s="12"/>
      <c r="G88" s="12"/>
      <c r="H88" s="12"/>
      <c r="I88" s="12"/>
    </row>
    <row r="89" spans="1:9" ht="12.75">
      <c r="A89" s="12"/>
      <c r="B89" s="12"/>
      <c r="C89" s="12"/>
      <c r="D89" s="12"/>
      <c r="E89" s="12"/>
      <c r="F89" s="12"/>
      <c r="G89" s="12"/>
      <c r="H89" s="12"/>
      <c r="I89" s="12"/>
    </row>
    <row r="90" spans="1:9" ht="12.75">
      <c r="A90" s="12"/>
      <c r="B90" s="12"/>
      <c r="C90" s="12"/>
      <c r="D90" s="12"/>
      <c r="E90" s="12"/>
      <c r="F90" s="12"/>
      <c r="G90" s="12"/>
      <c r="H90" s="12"/>
      <c r="I90" s="12"/>
    </row>
    <row r="91" spans="1:9" ht="12.75">
      <c r="A91" s="12"/>
      <c r="B91" s="12"/>
      <c r="C91" s="12"/>
      <c r="D91" s="12"/>
      <c r="E91" s="12"/>
      <c r="F91" s="12"/>
      <c r="G91" s="12"/>
      <c r="H91" s="12"/>
      <c r="I91" s="12"/>
    </row>
    <row r="92" spans="1:9" ht="12.75">
      <c r="A92" s="12"/>
      <c r="B92" s="12"/>
      <c r="C92" s="12"/>
      <c r="D92" s="12"/>
      <c r="E92" s="12"/>
      <c r="F92" s="12"/>
      <c r="G92" s="12"/>
      <c r="H92" s="12"/>
      <c r="I92" s="12"/>
    </row>
    <row r="93" spans="1:9" ht="12.75">
      <c r="A93" s="12"/>
      <c r="B93" s="12"/>
      <c r="C93" s="12"/>
      <c r="D93" s="12"/>
      <c r="E93" s="12"/>
      <c r="F93" s="12"/>
      <c r="G93" s="12"/>
      <c r="H93" s="12"/>
      <c r="I93" s="12"/>
    </row>
    <row r="94" spans="1:9" ht="12.75">
      <c r="A94" s="12"/>
      <c r="B94" s="12"/>
      <c r="C94" s="12"/>
      <c r="D94" s="12"/>
      <c r="E94" s="12"/>
      <c r="F94" s="12"/>
      <c r="G94" s="12"/>
      <c r="H94" s="12"/>
      <c r="I94" s="12"/>
    </row>
    <row r="95" spans="1:9" ht="12.75">
      <c r="A95" s="12"/>
      <c r="B95" s="12"/>
      <c r="C95" s="12"/>
      <c r="D95" s="12"/>
      <c r="E95" s="12"/>
      <c r="F95" s="12"/>
      <c r="G95" s="12"/>
      <c r="H95" s="12"/>
      <c r="I95" s="16"/>
    </row>
    <row r="96" spans="1:9" ht="12.75">
      <c r="A96" s="12"/>
      <c r="B96" s="12"/>
      <c r="C96" s="12"/>
      <c r="D96" s="12"/>
      <c r="E96" s="12"/>
      <c r="F96" s="12"/>
      <c r="G96" s="12"/>
      <c r="H96" s="16"/>
      <c r="I96" s="46"/>
    </row>
    <row r="97" spans="1:9" ht="12.75">
      <c r="A97" s="12"/>
      <c r="B97" s="12"/>
      <c r="C97" s="12"/>
      <c r="D97" s="12"/>
      <c r="E97" s="12"/>
      <c r="F97" s="12"/>
      <c r="G97" s="12"/>
      <c r="H97" s="16"/>
      <c r="I97" s="47"/>
    </row>
    <row r="98" spans="1:9" ht="12.75">
      <c r="A98" s="12"/>
      <c r="B98" s="12"/>
      <c r="C98" s="12"/>
      <c r="D98" s="12"/>
      <c r="E98" s="12"/>
      <c r="F98" s="12"/>
      <c r="G98" s="12"/>
      <c r="H98" s="12"/>
      <c r="I98" s="12"/>
    </row>
    <row r="99" spans="1:9" ht="12.75">
      <c r="A99" s="12"/>
      <c r="B99" s="12"/>
      <c r="C99" s="12"/>
      <c r="D99" s="12"/>
      <c r="E99" s="12"/>
      <c r="F99" s="12"/>
      <c r="G99" s="12"/>
      <c r="H99" s="12"/>
      <c r="I99" s="12"/>
    </row>
    <row r="100" spans="1:9" ht="12.75">
      <c r="A100" s="12"/>
      <c r="B100" s="12"/>
      <c r="C100" s="12"/>
      <c r="D100" s="12"/>
      <c r="E100" s="12"/>
      <c r="F100" s="12"/>
      <c r="G100" s="12"/>
      <c r="H100" s="12"/>
      <c r="I100" s="12"/>
    </row>
  </sheetData>
  <sheetProtection sheet="1" objects="1" scenarios="1"/>
  <conditionalFormatting sqref="E51">
    <cfRule type="cellIs" priority="1" dxfId="0" operator="notEqual" stopIfTrue="1">
      <formula>"OK"</formula>
    </cfRule>
  </conditionalFormatting>
  <dataValidations count="8">
    <dataValidation type="decimal" operator="greaterThan" allowBlank="1" showInputMessage="1" showErrorMessage="1" prompt="The short direction span of plate (S) must be &lt;=  long direction span of plate (L).&#10;Note: To simulate one-way action for floor plate, input a minimum value of S &lt;= (1/8)*L." sqref="C9">
      <formula1>0</formula1>
    </dataValidation>
    <dataValidation type="decimal" operator="greaterThan" allowBlank="1" showInputMessage="1" showErrorMessage="1" prompt="The long direction span of plate (L) must be &gt;=  short direction span of plate (S).&#10;Note: To simulate one-way action for floor plate, input a minimum value of L &gt;= 8*S." sqref="C10">
      <formula1>0</formula1>
    </dataValidation>
    <dataValidation type="list" allowBlank="1" showInputMessage="1" showErrorMessage="1" prompt="Note: an allowable deflection ratio of 1/100 of span (S) was used to define area above and to right of the &quot;bold, stepped&quot; line (area shaded in &quot;pink&quot;) in AISC Floor Plate Bending Capacity Table at right (AISC Manual, Fourth Impression 9/00). " sqref="C16">
      <formula1>$L$50:$L$54</formula1>
    </dataValidation>
    <dataValidation type="list" allowBlank="1" showInputMessage="1" showErrorMessage="1" prompt="Checkered floor plate is commonly specified as ASTM A786, which is generally a commercial grade steel with no defined strength level.  Thus, a conservatively assumed value of Fb(allow) = 16.0 ksi allows for a very low strength level material." sqref="C15">
      <formula1>$L$8:$L$9</formula1>
    </dataValidation>
    <dataValidation type="list" operator="greaterThan" allowBlank="1" showInputMessage="1" showErrorMessage="1" sqref="C11">
      <formula1>$L$12:$L$42</formula1>
    </dataValidation>
    <dataValidation type="decimal" operator="greaterThanOrEqual" allowBlank="1" showInputMessage="1" showErrorMessage="1" sqref="C12">
      <formula1>0</formula1>
    </dataValidation>
    <dataValidation type="list" allowBlank="1" showInputMessage="1" showErrorMessage="1" prompt="Note: if the user wishes to compare/verify results for one-way condition (L&gt;=8*S) bending stress calculated from formulas below against values in AISC Floor Plate Bending Capacity Table at right, then a value of Fy = 21.33 ksi should be selected." sqref="C14">
      <formula1>$L$44:$L$48</formula1>
    </dataValidation>
    <dataValidation type="list" allowBlank="1" showInputMessage="1" showErrorMessage="1" sqref="C13">
      <formula1>$L$6:$L$7</formula1>
    </dataValidation>
  </dataValidations>
  <printOptions/>
  <pageMargins left="1" right="0.5" top="1" bottom="1" header="0.5" footer="0.5"/>
  <pageSetup horizontalDpi="600" verticalDpi="600" orientation="portrait" scale="94" r:id="rId4"/>
  <headerFooter alignWithMargins="0">
    <oddHeader>&amp;R"FLRPLATE.xls" Program
Version 1.6</oddHeader>
    <oddFooter>&amp;C&amp;P of &amp;N&amp;R&amp;D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"FLRPLATE" Program</dc:title>
  <dc:subject/>
  <dc:creator>Alex Tomanovich, P.E. - 151 Shadow Lane, Lyman SC 29365 - Home: 864-968-2699 - Email: ATomanovich@bellsouth.net</dc:creator>
  <cp:keywords/>
  <dc:description>Steel Checkered Floor Plate Design</dc:description>
  <cp:lastModifiedBy> </cp:lastModifiedBy>
  <cp:lastPrinted>2013-04-11T15:10:11Z</cp:lastPrinted>
  <dcterms:created xsi:type="dcterms:W3CDTF">1999-11-22T20:04:47Z</dcterms:created>
  <dcterms:modified xsi:type="dcterms:W3CDTF">2013-05-01T11:01:39Z</dcterms:modified>
  <cp:category>Structural Engineering Analysis/Design</cp:category>
  <cp:version/>
  <cp:contentType/>
  <cp:contentStatus/>
</cp:coreProperties>
</file>