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00" windowHeight="8505" tabRatio="885" activeTab="0"/>
  </bookViews>
  <sheets>
    <sheet name="Doc" sheetId="1" r:id="rId1"/>
    <sheet name="Pole Fdn (Czerniak)" sheetId="2" r:id="rId2"/>
    <sheet name="Pole Fdn (IBC)" sheetId="3" r:id="rId3"/>
    <sheet name="Pole Fdn (OAAA)" sheetId="4" r:id="rId4"/>
    <sheet name="Granular Soil (Teng)" sheetId="5" r:id="rId5"/>
    <sheet name="Cohesive Soil (Teng)" sheetId="6" r:id="rId6"/>
  </sheets>
  <definedNames>
    <definedName name="_xlnm.Print_Area" localSheetId="5">'Cohesive Soil (Teng)'!$A$1:$I$104</definedName>
    <definedName name="_xlnm.Print_Area" localSheetId="0">'Doc'!$A$1:$J$98</definedName>
    <definedName name="_xlnm.Print_Area" localSheetId="4">'Granular Soil (Teng)'!$A$1:$I$104</definedName>
    <definedName name="_xlnm.Print_Area" localSheetId="1">'Pole Fdn (Czerniak)'!$A$1:$I$104</definedName>
    <definedName name="_xlnm.Print_Area" localSheetId="2">'Pole Fdn (IBC)'!$A$1:$I$52</definedName>
    <definedName name="_xlnm.Print_Area" localSheetId="3">'Pole Fdn (OAAA)'!$A$1:$I$52</definedName>
  </definedNames>
  <calcPr fullCalcOnLoad="1"/>
</workbook>
</file>

<file path=xl/comments2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2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comments3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2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comments4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2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comments5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2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comments6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2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sharedStrings.xml><?xml version="1.0" encoding="utf-8"?>
<sst xmlns="http://schemas.openxmlformats.org/spreadsheetml/2006/main" count="887" uniqueCount="343">
  <si>
    <t>Input Data:</t>
  </si>
  <si>
    <t>Job Name:</t>
  </si>
  <si>
    <t>Job Number:</t>
  </si>
  <si>
    <t>ft.</t>
  </si>
  <si>
    <t>Pier Height Above Soil, h1 =</t>
  </si>
  <si>
    <t>Axial Load, Pv =</t>
  </si>
  <si>
    <t>Horizontal Load, Ph =</t>
  </si>
  <si>
    <t>kips</t>
  </si>
  <si>
    <t>Distance from Ph to Top/Pier, H =</t>
  </si>
  <si>
    <t>ft-kips</t>
  </si>
  <si>
    <t>Externally Applied Moment, M =</t>
  </si>
  <si>
    <t>CALCULATIONS:</t>
  </si>
  <si>
    <t>Mo =</t>
  </si>
  <si>
    <t>ksf</t>
  </si>
  <si>
    <t>Af =</t>
  </si>
  <si>
    <t>ft.^2</t>
  </si>
  <si>
    <t>kcf</t>
  </si>
  <si>
    <t>Subjected Vertical Load, Horizontal Load, and/or Moment</t>
  </si>
  <si>
    <t>L =</t>
  </si>
  <si>
    <t>Ho =</t>
  </si>
  <si>
    <t>kips/ft.</t>
  </si>
  <si>
    <t>Ho = Ph/D</t>
  </si>
  <si>
    <t>E =</t>
  </si>
  <si>
    <t>Iteration #</t>
  </si>
  <si>
    <t>Eqn. Value</t>
  </si>
  <si>
    <t>ksi</t>
  </si>
  <si>
    <t>Ft(allow) =</t>
  </si>
  <si>
    <t>ksf/ft.</t>
  </si>
  <si>
    <t>(largest value &lt;= 0)</t>
  </si>
  <si>
    <t>(smallest value &gt; 0)</t>
  </si>
  <si>
    <t>Trial 'L'</t>
  </si>
  <si>
    <t>Lt =</t>
  </si>
  <si>
    <t>a =</t>
  </si>
  <si>
    <t>M(max) =</t>
  </si>
  <si>
    <t>V(max) =</t>
  </si>
  <si>
    <t>M(max) = Ho*D*L*(E/L+a/2/L-(4*E/L+3)*(a/2/L)^3+(3*E/L+2)*(a/2/L)^4)</t>
  </si>
  <si>
    <t>fc =</t>
  </si>
  <si>
    <t>Fc(allow) =</t>
  </si>
  <si>
    <t>ft =</t>
  </si>
  <si>
    <t>fv =</t>
  </si>
  <si>
    <t>Fv(allow) =</t>
  </si>
  <si>
    <t>Pc =</t>
  </si>
  <si>
    <t>Pc(allow) =</t>
  </si>
  <si>
    <t>Pt =</t>
  </si>
  <si>
    <t>Pt(allow) =</t>
  </si>
  <si>
    <t>psi</t>
  </si>
  <si>
    <t>fa =</t>
  </si>
  <si>
    <t>fb =</t>
  </si>
  <si>
    <t>ft = fb-fa  (tension)</t>
  </si>
  <si>
    <t>fc = fb+fa  (compression)</t>
  </si>
  <si>
    <t>P(bot) =</t>
  </si>
  <si>
    <r>
      <t xml:space="preserve">Af = 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*D^2/4  (pier base area)</t>
    </r>
  </si>
  <si>
    <t>Pier Foundation Diameter, D =</t>
  </si>
  <si>
    <r>
      <t xml:space="preserve">Unit Weight of Soil, 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 xml:space="preserve"> =</t>
    </r>
  </si>
  <si>
    <t>(continued)</t>
  </si>
  <si>
    <t>Concrete Strength, f'c =</t>
  </si>
  <si>
    <t>ft-kips/ft.</t>
  </si>
  <si>
    <t>Wf =</t>
  </si>
  <si>
    <t>Pier Shear and Moment:</t>
  </si>
  <si>
    <t>Pier Embedment and Total Length:</t>
  </si>
  <si>
    <r>
      <t xml:space="preserve">Af = 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*D^2/4  (pier base area)</t>
    </r>
  </si>
  <si>
    <t>Pier Side Soil Pressures:</t>
  </si>
  <si>
    <t>Pier End Bearing Pressure:</t>
  </si>
  <si>
    <t>Pier Plain Concrete Stresses:</t>
  </si>
  <si>
    <r>
      <t>S</t>
    </r>
    <r>
      <rPr>
        <sz val="10"/>
        <color indexed="8"/>
        <rFont val="Arial"/>
        <family val="2"/>
      </rPr>
      <t>Pv =</t>
    </r>
  </si>
  <si>
    <r>
      <t>S</t>
    </r>
    <r>
      <rPr>
        <sz val="10"/>
        <color indexed="12"/>
        <rFont val="Arial"/>
        <family val="2"/>
      </rPr>
      <t>Pv =</t>
    </r>
  </si>
  <si>
    <r>
      <t xml:space="preserve">P(bot) = </t>
    </r>
    <r>
      <rPr>
        <sz val="10"/>
        <color indexed="12"/>
        <rFont val="Symbol"/>
        <family val="1"/>
      </rPr>
      <t>S</t>
    </r>
    <r>
      <rPr>
        <sz val="10"/>
        <color indexed="12"/>
        <rFont val="Arial"/>
        <family val="2"/>
      </rPr>
      <t>Pv/Af</t>
    </r>
  </si>
  <si>
    <r>
      <t xml:space="preserve">P(bot) = 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Pv/Af</t>
    </r>
  </si>
  <si>
    <r>
      <t>fa = (Pv+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*D^2/4*(h1+h2+a/2)*0.15)/(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*(D*12)^2/4)*1000</t>
    </r>
  </si>
  <si>
    <r>
      <t>fb = M(max)*12/(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*(D*12)^3/32)*1000</t>
    </r>
  </si>
  <si>
    <r>
      <t>fa = (Pv+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*D^2/4*(h1+h2+a/2)*0.15)/(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*(D*12)^2/4)*1000</t>
    </r>
  </si>
  <si>
    <r>
      <t>fb = M(max)*12/(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*(D*12)^3/32)*1000</t>
    </r>
  </si>
  <si>
    <t xml:space="preserve">  Combined Compression Stress:</t>
  </si>
  <si>
    <t xml:space="preserve">  Combined Tension Stress:</t>
  </si>
  <si>
    <t xml:space="preserve">  Shear Stress:</t>
  </si>
  <si>
    <t xml:space="preserve">  Axial Compressive Stress:</t>
  </si>
  <si>
    <t xml:space="preserve">  Flexural Tension/Compression Stress:</t>
  </si>
  <si>
    <t xml:space="preserve">  Maximum Moment:</t>
  </si>
  <si>
    <t>(located at distance = a, from top of resisting surface)</t>
  </si>
  <si>
    <t>(located at distance = a/2, from top of resisting surface)</t>
  </si>
  <si>
    <t>V(max) = ABS(Ho*D*(1-3*(4*E/L+3)*(a/L)^2+4*(3*E/L+2)*(a/L)^3)</t>
  </si>
  <si>
    <t>Wf = (Af*Lt)*0.150  (pier weight)</t>
  </si>
  <si>
    <t>L/D =</t>
  </si>
  <si>
    <t>L/D &lt;= 10 for valid short, rigid pier analysis</t>
  </si>
  <si>
    <t>Lt = h1+h2+L  (total length)</t>
  </si>
  <si>
    <t>A =</t>
  </si>
  <si>
    <t>Pe =</t>
  </si>
  <si>
    <t>A = 2.34*Pe/(S1*D)</t>
  </si>
  <si>
    <t>S1 =</t>
  </si>
  <si>
    <t>Kp =</t>
  </si>
  <si>
    <t>Pp =</t>
  </si>
  <si>
    <t>Resisting</t>
  </si>
  <si>
    <t>Surface</t>
  </si>
  <si>
    <t>Pier</t>
  </si>
  <si>
    <t>Using UBC Method:</t>
  </si>
  <si>
    <t>Pe = Ph+(M/(H+h1+h2))  ("equivalent total" horizontal load)</t>
  </si>
  <si>
    <t>S1 = Pp/3  (passive pressure at 1/3 embedment depth)</t>
  </si>
  <si>
    <t>POLE FOUNDATION ANALYSIS</t>
  </si>
  <si>
    <t>deg.</t>
  </si>
  <si>
    <r>
      <t xml:space="preserve">Angle of Internal Friction,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</t>
    </r>
  </si>
  <si>
    <r>
      <t>Kp = TAN^2(45+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/2)  (passive pressure coefficient)</t>
    </r>
  </si>
  <si>
    <r>
      <t>Kp = TAN^2(45+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/2)  (passive pressure coefficient)</t>
    </r>
  </si>
  <si>
    <r>
      <t>Pp = 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*L  (passive pressure at bottom of pier)</t>
    </r>
  </si>
  <si>
    <r>
      <t>Pp = 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*L  (passive pressure at bottom of pier)</t>
    </r>
  </si>
  <si>
    <t>L = 1.18*Pe/(D*S1)*(1+SQRT(1+1.88*D*S1*(H+h1+h2)/Pe))</t>
  </si>
  <si>
    <t xml:space="preserve">  Maximum Shear:</t>
  </si>
  <si>
    <t>Pc(allow) = R*(a/2)</t>
  </si>
  <si>
    <t>Pt(allow) = R*L</t>
  </si>
  <si>
    <t>R =</t>
  </si>
  <si>
    <r>
      <t xml:space="preserve">  </t>
    </r>
    <r>
      <rPr>
        <b/>
        <u val="single"/>
        <sz val="10"/>
        <rFont val="Arial"/>
        <family val="2"/>
      </rPr>
      <t>Pier Data:</t>
    </r>
  </si>
  <si>
    <r>
      <t xml:space="preserve">  </t>
    </r>
    <r>
      <rPr>
        <b/>
        <u val="single"/>
        <sz val="10"/>
        <rFont val="Arial"/>
        <family val="2"/>
      </rPr>
      <t>Soil Data:</t>
    </r>
  </si>
  <si>
    <r>
      <t xml:space="preserve">  </t>
    </r>
    <r>
      <rPr>
        <b/>
        <u val="single"/>
        <sz val="10"/>
        <color indexed="8"/>
        <rFont val="Arial"/>
        <family val="2"/>
      </rPr>
      <t>Pier Loadings:</t>
    </r>
  </si>
  <si>
    <r>
      <t>R = 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 xml:space="preserve">  (passive soil resistance/ft. depth)</t>
    </r>
  </si>
  <si>
    <r>
      <t>R = 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 xml:space="preserve">  (passive soil resistance/ft. depth)</t>
    </r>
  </si>
  <si>
    <r>
      <t xml:space="preserve">  </t>
    </r>
    <r>
      <rPr>
        <b/>
        <u val="single"/>
        <sz val="10"/>
        <color indexed="8"/>
        <rFont val="Arial"/>
        <family val="2"/>
      </rPr>
      <t>Pier Embedment and Total Length:</t>
    </r>
  </si>
  <si>
    <r>
      <t xml:space="preserve">  </t>
    </r>
    <r>
      <rPr>
        <b/>
        <u val="single"/>
        <sz val="10"/>
        <color indexed="8"/>
        <rFont val="Arial"/>
        <family val="2"/>
      </rPr>
      <t>Pier Side Soil Pressures:</t>
    </r>
  </si>
  <si>
    <r>
      <t xml:space="preserve">  </t>
    </r>
    <r>
      <rPr>
        <b/>
        <u val="single"/>
        <sz val="10"/>
        <color indexed="8"/>
        <rFont val="Arial"/>
        <family val="2"/>
      </rPr>
      <t>Pier End Bearing Pressure:</t>
    </r>
  </si>
  <si>
    <r>
      <t xml:space="preserve">  </t>
    </r>
    <r>
      <rPr>
        <b/>
        <u val="single"/>
        <sz val="10"/>
        <rFont val="Arial"/>
        <family val="2"/>
      </rPr>
      <t>Pier Shear and Moment:</t>
    </r>
  </si>
  <si>
    <r>
      <t xml:space="preserve">  </t>
    </r>
    <r>
      <rPr>
        <b/>
        <u val="single"/>
        <sz val="10"/>
        <color indexed="8"/>
        <rFont val="Arial"/>
        <family val="2"/>
      </rPr>
      <t>Pier Plain Concrete Stresses:</t>
    </r>
  </si>
  <si>
    <t xml:space="preserve">    Maximum Shear:</t>
  </si>
  <si>
    <t xml:space="preserve">    Maximum Moment:</t>
  </si>
  <si>
    <t xml:space="preserve">    Axial Compressive Stress:</t>
  </si>
  <si>
    <t xml:space="preserve">    Flexural Tension/Compression Stress:</t>
  </si>
  <si>
    <t xml:space="preserve">    Combined Compression Stress:</t>
  </si>
  <si>
    <t xml:space="preserve">    Combined Tension Stress:</t>
  </si>
  <si>
    <t xml:space="preserve">    Shear Stress:</t>
  </si>
  <si>
    <t>a = L*(4*E/L+3)/(6*E/L+4)  ("pivot" point from top of resisting surface)</t>
  </si>
  <si>
    <t>Depth to Resisting Surface, h2 =</t>
  </si>
  <si>
    <t>Allow. Soil Bearing Pressure, Pa =</t>
  </si>
  <si>
    <t>Mo = (M+Ph*(H+h1+h2))/D</t>
  </si>
  <si>
    <t>E = Mo/Ho</t>
  </si>
  <si>
    <t>Checker:</t>
  </si>
  <si>
    <t>Originator:</t>
  </si>
  <si>
    <t>Subject: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</si>
  <si>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</si>
  <si>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</si>
  <si>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</si>
  <si>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</si>
  <si>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</si>
  <si>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</si>
  <si>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 xml:space="preserve">assuming the use of a rigid round pier which is assumed free (unrestrained) at the top and subjected to lateral </t>
  </si>
  <si>
    <t>concrete stresses, and the soil bearing pressures are calculated.</t>
  </si>
  <si>
    <t xml:space="preserve">      associated eccentricity which results in an additional overturning moment which is always assumed to add</t>
  </si>
  <si>
    <t xml:space="preserve">      directly to the overturning moment produced by the horizontal load.</t>
  </si>
  <si>
    <t xml:space="preserve">      for any weak soil or any soil which may be removed at the top.</t>
  </si>
  <si>
    <t xml:space="preserve">      program assumes that the pier acts in direct end bearing to resist only the vertical loading.  The bottom of </t>
  </si>
  <si>
    <t xml:space="preserve">      pier bearing pressure is calculated, which includes the self-weight of the pier, assumed at 0.150 kcf for the </t>
  </si>
  <si>
    <t xml:space="preserve">      concrete.</t>
  </si>
  <si>
    <t>Determine embedment length, 'L':</t>
  </si>
  <si>
    <t>Using "USS" Method:</t>
  </si>
  <si>
    <t>Blows/Foot (Penetrometer), N =</t>
  </si>
  <si>
    <t>Overload Factor, OLF =</t>
  </si>
  <si>
    <t>Ho = Ph*OLF</t>
  </si>
  <si>
    <t>Mo = (M+Ph*(H+h1+h2))*OLF</t>
  </si>
  <si>
    <t>Soil Parameters:</t>
  </si>
  <si>
    <r>
      <t>f</t>
    </r>
    <r>
      <rPr>
        <sz val="10"/>
        <color indexed="12"/>
        <rFont val="Arial"/>
        <family val="2"/>
      </rPr>
      <t xml:space="preserve"> =</t>
    </r>
  </si>
  <si>
    <r>
      <t>f</t>
    </r>
    <r>
      <rPr>
        <sz val="10"/>
        <color indexed="12"/>
        <rFont val="Arial"/>
        <family val="2"/>
      </rPr>
      <t xml:space="preserve"> = 28.5+N/4  (angle of internal friction)</t>
    </r>
  </si>
  <si>
    <r>
      <t>Kp = TAN(45+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/2)^2  (passive soil pressure  coefficient)</t>
    </r>
  </si>
  <si>
    <r>
      <t>Kp = TAN^2(45+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/2)  (passive soil pressure coefficient)</t>
    </r>
  </si>
  <si>
    <r>
      <t>Kp = TAN^2(45+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/2)  (passive soil pressure coefficient)</t>
    </r>
  </si>
  <si>
    <r>
      <t>L = solution of cubic equation: L^3-2*Ho*L/(Kp*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*D)-2*Mo/(Kp*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*D)=0</t>
    </r>
  </si>
  <si>
    <r>
      <t>S</t>
    </r>
    <r>
      <rPr>
        <sz val="10"/>
        <color indexed="8"/>
        <rFont val="Arial"/>
        <family val="2"/>
      </rPr>
      <t>Pv = Pv+Wf  (total vertical load)</t>
    </r>
  </si>
  <si>
    <r>
      <t>S</t>
    </r>
    <r>
      <rPr>
        <sz val="10"/>
        <color indexed="12"/>
        <rFont val="Arial"/>
        <family val="2"/>
      </rPr>
      <t>Pv = Pv+Wf  (total vertical load)</t>
    </r>
  </si>
  <si>
    <r>
      <t>f</t>
    </r>
    <r>
      <rPr>
        <sz val="10"/>
        <color indexed="8"/>
        <rFont val="Arial"/>
        <family val="2"/>
      </rPr>
      <t xml:space="preserve"> =</t>
    </r>
  </si>
  <si>
    <r>
      <t>f</t>
    </r>
    <r>
      <rPr>
        <sz val="10"/>
        <color indexed="8"/>
        <rFont val="Arial"/>
        <family val="2"/>
      </rPr>
      <t xml:space="preserve"> = 28.5+N/4  (angle of internal friction)</t>
    </r>
  </si>
  <si>
    <r>
      <t>Kp = TAN(45+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/2)^2  (passive soil pressure  coefficient)</t>
    </r>
  </si>
  <si>
    <t>Reference:</t>
  </si>
  <si>
    <t>qu =</t>
  </si>
  <si>
    <t>q =</t>
  </si>
  <si>
    <t>L  =</t>
  </si>
  <si>
    <t>qu = N/4  (unconfined compressive strength of soil)</t>
  </si>
  <si>
    <t>Heff =</t>
  </si>
  <si>
    <t>Heff = Mo/Ho</t>
  </si>
  <si>
    <r>
      <t xml:space="preserve">  </t>
    </r>
    <r>
      <rPr>
        <b/>
        <u val="single"/>
        <sz val="10"/>
        <color indexed="8"/>
        <rFont val="Arial"/>
        <family val="2"/>
      </rPr>
      <t>Granular Soil Parameters:</t>
    </r>
  </si>
  <si>
    <r>
      <t xml:space="preserve">  </t>
    </r>
    <r>
      <rPr>
        <b/>
        <u val="single"/>
        <sz val="10"/>
        <color indexed="8"/>
        <rFont val="Arial"/>
        <family val="2"/>
      </rPr>
      <t>Cohesive Soil Parameters:</t>
    </r>
  </si>
  <si>
    <t xml:space="preserve">  "Tapered Steel Poles - Caisson Foundation Design"</t>
  </si>
  <si>
    <t>c =</t>
  </si>
  <si>
    <t>c = qu/2  (shear strength of soil)</t>
  </si>
  <si>
    <t>Comments:</t>
  </si>
  <si>
    <t>Results:</t>
  </si>
  <si>
    <t>Pole Fdn (Czerniak)</t>
  </si>
  <si>
    <t>Granular Soil (Teng)</t>
  </si>
  <si>
    <t>Cohesive Soil (Teng)</t>
  </si>
  <si>
    <t>Pole Fdn (OAAA)</t>
  </si>
  <si>
    <t>Pole foundation analysis for free-top round piers using OAAA method</t>
  </si>
  <si>
    <t>This program is a workbook consisting of six (6) worksheets, described as follows:</t>
  </si>
  <si>
    <t>For Free-Top Rigid Round Piers Embedded in Cohesive Soil Using USS/Teng Method</t>
  </si>
  <si>
    <t>Pole foundation analysis for free-top round piers using PCA/Czerniak method</t>
  </si>
  <si>
    <t>Pole foundation analysis in granular soil using USS/Teng method</t>
  </si>
  <si>
    <t>Pole foundation analysis in cohesive soil using USS/Teng method</t>
  </si>
  <si>
    <t xml:space="preserve">  Outdoor Advertising Association of America (OAAA) - New York, NY</t>
  </si>
  <si>
    <t xml:space="preserve">and vertical loads.  Specifically, the required embedment depth, the maximum moment and shear, the plain </t>
  </si>
  <si>
    <t xml:space="preserve">      foundation embedment length divided by the foundation diameter &lt;= 10.</t>
  </si>
  <si>
    <t>"Design of Concrete Foundation Piers" - by Frank Randall</t>
  </si>
  <si>
    <t>Portland Cement Association (PCA) - Skokie, IL, May 1968</t>
  </si>
  <si>
    <t>a.</t>
  </si>
  <si>
    <t>"Resistance to Overturning of Single, Short Piles" - by Eli Czerniak</t>
  </si>
  <si>
    <t>ASCE Journal of the Structural Division, Vol. 83, No. ST2, Paper 1188, March 1957</t>
  </si>
  <si>
    <t>b.</t>
  </si>
  <si>
    <t>c.</t>
  </si>
  <si>
    <t>Outdoor Advertising Association of America (OAAA) - New York, NY</t>
  </si>
  <si>
    <t>d.</t>
  </si>
  <si>
    <t>"Tapered Steel Poles - Caisson Foundation Design"</t>
  </si>
  <si>
    <t>Prepared for United States Steel Corporation by Teng and Associates, July 1969</t>
  </si>
  <si>
    <t>e.</t>
  </si>
  <si>
    <t xml:space="preserve">3.  The "Pole Fdn(Czerniak)" worksheet assumes that the foundation is short, rigid, meeting the criteria that the </t>
  </si>
  <si>
    <t xml:space="preserve">      below the resisting  the surface.  The maximum shear in pier is assumed to be at that 'a' distance, while the </t>
  </si>
  <si>
    <t xml:space="preserve">      maximum moment in the pier is assume to be at a distance = 'a/2'.</t>
  </si>
  <si>
    <t xml:space="preserve">      tension, and shear in the pier.  The respective allowable stresses are also determined based on the strength </t>
  </si>
  <si>
    <t xml:space="preserve">      (f'c) of the concrete.  This is done to determine if steel reinforcing is actually required.  However, whether </t>
  </si>
  <si>
    <t xml:space="preserve">      minimum reinforcing is to be used or not is left up to the user.  The allowable tension stress in "plain" concrete </t>
  </si>
  <si>
    <t xml:space="preserve">      is assumed to be equal to 10% of the value of the allowable compressive stress.</t>
  </si>
  <si>
    <t xml:space="preserve">      distances equal to 'a/2' and 'L'.  The respective allowable passive pressures at those locations are determined </t>
  </si>
  <si>
    <t xml:space="preserve">      for comparison.  However, it is left up to the user to determine the adequacy.</t>
  </si>
  <si>
    <t xml:space="preserve">4.  This program will handle both horizontally as well as vertically applied loads.  The vertical load may have an </t>
  </si>
  <si>
    <t>5.  This program assumes that the top of the pier is at or above the top of the ground surface level.</t>
  </si>
  <si>
    <t xml:space="preserve">6.  This program assumes that the actual resisting surface is at or below the ground surface level.  This accounts </t>
  </si>
  <si>
    <t xml:space="preserve">7.  The "Pole Fdn(Czerniak)" worksheet assumes that the rigid pier rotates about a point located at a distance, 'a', </t>
  </si>
  <si>
    <t xml:space="preserve">8.  The "Pole Fdn(Czerniak)" worksheet calculates the "plain" (unreinforced) concrete stresses, compression, </t>
  </si>
  <si>
    <t xml:space="preserve">9.  The "Pole Fdn(Czerniak)" worksheet calculates the actual soil bearing pressures along the side of the pier at </t>
  </si>
  <si>
    <t xml:space="preserve">10.  Since all overturning loads are resisted by the passive pressure against the embedment of the pier, this </t>
  </si>
  <si>
    <t xml:space="preserve">1.  Since there is not a universally accepted method for pole foundation analysis, this program offers up five (5) </t>
  </si>
  <si>
    <t xml:space="preserve">      different methods of determining embedment length for pole foundations.  The "Pole Fdn(Czerniak)" worksheet</t>
  </si>
  <si>
    <t xml:space="preserve">      is the primary method emphasized in this program, since it provides the most detail in overall analysis. </t>
  </si>
  <si>
    <t xml:space="preserve">      However, it does yield the most conservative embedment depth results of all the methods presented.</t>
  </si>
  <si>
    <t>2.  The references used in the different analysis methods in this program are as follows:</t>
  </si>
  <si>
    <t>APPLIED LATERAL LOAD AND RESISTANCE OF POLE/FOUNDATION</t>
  </si>
  <si>
    <t xml:space="preserve">       E</t>
  </si>
  <si>
    <t xml:space="preserve">           a</t>
  </si>
  <si>
    <t xml:space="preserve">           2</t>
  </si>
  <si>
    <t xml:space="preserve">                a</t>
  </si>
  <si>
    <t xml:space="preserve">       L</t>
  </si>
  <si>
    <t xml:space="preserve">                          D</t>
  </si>
  <si>
    <t xml:space="preserve">           R*L</t>
  </si>
  <si>
    <t>Pole/Fdn.</t>
  </si>
  <si>
    <t>Moment</t>
  </si>
  <si>
    <t>Diagram</t>
  </si>
  <si>
    <t>Resisting Surface</t>
  </si>
  <si>
    <t>Ground Line</t>
  </si>
  <si>
    <r>
      <t xml:space="preserve">     M</t>
    </r>
    <r>
      <rPr>
        <sz val="8"/>
        <color indexed="12"/>
        <rFont val="Arial"/>
        <family val="2"/>
      </rPr>
      <t>(max)</t>
    </r>
  </si>
  <si>
    <r>
      <t>P</t>
    </r>
    <r>
      <rPr>
        <sz val="8"/>
        <color indexed="12"/>
        <rFont val="Arial"/>
        <family val="2"/>
      </rPr>
      <t>h</t>
    </r>
  </si>
  <si>
    <r>
      <t xml:space="preserve">     M</t>
    </r>
    <r>
      <rPr>
        <sz val="8"/>
        <color indexed="12"/>
        <rFont val="Arial"/>
        <family val="2"/>
      </rPr>
      <t>o</t>
    </r>
  </si>
  <si>
    <r>
      <t xml:space="preserve">      H</t>
    </r>
    <r>
      <rPr>
        <sz val="8"/>
        <color indexed="12"/>
        <rFont val="Arial"/>
        <family val="2"/>
      </rPr>
      <t>o</t>
    </r>
  </si>
  <si>
    <t>ASCE Journal of the Struct. Div., Vol. 83, No. ST2, Paper 1188, Mar. 1957</t>
  </si>
  <si>
    <r>
      <t xml:space="preserve">              </t>
    </r>
    <r>
      <rPr>
        <b/>
        <u val="single"/>
        <sz val="10"/>
        <color indexed="8"/>
        <rFont val="Arial"/>
        <family val="2"/>
      </rPr>
      <t>Applied</t>
    </r>
  </si>
  <si>
    <r>
      <t xml:space="preserve">                </t>
    </r>
    <r>
      <rPr>
        <b/>
        <u val="single"/>
        <sz val="10"/>
        <color indexed="8"/>
        <rFont val="Arial"/>
        <family val="2"/>
      </rPr>
      <t>Load</t>
    </r>
  </si>
  <si>
    <r>
      <t xml:space="preserve"> </t>
    </r>
    <r>
      <rPr>
        <b/>
        <u val="single"/>
        <sz val="10"/>
        <color indexed="8"/>
        <rFont val="Arial"/>
        <family val="2"/>
      </rPr>
      <t>Rotation</t>
    </r>
  </si>
  <si>
    <r>
      <t xml:space="preserve">    </t>
    </r>
    <r>
      <rPr>
        <b/>
        <u val="single"/>
        <sz val="10"/>
        <color indexed="8"/>
        <rFont val="Arial"/>
        <family val="2"/>
      </rPr>
      <t>Available</t>
    </r>
  </si>
  <si>
    <r>
      <t xml:space="preserve">      </t>
    </r>
    <r>
      <rPr>
        <b/>
        <u val="single"/>
        <sz val="10"/>
        <color indexed="8"/>
        <rFont val="Arial"/>
        <family val="2"/>
      </rPr>
      <t>Diagram</t>
    </r>
  </si>
  <si>
    <r>
      <t xml:space="preserve">          </t>
    </r>
    <r>
      <rPr>
        <b/>
        <u val="single"/>
        <sz val="10"/>
        <color indexed="8"/>
        <rFont val="Arial"/>
        <family val="2"/>
      </rPr>
      <t>Diagram</t>
    </r>
  </si>
  <si>
    <r>
      <t xml:space="preserve">            </t>
    </r>
    <r>
      <rPr>
        <b/>
        <u val="single"/>
        <sz val="10"/>
        <color indexed="8"/>
        <rFont val="Arial"/>
        <family val="2"/>
      </rPr>
      <t>Shear</t>
    </r>
  </si>
  <si>
    <r>
      <t xml:space="preserve">   </t>
    </r>
    <r>
      <rPr>
        <b/>
        <u val="single"/>
        <sz val="10"/>
        <color indexed="8"/>
        <rFont val="Arial"/>
        <family val="2"/>
      </rPr>
      <t>Unit Resist.</t>
    </r>
    <r>
      <rPr>
        <sz val="10"/>
        <color indexed="8"/>
        <rFont val="Arial"/>
        <family val="2"/>
      </rPr>
      <t xml:space="preserve">       </t>
    </r>
    <r>
      <rPr>
        <b/>
        <u val="single"/>
        <sz val="10"/>
        <color indexed="8"/>
        <rFont val="Arial"/>
        <family val="2"/>
      </rPr>
      <t>Pressure</t>
    </r>
  </si>
  <si>
    <t xml:space="preserve">     Ground</t>
  </si>
  <si>
    <t xml:space="preserve">     Line</t>
  </si>
  <si>
    <r>
      <t xml:space="preserve">        V</t>
    </r>
    <r>
      <rPr>
        <sz val="8"/>
        <color indexed="12"/>
        <rFont val="Arial"/>
        <family val="2"/>
      </rPr>
      <t>(max)</t>
    </r>
  </si>
  <si>
    <t xml:space="preserve">     L</t>
  </si>
  <si>
    <t>Embedment depth, L, is solution of:</t>
  </si>
  <si>
    <r>
      <t xml:space="preserve"> 3*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2"/>
      </rPr>
      <t>*Kp*D*L</t>
    </r>
  </si>
  <si>
    <t xml:space="preserve">  Prepared for United States Steel Corp. by Teng and Assoc., July 1969</t>
  </si>
  <si>
    <t>FOUNDATION IN GRANULAR SOIL</t>
  </si>
  <si>
    <t>FOUNDATION IN COHESIVE SOIL</t>
  </si>
  <si>
    <t>L = 1.5*D+q*(1+SQRT(2+(4*Heff+6*D)/q))</t>
  </si>
  <si>
    <t>9*c*D</t>
  </si>
  <si>
    <t xml:space="preserve"> 9*c*D       D</t>
  </si>
  <si>
    <t xml:space="preserve">          1.5*D</t>
  </si>
  <si>
    <t xml:space="preserve">                H2</t>
  </si>
  <si>
    <t xml:space="preserve">                   D</t>
  </si>
  <si>
    <r>
      <t xml:space="preserve">  H</t>
    </r>
    <r>
      <rPr>
        <sz val="8"/>
        <color indexed="12"/>
        <rFont val="Arial"/>
        <family val="2"/>
      </rPr>
      <t>o</t>
    </r>
  </si>
  <si>
    <r>
      <t xml:space="preserve">  M</t>
    </r>
    <r>
      <rPr>
        <sz val="8"/>
        <color indexed="12"/>
        <rFont val="Arial"/>
        <family val="2"/>
      </rPr>
      <t>o</t>
    </r>
  </si>
  <si>
    <t xml:space="preserve">    R</t>
  </si>
  <si>
    <r>
      <t>L^3-2*Ho/(Kp*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2"/>
      </rPr>
      <t>*D)*L-2*Mo/(Kp*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2"/>
      </rPr>
      <t>*D) = 0</t>
    </r>
  </si>
  <si>
    <r>
      <t xml:space="preserve">        P</t>
    </r>
    <r>
      <rPr>
        <sz val="8"/>
        <color indexed="12"/>
        <rFont val="Arial"/>
        <family val="2"/>
      </rPr>
      <t>c</t>
    </r>
    <r>
      <rPr>
        <sz val="9"/>
        <color indexed="12"/>
        <rFont val="Arial"/>
        <family val="2"/>
      </rPr>
      <t xml:space="preserve">    P</t>
    </r>
    <r>
      <rPr>
        <sz val="8"/>
        <color indexed="12"/>
        <rFont val="Arial"/>
        <family val="2"/>
      </rPr>
      <t>t</t>
    </r>
  </si>
  <si>
    <r>
      <t>Ft(allow) = 5*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*SQRT(f'c*1000)/1.6</t>
    </r>
  </si>
  <si>
    <r>
      <t>Fc(allow) = 0.85*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*(f'c*1000)/1.6</t>
    </r>
  </si>
  <si>
    <r>
      <t>Ft(allow) = 5*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*SQRT(f'c*1000)/1.6</t>
    </r>
  </si>
  <si>
    <t>(Plain concrete allowable stresses from ACI 318-02, Chapter 22)</t>
  </si>
  <si>
    <r>
      <t>Fc(allow) = 0.85*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*(f'c*1000)/1.6</t>
    </r>
  </si>
  <si>
    <t>"POLEFDN" --- POLE FOUNDATION ANALYSIS PROGRAM</t>
  </si>
  <si>
    <t xml:space="preserve">"POLEFDN" is a spreadsheet program written in MS-Excel for the purpose of analysis of a pole foundation </t>
  </si>
  <si>
    <t>Nomenclature</t>
  </si>
  <si>
    <t>Applied Lateral Load and Resistance of Pole/Foundation</t>
  </si>
  <si>
    <t>For Free-Top (Unconstrained) Rigid Round Piers Using OAAA Method</t>
  </si>
  <si>
    <t>For Free-Top Rigid Round Piers Embedded in Granular Soil Using USS/Teng Method</t>
  </si>
  <si>
    <r>
      <t>L = solution of cubic equation: L^3-2*Ho*L/(Kp*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*D)-2*Mo/(Kp*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*D)=0</t>
    </r>
  </si>
  <si>
    <r>
      <t xml:space="preserve">  </t>
    </r>
    <r>
      <rPr>
        <b/>
        <u val="single"/>
        <sz val="10"/>
        <color indexed="8"/>
        <rFont val="Arial"/>
        <family val="2"/>
      </rPr>
      <t>Maximum Moment in Pier and Location:</t>
    </r>
  </si>
  <si>
    <t>y =</t>
  </si>
  <si>
    <t>Maximum Moment in Pier and Location:</t>
  </si>
  <si>
    <r>
      <t>M(max) = Ho*(Heff+0.54*SQRT(Ho/(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*D*Kp)))</t>
    </r>
  </si>
  <si>
    <r>
      <t>M(max) = Ho*(Heff+0.54*SQRT(Ho/(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*D*Kp)))</t>
    </r>
  </si>
  <si>
    <t>H1     q</t>
  </si>
  <si>
    <t>M(max) = Ho*(Heff+1.5*D+0.5*q)</t>
  </si>
  <si>
    <t>y = 1.5*D+q (below resisting surface)</t>
  </si>
  <si>
    <t>f.</t>
  </si>
  <si>
    <r>
      <t>y = SQRT(2*Ho/(3*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*D*Kp)) (below resisting surface)</t>
    </r>
  </si>
  <si>
    <r>
      <t>y = SQRT(2*Ho/(3*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*D*Kp)) (below resisting surface)</t>
    </r>
  </si>
  <si>
    <t xml:space="preserve">      to both the "Granular Soil(Teng)" and "Cohesive Soil(Teng)" worksheets.</t>
  </si>
  <si>
    <t xml:space="preserve">AASHTO Publication LTS-5 - Standard Specifications for Structural Supports for Highway </t>
  </si>
  <si>
    <t>Signs, Luminaries, and Traffic Signals (Fifth Edition, 2009)</t>
  </si>
  <si>
    <t>References:</t>
  </si>
  <si>
    <t>1. "Tapered Steel Poles - Caisson Foundation Design"</t>
  </si>
  <si>
    <t xml:space="preserve">2. AASHTO Publication LTS-5 - Standard Specifications for Structural Supports for  </t>
  </si>
  <si>
    <t xml:space="preserve">    Prepared for United States Steel Corporation by Teng and Associates, July 1969</t>
  </si>
  <si>
    <t xml:space="preserve">    Highway Signs, Luminaries, and Traffic Signals (Fifth Edition, 2009)</t>
  </si>
  <si>
    <t xml:space="preserve">      Note:  references "a" and "b" refer to the "Pole Fdn(Czerniak)" worksheet, while references "e" and "f" refer </t>
  </si>
  <si>
    <t>L = 0.5*A*(1+SQRT(1+(4.36*(H+h1+h2)/A)))</t>
  </si>
  <si>
    <t>L = 0.5*A*(1+SQRT(1+(4.36*(H+h1+h2)/A)))   (IBC 2006 Eqn. 18-1)</t>
  </si>
  <si>
    <t>(ksf)</t>
  </si>
  <si>
    <t>(ksf/ft.) (below natural grade)</t>
  </si>
  <si>
    <t>Pba =</t>
  </si>
  <si>
    <t>Pba = allowable lateral bearing pressure/ft. below grade (Table 1804.2)</t>
  </si>
  <si>
    <t>Class of Materials</t>
  </si>
  <si>
    <t>1. Crystalline bedrock</t>
  </si>
  <si>
    <t>2. Sedimentary and foliated rock</t>
  </si>
  <si>
    <t>3. Sandy gravel and/or gravel</t>
  </si>
  <si>
    <t>5. Clay, sandy clay, silty clay, clayey silt, silt and sandy silt</t>
  </si>
  <si>
    <t>4. Sand, silty sand, clayey sand, silty gravel and clayey gravel</t>
  </si>
  <si>
    <r>
      <t xml:space="preserve">(below natural grade) </t>
    </r>
    <r>
      <rPr>
        <sz val="8"/>
        <color indexed="8"/>
        <rFont val="Arial"/>
        <family val="2"/>
      </rPr>
      <t>(ksf/ft.)</t>
    </r>
  </si>
  <si>
    <t>Pole Fdn (IBC)</t>
  </si>
  <si>
    <t>S1 = Pba*L/3  (allowable lateral soil pressure at 1/3 embedment depth)</t>
  </si>
  <si>
    <t>IBC 2012 - Table 1806.2 - Presumptive Load Bearing Values</t>
  </si>
  <si>
    <t>Pole foundation analysis for free-top round piers using IBC 2012 method</t>
  </si>
  <si>
    <t xml:space="preserve">  2012 International Building Code (IBC), Section 1807.3.2.1, pages 403-404</t>
  </si>
  <si>
    <t>Pba = allowable lateral bearing pressure/ft. below grade (Table 1806.2)</t>
  </si>
  <si>
    <t>International Building Code (IBC) 2012, Section 1807.3.2.1, pages 403-404</t>
  </si>
  <si>
    <t>(IBC 2012 Eqn. 18.1)</t>
  </si>
  <si>
    <t>For Free-Top (Unconstrained) Rigid Round Piers Using IBC 2012 Code Method</t>
  </si>
  <si>
    <t>Vertical Foundation Pressure</t>
  </si>
  <si>
    <t>Lateral Bearing Pressure</t>
  </si>
  <si>
    <t>Allow. Vert. Bearing Pressure, Pa =</t>
  </si>
  <si>
    <t>Pc = 1.178*(4*Mo+3*Ho*L)^2/(L^2*(3*Mo+2*Ho*L))</t>
  </si>
  <si>
    <t>Pt = 9.425*(2*Mo+Ho*L)/L^2</t>
  </si>
  <si>
    <t>L = solution of cubic equation: L^3-14.14*Ho*L/R-18.85*Mo/R=0</t>
  </si>
  <si>
    <t>L^3-14.14*Ho*L/R-18.85*Mo/R = 0</t>
  </si>
  <si>
    <t>For Free-Top (Unconstrained) Rigid Round Piers Using Czerniak / PCA Method</t>
  </si>
  <si>
    <r>
      <t>fv = 4/3*V(max)*1000/(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*(D*12)^2/4)</t>
    </r>
  </si>
  <si>
    <r>
      <t>Fv(allow) = 2*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*SQRT(f'c*1000)/1.6</t>
    </r>
  </si>
  <si>
    <r>
      <t>fv = 4/3*V(max)*1000/(</t>
    </r>
    <r>
      <rPr>
        <sz val="10"/>
        <rFont val="Symbol"/>
        <family val="1"/>
      </rPr>
      <t>p</t>
    </r>
    <r>
      <rPr>
        <sz val="10"/>
        <rFont val="Arial"/>
        <family val="2"/>
      </rPr>
      <t>*(D*12)^2/4)</t>
    </r>
  </si>
  <si>
    <r>
      <t>Fv(allow) = 2*</t>
    </r>
    <r>
      <rPr>
        <sz val="10"/>
        <rFont val="Symbol"/>
        <family val="1"/>
      </rPr>
      <t>f</t>
    </r>
    <r>
      <rPr>
        <sz val="10"/>
        <rFont val="Arial"/>
        <family val="2"/>
      </rPr>
      <t>*SQRT(f'c*1000)/1.6</t>
    </r>
  </si>
  <si>
    <t>Version 2.4</t>
  </si>
  <si>
    <t>q =Ph*OLF/(9*c*D)  (where: 9 = bearing capacity factor, Nc)</t>
  </si>
  <si>
    <t>(Plain concrete allowable stresses from ACI 318-11, Chapter 22)</t>
  </si>
  <si>
    <r>
      <t>(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0.60 per Sect. 9.3.5, and divide USD allowable by 1.6 for ASD)</t>
    </r>
  </si>
  <si>
    <r>
      <t>(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 xml:space="preserve"> = 0.60 per Sect. 9.3.5, and divide USD allowable by 1.6 for ASD)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</si>
</sst>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00000000000000"/>
    <numFmt numFmtId="173" formatCode="0.0000000000000000"/>
    <numFmt numFmtId="174" formatCode="0.000000000000000000"/>
    <numFmt numFmtId="175" formatCode="0.000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E+00"/>
    <numFmt numFmtId="183" formatCode="00000"/>
    <numFmt numFmtId="184" formatCode="&quot;$&quot;#,##0\ ;\(&quot;$&quot;#,##0\)"/>
    <numFmt numFmtId="185" formatCode="&quot;$&quot;#,##0\ ;[Red]\(&quot;$&quot;#,##0\)"/>
    <numFmt numFmtId="186" formatCode="&quot;$&quot;#,##0.00\ ;\(&quot;$&quot;#,##0.00\)"/>
    <numFmt numFmtId="187" formatCode="&quot;$&quot;#,##0.00\ ;[Red]\(&quot;$&quot;#,##0.00\)"/>
    <numFmt numFmtId="188" formatCode="m/d"/>
    <numFmt numFmtId="189" formatCode="mm/dd/yy"/>
    <numFmt numFmtId="190" formatCode="dd\-mmm\-yy"/>
    <numFmt numFmtId="191" formatCode="dd\-mmm"/>
    <numFmt numFmtId="192" formatCode="mm/dd/yy\ h:mm"/>
    <numFmt numFmtId="193" formatCode="0.0000E+00"/>
    <numFmt numFmtId="194" formatCode="0.00_)"/>
    <numFmt numFmtId="195" formatCode="0.000_)"/>
    <numFmt numFmtId="196" formatCode=".00"/>
    <numFmt numFmtId="197" formatCode="mm/dd/yyyy"/>
    <numFmt numFmtId="198" formatCode="0;[Red]0"/>
    <numFmt numFmtId="199" formatCode="m/d/yy\ h:mm\ AM/PM"/>
    <numFmt numFmtId="200" formatCode="\ \F\T*K"/>
    <numFmt numFmtId="201" formatCode="\ \F\T\-\K"/>
    <numFmt numFmtId="202" formatCode="##\ \F\T\-\K"/>
    <numFmt numFmtId="203" formatCode="##.0\ \F\T\-\K"/>
    <numFmt numFmtId="204" formatCode="#.0\ \F\T\-\K"/>
    <numFmt numFmtId="205" formatCode="#.000\ \F\T\-\K"/>
    <numFmt numFmtId="206" formatCode="#.000\ \f\t."/>
    <numFmt numFmtId="207" formatCode="###,###.000\ \F\T\-\K"/>
  </numFmts>
  <fonts count="66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Symbol"/>
      <family val="1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i/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name val="Symbol"/>
      <family val="1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Symbol"/>
      <family val="1"/>
    </font>
    <font>
      <b/>
      <sz val="8"/>
      <name val="Tahoma"/>
      <family val="2"/>
    </font>
    <font>
      <b/>
      <i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33" borderId="8" xfId="0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0" fillId="33" borderId="9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right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Continuous"/>
      <protection hidden="1"/>
    </xf>
    <xf numFmtId="0" fontId="18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12" fillId="33" borderId="12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center"/>
      <protection hidden="1"/>
    </xf>
    <xf numFmtId="0" fontId="20" fillId="33" borderId="11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right"/>
      <protection hidden="1"/>
    </xf>
    <xf numFmtId="165" fontId="12" fillId="33" borderId="0" xfId="0" applyNumberFormat="1" applyFont="1" applyFill="1" applyBorder="1" applyAlignment="1" applyProtection="1">
      <alignment horizontal="right"/>
      <protection hidden="1"/>
    </xf>
    <xf numFmtId="0" fontId="12" fillId="33" borderId="12" xfId="0" applyFont="1" applyFill="1" applyBorder="1" applyAlignment="1" applyProtection="1">
      <alignment horizontal="centerContinuous"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22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 horizontal="left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18" fillId="33" borderId="11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4" fontId="0" fillId="33" borderId="0" xfId="0" applyNumberFormat="1" applyFill="1" applyBorder="1" applyAlignment="1" applyProtection="1">
      <alignment horizontal="center"/>
      <protection hidden="1"/>
    </xf>
    <xf numFmtId="18" fontId="0" fillId="33" borderId="0" xfId="0" applyNumberForma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2" fontId="12" fillId="33" borderId="0" xfId="0" applyNumberFormat="1" applyFont="1" applyFill="1" applyBorder="1" applyAlignment="1" applyProtection="1">
      <alignment horizontal="right"/>
      <protection hidden="1"/>
    </xf>
    <xf numFmtId="2" fontId="8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166" fontId="18" fillId="33" borderId="0" xfId="0" applyNumberFormat="1" applyFont="1" applyFill="1" applyBorder="1" applyAlignment="1" applyProtection="1">
      <alignment horizontal="left"/>
      <protection hidden="1"/>
    </xf>
    <xf numFmtId="2" fontId="8" fillId="33" borderId="0" xfId="0" applyNumberFormat="1" applyFont="1" applyFill="1" applyBorder="1" applyAlignment="1" applyProtection="1" quotePrefix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2" fontId="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166" fontId="12" fillId="33" borderId="0" xfId="0" applyNumberFormat="1" applyFont="1" applyFill="1" applyBorder="1" applyAlignment="1" applyProtection="1">
      <alignment horizontal="right"/>
      <protection hidden="1"/>
    </xf>
    <xf numFmtId="165" fontId="8" fillId="33" borderId="0" xfId="0" applyNumberFormat="1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centerContinuous"/>
      <protection hidden="1"/>
    </xf>
    <xf numFmtId="0" fontId="12" fillId="33" borderId="0" xfId="0" applyFont="1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/>
      <protection hidden="1"/>
    </xf>
    <xf numFmtId="166" fontId="8" fillId="33" borderId="0" xfId="0" applyNumberFormat="1" applyFont="1" applyFill="1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166" fontId="16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2" fontId="8" fillId="33" borderId="0" xfId="0" applyNumberFormat="1" applyFont="1" applyFill="1" applyBorder="1" applyAlignment="1" applyProtection="1">
      <alignment horizontal="left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 horizontal="centerContinuous"/>
      <protection hidden="1"/>
    </xf>
    <xf numFmtId="0" fontId="6" fillId="34" borderId="15" xfId="0" applyFont="1" applyFill="1" applyBorder="1" applyAlignment="1" applyProtection="1">
      <alignment horizontal="centerContinuous"/>
      <protection hidden="1"/>
    </xf>
    <xf numFmtId="0" fontId="10" fillId="34" borderId="11" xfId="0" applyFont="1" applyFill="1" applyBorder="1" applyAlignment="1" applyProtection="1">
      <alignment horizontal="centerContinuous"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 horizontal="left"/>
      <protection hidden="1"/>
    </xf>
    <xf numFmtId="0" fontId="10" fillId="34" borderId="16" xfId="0" applyFont="1" applyFill="1" applyBorder="1" applyAlignment="1" applyProtection="1">
      <alignment horizontal="centerContinuous"/>
      <protection hidden="1"/>
    </xf>
    <xf numFmtId="0" fontId="10" fillId="34" borderId="13" xfId="0" applyFont="1" applyFill="1" applyBorder="1" applyAlignment="1" applyProtection="1">
      <alignment horizontal="centerContinuous"/>
      <protection hidden="1"/>
    </xf>
    <xf numFmtId="0" fontId="26" fillId="33" borderId="12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centerContinuous"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right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166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NumberFormat="1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right"/>
      <protection hidden="1"/>
    </xf>
    <xf numFmtId="166" fontId="9" fillId="33" borderId="0" xfId="0" applyNumberFormat="1" applyFont="1" applyFill="1" applyAlignment="1" applyProtection="1">
      <alignment horizontal="left"/>
      <protection hidden="1"/>
    </xf>
    <xf numFmtId="2" fontId="13" fillId="33" borderId="0" xfId="0" applyNumberFormat="1" applyFont="1" applyFill="1" applyAlignment="1" applyProtection="1">
      <alignment horizontal="center"/>
      <protection hidden="1"/>
    </xf>
    <xf numFmtId="166" fontId="8" fillId="33" borderId="0" xfId="0" applyNumberFormat="1" applyFont="1" applyFill="1" applyAlignment="1" applyProtection="1">
      <alignment horizontal="right"/>
      <protection hidden="1"/>
    </xf>
    <xf numFmtId="165" fontId="8" fillId="33" borderId="0" xfId="0" applyNumberFormat="1" applyFont="1" applyFill="1" applyAlignment="1" applyProtection="1">
      <alignment horizontal="left"/>
      <protection hidden="1"/>
    </xf>
    <xf numFmtId="165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165" fontId="8" fillId="33" borderId="0" xfId="0" applyNumberFormat="1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/>
      <protection hidden="1"/>
    </xf>
    <xf numFmtId="0" fontId="8" fillId="33" borderId="0" xfId="0" applyNumberFormat="1" applyFont="1" applyFill="1" applyBorder="1" applyAlignment="1" applyProtection="1">
      <alignment horizontal="center"/>
      <protection hidden="1"/>
    </xf>
    <xf numFmtId="182" fontId="8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 quotePrefix="1">
      <alignment/>
      <protection hidden="1"/>
    </xf>
    <xf numFmtId="166" fontId="8" fillId="33" borderId="0" xfId="0" applyNumberFormat="1" applyFont="1" applyFill="1" applyBorder="1" applyAlignment="1" applyProtection="1" quotePrefix="1">
      <alignment horizontal="left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165" fontId="8" fillId="33" borderId="0" xfId="0" applyNumberFormat="1" applyFont="1" applyFill="1" applyBorder="1" applyAlignment="1" applyProtection="1">
      <alignment horizontal="right"/>
      <protection hidden="1"/>
    </xf>
    <xf numFmtId="166" fontId="13" fillId="33" borderId="0" xfId="0" applyNumberFormat="1" applyFont="1" applyFill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1" fontId="8" fillId="33" borderId="0" xfId="0" applyNumberFormat="1" applyFont="1" applyFill="1" applyAlignment="1" applyProtection="1">
      <alignment horizontal="right"/>
      <protection hidden="1"/>
    </xf>
    <xf numFmtId="165" fontId="12" fillId="33" borderId="0" xfId="0" applyNumberFormat="1" applyFont="1" applyFill="1" applyBorder="1" applyAlignment="1" applyProtection="1">
      <alignment/>
      <protection hidden="1"/>
    </xf>
    <xf numFmtId="2" fontId="15" fillId="33" borderId="0" xfId="0" applyNumberFormat="1" applyFont="1" applyFill="1" applyBorder="1" applyAlignment="1" applyProtection="1">
      <alignment horizontal="left"/>
      <protection hidden="1"/>
    </xf>
    <xf numFmtId="2" fontId="22" fillId="33" borderId="0" xfId="0" applyNumberFormat="1" applyFont="1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2" fontId="16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/>
      <protection hidden="1"/>
    </xf>
    <xf numFmtId="166" fontId="8" fillId="33" borderId="0" xfId="0" applyNumberFormat="1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8" fillId="33" borderId="8" xfId="0" applyFont="1" applyFill="1" applyBorder="1" applyAlignment="1" applyProtection="1">
      <alignment horizontal="right"/>
      <protection hidden="1"/>
    </xf>
    <xf numFmtId="0" fontId="12" fillId="33" borderId="9" xfId="0" applyFont="1" applyFill="1" applyBorder="1" applyAlignment="1" applyProtection="1">
      <alignment horizontal="right"/>
      <protection hidden="1"/>
    </xf>
    <xf numFmtId="49" fontId="8" fillId="33" borderId="17" xfId="0" applyNumberFormat="1" applyFont="1" applyFill="1" applyBorder="1" applyAlignment="1" applyProtection="1">
      <alignment horizontal="left"/>
      <protection locked="0"/>
    </xf>
    <xf numFmtId="49" fontId="7" fillId="33" borderId="17" xfId="0" applyNumberFormat="1" applyFont="1" applyFill="1" applyBorder="1" applyAlignment="1" applyProtection="1">
      <alignment horizontal="centerContinuous"/>
      <protection locked="0"/>
    </xf>
    <xf numFmtId="49" fontId="8" fillId="33" borderId="18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33" borderId="15" xfId="0" applyNumberFormat="1" applyFont="1" applyFill="1" applyBorder="1" applyAlignment="1" applyProtection="1">
      <alignment/>
      <protection locked="0"/>
    </xf>
    <xf numFmtId="49" fontId="8" fillId="33" borderId="19" xfId="0" applyNumberFormat="1" applyFont="1" applyFill="1" applyBorder="1" applyAlignment="1" applyProtection="1" quotePrefix="1">
      <alignment/>
      <protection locked="0"/>
    </xf>
    <xf numFmtId="49" fontId="8" fillId="33" borderId="17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166" fontId="8" fillId="35" borderId="20" xfId="0" applyNumberFormat="1" applyFont="1" applyFill="1" applyBorder="1" applyAlignment="1" applyProtection="1">
      <alignment horizontal="center"/>
      <protection locked="0"/>
    </xf>
    <xf numFmtId="166" fontId="8" fillId="35" borderId="21" xfId="0" applyNumberFormat="1" applyFont="1" applyFill="1" applyBorder="1" applyAlignment="1" applyProtection="1">
      <alignment horizontal="center"/>
      <protection locked="0"/>
    </xf>
    <xf numFmtId="166" fontId="8" fillId="35" borderId="22" xfId="0" applyNumberFormat="1" applyFont="1" applyFill="1" applyBorder="1" applyAlignment="1" applyProtection="1">
      <alignment horizontal="center"/>
      <protection locked="0"/>
    </xf>
    <xf numFmtId="2" fontId="8" fillId="35" borderId="21" xfId="0" applyNumberFormat="1" applyFont="1" applyFill="1" applyBorder="1" applyAlignment="1" applyProtection="1">
      <alignment horizontal="center"/>
      <protection locked="0"/>
    </xf>
    <xf numFmtId="166" fontId="8" fillId="33" borderId="20" xfId="0" applyNumberFormat="1" applyFont="1" applyFill="1" applyBorder="1" applyAlignment="1" applyProtection="1">
      <alignment horizontal="center"/>
      <protection hidden="1"/>
    </xf>
    <xf numFmtId="166" fontId="8" fillId="33" borderId="21" xfId="0" applyNumberFormat="1" applyFont="1" applyFill="1" applyBorder="1" applyAlignment="1" applyProtection="1">
      <alignment horizontal="center"/>
      <protection hidden="1"/>
    </xf>
    <xf numFmtId="2" fontId="8" fillId="33" borderId="21" xfId="0" applyNumberFormat="1" applyFont="1" applyFill="1" applyBorder="1" applyAlignment="1" applyProtection="1">
      <alignment horizontal="center"/>
      <protection hidden="1"/>
    </xf>
    <xf numFmtId="166" fontId="8" fillId="33" borderId="22" xfId="0" applyNumberFormat="1" applyFont="1" applyFill="1" applyBorder="1" applyAlignment="1" applyProtection="1">
      <alignment horizontal="center"/>
      <protection hidden="1"/>
    </xf>
    <xf numFmtId="2" fontId="8" fillId="33" borderId="20" xfId="0" applyNumberFormat="1" applyFont="1" applyFill="1" applyBorder="1" applyAlignment="1" applyProtection="1">
      <alignment horizontal="center"/>
      <protection hidden="1"/>
    </xf>
    <xf numFmtId="2" fontId="8" fillId="33" borderId="22" xfId="0" applyNumberFormat="1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 horizontal="centerContinuous"/>
      <protection hidden="1"/>
    </xf>
    <xf numFmtId="0" fontId="30" fillId="33" borderId="0" xfId="0" applyFont="1" applyFill="1" applyAlignment="1" applyProtection="1">
      <alignment horizontal="centerContinuous"/>
      <protection hidden="1"/>
    </xf>
    <xf numFmtId="0" fontId="30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 horizontal="centerContinuous"/>
      <protection hidden="1"/>
    </xf>
    <xf numFmtId="0" fontId="31" fillId="33" borderId="17" xfId="0" applyFont="1" applyFill="1" applyBorder="1" applyAlignment="1" applyProtection="1">
      <alignment horizontal="centerContinuous"/>
      <protection hidden="1"/>
    </xf>
    <xf numFmtId="0" fontId="31" fillId="33" borderId="18" xfId="0" applyFont="1" applyFill="1" applyBorder="1" applyAlignment="1" applyProtection="1">
      <alignment horizontal="centerContinuous"/>
      <protection hidden="1"/>
    </xf>
    <xf numFmtId="0" fontId="6" fillId="33" borderId="17" xfId="0" applyFont="1" applyFill="1" applyBorder="1" applyAlignment="1" applyProtection="1">
      <alignment horizontal="centerContinuous"/>
      <protection hidden="1"/>
    </xf>
    <xf numFmtId="0" fontId="0" fillId="33" borderId="17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30" fillId="0" borderId="10" xfId="0" applyFont="1" applyFill="1" applyBorder="1" applyAlignment="1" applyProtection="1">
      <alignment horizontal="centerContinuous"/>
      <protection hidden="1"/>
    </xf>
    <xf numFmtId="0" fontId="30" fillId="0" borderId="15" xfId="0" applyFont="1" applyFill="1" applyBorder="1" applyAlignment="1" applyProtection="1">
      <alignment horizontal="centerContinuous"/>
      <protection hidden="1"/>
    </xf>
    <xf numFmtId="0" fontId="30" fillId="0" borderId="23" xfId="0" applyFont="1" applyFill="1" applyBorder="1" applyAlignment="1" applyProtection="1">
      <alignment horizontal="centerContinuous"/>
      <protection hidden="1"/>
    </xf>
    <xf numFmtId="0" fontId="30" fillId="0" borderId="16" xfId="0" applyFont="1" applyFill="1" applyBorder="1" applyAlignment="1" applyProtection="1">
      <alignment horizontal="centerContinuous"/>
      <protection hidden="1"/>
    </xf>
    <xf numFmtId="0" fontId="30" fillId="0" borderId="13" xfId="0" applyFont="1" applyFill="1" applyBorder="1" applyAlignment="1" applyProtection="1">
      <alignment horizontal="centerContinuous"/>
      <protection hidden="1"/>
    </xf>
    <xf numFmtId="0" fontId="30" fillId="0" borderId="14" xfId="0" applyFont="1" applyFill="1" applyBorder="1" applyAlignment="1" applyProtection="1">
      <alignment horizontal="centerContinuous"/>
      <protection hidden="1"/>
    </xf>
    <xf numFmtId="0" fontId="7" fillId="33" borderId="9" xfId="0" applyFont="1" applyFill="1" applyBorder="1" applyAlignment="1" applyProtection="1">
      <alignment horizontal="center"/>
      <protection hidden="1"/>
    </xf>
    <xf numFmtId="49" fontId="8" fillId="33" borderId="9" xfId="0" applyNumberFormat="1" applyFont="1" applyFill="1" applyBorder="1" applyAlignment="1" applyProtection="1">
      <alignment/>
      <protection locked="0"/>
    </xf>
    <xf numFmtId="14" fontId="0" fillId="33" borderId="23" xfId="0" applyNumberFormat="1" applyFill="1" applyBorder="1" applyAlignment="1" applyProtection="1">
      <alignment horizontal="center"/>
      <protection hidden="1"/>
    </xf>
    <xf numFmtId="18" fontId="0" fillId="33" borderId="12" xfId="0" applyNumberForma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2" fontId="8" fillId="33" borderId="20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82" fontId="8" fillId="33" borderId="0" xfId="0" applyNumberFormat="1" applyFont="1" applyFill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 applyProtection="1">
      <alignment horizontal="center"/>
      <protection locked="0"/>
    </xf>
    <xf numFmtId="166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12" fillId="33" borderId="0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>
      <alignment/>
    </xf>
    <xf numFmtId="0" fontId="12" fillId="33" borderId="11" xfId="0" applyFont="1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 horizontal="centerContinuous"/>
      <protection locked="0"/>
    </xf>
    <xf numFmtId="0" fontId="0" fillId="34" borderId="12" xfId="0" applyFill="1" applyBorder="1" applyAlignment="1" applyProtection="1">
      <alignment horizontal="centerContinuous"/>
      <protection locked="0"/>
    </xf>
    <xf numFmtId="0" fontId="0" fillId="34" borderId="14" xfId="0" applyFill="1" applyBorder="1" applyAlignment="1" applyProtection="1">
      <alignment horizontal="centerContinuous"/>
      <protection locked="0"/>
    </xf>
    <xf numFmtId="2" fontId="8" fillId="33" borderId="20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Continuous"/>
      <protection hidden="1"/>
    </xf>
    <xf numFmtId="0" fontId="30" fillId="0" borderId="0" xfId="0" applyFont="1" applyFill="1" applyBorder="1" applyAlignment="1" applyProtection="1">
      <alignment horizontal="centerContinuous"/>
      <protection hidden="1"/>
    </xf>
    <xf numFmtId="0" fontId="30" fillId="0" borderId="12" xfId="0" applyFont="1" applyFill="1" applyBorder="1" applyAlignment="1" applyProtection="1">
      <alignment horizontal="centerContinuous"/>
      <protection hidden="1"/>
    </xf>
    <xf numFmtId="0" fontId="8" fillId="35" borderId="21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8" fillId="35" borderId="2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locked="0"/>
    </xf>
    <xf numFmtId="2" fontId="8" fillId="33" borderId="24" xfId="0" applyNumberFormat="1" applyFont="1" applyFill="1" applyBorder="1" applyAlignment="1" applyProtection="1">
      <alignment horizontal="center"/>
      <protection hidden="1"/>
    </xf>
    <xf numFmtId="14" fontId="12" fillId="33" borderId="0" xfId="0" applyNumberFormat="1" applyFont="1" applyFill="1" applyBorder="1" applyAlignment="1" applyProtection="1">
      <alignment horizontal="center"/>
      <protection hidden="1"/>
    </xf>
    <xf numFmtId="18" fontId="12" fillId="33" borderId="0" xfId="0" applyNumberFormat="1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/>
      <protection hidden="1"/>
    </xf>
    <xf numFmtId="14" fontId="12" fillId="33" borderId="0" xfId="0" applyNumberFormat="1" applyFont="1" applyFill="1" applyBorder="1" applyAlignment="1" applyProtection="1">
      <alignment horizontal="center"/>
      <protection hidden="1"/>
    </xf>
    <xf numFmtId="18" fontId="12" fillId="33" borderId="0" xfId="0" applyNumberFormat="1" applyFont="1" applyFill="1" applyBorder="1" applyAlignment="1" applyProtection="1">
      <alignment horizontal="center"/>
      <protection hidden="1"/>
    </xf>
    <xf numFmtId="2" fontId="8" fillId="33" borderId="0" xfId="0" applyNumberFormat="1" applyFont="1" applyFill="1" applyAlignment="1">
      <alignment horizontal="center"/>
    </xf>
    <xf numFmtId="0" fontId="30" fillId="33" borderId="0" xfId="0" applyFont="1" applyFill="1" applyAlignment="1" applyProtection="1">
      <alignment horizontal="right"/>
      <protection hidden="1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 horizontal="left" vertical="top"/>
      <protection hidden="1"/>
    </xf>
    <xf numFmtId="0" fontId="26" fillId="33" borderId="0" xfId="0" applyFont="1" applyFill="1" applyBorder="1" applyAlignment="1" applyProtection="1" quotePrefix="1">
      <alignment/>
      <protection hidden="1"/>
    </xf>
    <xf numFmtId="2" fontId="26" fillId="33" borderId="0" xfId="0" applyNumberFormat="1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/>
      <protection hidden="1"/>
    </xf>
    <xf numFmtId="2" fontId="12" fillId="33" borderId="11" xfId="0" applyNumberFormat="1" applyFont="1" applyFill="1" applyBorder="1" applyAlignment="1" applyProtection="1">
      <alignment horizontal="left"/>
      <protection hidden="1"/>
    </xf>
    <xf numFmtId="166" fontId="26" fillId="33" borderId="11" xfId="0" applyNumberFormat="1" applyFont="1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hidden="1"/>
    </xf>
    <xf numFmtId="2" fontId="12" fillId="33" borderId="11" xfId="0" applyNumberFormat="1" applyFont="1" applyFill="1" applyBorder="1" applyAlignment="1" applyProtection="1">
      <alignment/>
      <protection hidden="1"/>
    </xf>
    <xf numFmtId="0" fontId="26" fillId="33" borderId="12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Continuous"/>
      <protection hidden="1"/>
    </xf>
    <xf numFmtId="0" fontId="0" fillId="33" borderId="0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 horizontal="centerContinuous"/>
      <protection hidden="1"/>
    </xf>
    <xf numFmtId="2" fontId="9" fillId="33" borderId="0" xfId="0" applyNumberFormat="1" applyFont="1" applyFill="1" applyBorder="1" applyAlignment="1" applyProtection="1" quotePrefix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6" fillId="33" borderId="12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8" fillId="33" borderId="12" xfId="0" applyFont="1" applyFill="1" applyBorder="1" applyAlignment="1" applyProtection="1">
      <alignment horizontal="centerContinuous"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centerContinuous"/>
      <protection hidden="1"/>
    </xf>
    <xf numFmtId="0" fontId="26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/>
      <protection hidden="1"/>
    </xf>
    <xf numFmtId="0" fontId="1" fillId="33" borderId="12" xfId="0" applyFont="1" applyFill="1" applyBorder="1" applyAlignment="1" applyProtection="1">
      <alignment horizontal="centerContinuous"/>
      <protection hidden="1"/>
    </xf>
    <xf numFmtId="0" fontId="12" fillId="33" borderId="16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 quotePrefix="1">
      <alignment horizontal="left"/>
      <protection hidden="1"/>
    </xf>
    <xf numFmtId="0" fontId="26" fillId="33" borderId="0" xfId="0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/>
      <protection locked="0"/>
    </xf>
    <xf numFmtId="14" fontId="8" fillId="33" borderId="23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18" fontId="8" fillId="33" borderId="12" xfId="0" applyNumberFormat="1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2" fontId="8" fillId="33" borderId="9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right"/>
    </xf>
    <xf numFmtId="2" fontId="8" fillId="33" borderId="21" xfId="0" applyNumberFormat="1" applyFont="1" applyFill="1" applyBorder="1" applyAlignment="1" applyProtection="1">
      <alignment horizontal="center"/>
      <protection hidden="1"/>
    </xf>
    <xf numFmtId="2" fontId="8" fillId="33" borderId="22" xfId="0" applyNumberFormat="1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hidden="1"/>
    </xf>
    <xf numFmtId="2" fontId="28" fillId="33" borderId="0" xfId="0" applyNumberFormat="1" applyFont="1" applyFill="1" applyBorder="1" applyAlignment="1" applyProtection="1">
      <alignment horizontal="left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right"/>
      <protection locked="0"/>
    </xf>
    <xf numFmtId="0" fontId="20" fillId="33" borderId="0" xfId="0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/>
      <protection hidden="1"/>
    </xf>
    <xf numFmtId="0" fontId="34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left"/>
      <protection hidden="1"/>
    </xf>
    <xf numFmtId="0" fontId="34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2" fontId="8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166" fontId="8" fillId="33" borderId="22" xfId="0" applyNumberFormat="1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 horizontal="right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left"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 horizontal="right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/>
      <protection hidden="1"/>
    </xf>
    <xf numFmtId="166" fontId="8" fillId="33" borderId="15" xfId="0" applyNumberFormat="1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/>
      <protection hidden="1"/>
    </xf>
    <xf numFmtId="166" fontId="8" fillId="33" borderId="13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Continuous"/>
      <protection hidden="1"/>
    </xf>
    <xf numFmtId="0" fontId="8" fillId="33" borderId="15" xfId="0" applyFont="1" applyFill="1" applyBorder="1" applyAlignment="1" applyProtection="1">
      <alignment horizontal="centerContinuous"/>
      <protection hidden="1"/>
    </xf>
    <xf numFmtId="0" fontId="8" fillId="33" borderId="23" xfId="0" applyFont="1" applyFill="1" applyBorder="1" applyAlignment="1" applyProtection="1">
      <alignment horizontal="centerContinuous"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horizontal="centerContinuous"/>
      <protection hidden="1"/>
    </xf>
    <xf numFmtId="0" fontId="8" fillId="33" borderId="16" xfId="0" applyFont="1" applyFill="1" applyBorder="1" applyAlignment="1" applyProtection="1">
      <alignment horizontal="centerContinuous"/>
      <protection hidden="1"/>
    </xf>
    <xf numFmtId="0" fontId="8" fillId="33" borderId="13" xfId="0" applyFont="1" applyFill="1" applyBorder="1" applyAlignment="1" applyProtection="1">
      <alignment horizontal="centerContinuous"/>
      <protection hidden="1"/>
    </xf>
    <xf numFmtId="0" fontId="8" fillId="33" borderId="14" xfId="0" applyFont="1" applyFill="1" applyBorder="1" applyAlignment="1" applyProtection="1">
      <alignment horizontal="centerContinuous"/>
      <protection hidden="1"/>
    </xf>
    <xf numFmtId="0" fontId="8" fillId="33" borderId="19" xfId="0" applyFont="1" applyFill="1" applyBorder="1" applyAlignment="1" applyProtection="1">
      <alignment horizontal="centerContinuous"/>
      <protection hidden="1"/>
    </xf>
    <xf numFmtId="0" fontId="8" fillId="33" borderId="17" xfId="0" applyFont="1" applyFill="1" applyBorder="1" applyAlignment="1" applyProtection="1">
      <alignment horizontal="centerContinuous"/>
      <protection hidden="1"/>
    </xf>
    <xf numFmtId="0" fontId="8" fillId="33" borderId="18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4" fontId="8" fillId="33" borderId="12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hidden="1"/>
    </xf>
    <xf numFmtId="166" fontId="7" fillId="33" borderId="15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/>
      <protection hidden="1"/>
    </xf>
    <xf numFmtId="166" fontId="7" fillId="33" borderId="0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35" fillId="33" borderId="0" xfId="0" applyFont="1" applyFill="1" applyBorder="1" applyAlignment="1" applyProtection="1">
      <alignment horizontal="left"/>
      <protection hidden="1"/>
    </xf>
    <xf numFmtId="0" fontId="7" fillId="33" borderId="13" xfId="0" applyFont="1" applyFill="1" applyBorder="1" applyAlignment="1" applyProtection="1">
      <alignment horizontal="right"/>
      <protection hidden="1"/>
    </xf>
    <xf numFmtId="166" fontId="7" fillId="33" borderId="13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hidden="1"/>
    </xf>
    <xf numFmtId="0" fontId="12" fillId="34" borderId="15" xfId="0" applyFont="1" applyFill="1" applyBorder="1" applyAlignment="1" applyProtection="1">
      <alignment horizontal="centerContinuous"/>
      <protection hidden="1"/>
    </xf>
    <xf numFmtId="0" fontId="12" fillId="34" borderId="13" xfId="0" applyFont="1" applyFill="1" applyBorder="1" applyAlignment="1" applyProtection="1">
      <alignment/>
      <protection hidden="1"/>
    </xf>
    <xf numFmtId="166" fontId="16" fillId="34" borderId="10" xfId="0" applyNumberFormat="1" applyFont="1" applyFill="1" applyBorder="1" applyAlignment="1" applyProtection="1">
      <alignment/>
      <protection hidden="1"/>
    </xf>
    <xf numFmtId="0" fontId="16" fillId="34" borderId="15" xfId="0" applyFont="1" applyFill="1" applyBorder="1" applyAlignment="1" applyProtection="1">
      <alignment/>
      <protection hidden="1"/>
    </xf>
    <xf numFmtId="166" fontId="16" fillId="34" borderId="15" xfId="0" applyNumberFormat="1" applyFont="1" applyFill="1" applyBorder="1" applyAlignment="1" applyProtection="1">
      <alignment horizontal="center"/>
      <protection hidden="1"/>
    </xf>
    <xf numFmtId="0" fontId="12" fillId="34" borderId="23" xfId="0" applyFont="1" applyFill="1" applyBorder="1" applyAlignment="1" applyProtection="1">
      <alignment/>
      <protection hidden="1"/>
    </xf>
    <xf numFmtId="166" fontId="16" fillId="34" borderId="11" xfId="0" applyNumberFormat="1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/>
      <protection hidden="1"/>
    </xf>
    <xf numFmtId="166" fontId="16" fillId="34" borderId="0" xfId="0" applyNumberFormat="1" applyFont="1" applyFill="1" applyBorder="1" applyAlignment="1" applyProtection="1">
      <alignment horizontal="center"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16" fillId="34" borderId="11" xfId="0" applyFont="1" applyFill="1" applyBorder="1" applyAlignment="1" applyProtection="1">
      <alignment/>
      <protection hidden="1"/>
    </xf>
    <xf numFmtId="0" fontId="16" fillId="34" borderId="16" xfId="0" applyFont="1" applyFill="1" applyBorder="1" applyAlignment="1" applyProtection="1">
      <alignment/>
      <protection hidden="1"/>
    </xf>
    <xf numFmtId="0" fontId="16" fillId="34" borderId="13" xfId="0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4" borderId="23" xfId="0" applyFont="1" applyFill="1" applyBorder="1" applyAlignment="1" applyProtection="1">
      <alignment horizontal="centerContinuous"/>
      <protection hidden="1"/>
    </xf>
    <xf numFmtId="0" fontId="12" fillId="34" borderId="10" xfId="0" applyFont="1" applyFill="1" applyBorder="1" applyAlignment="1" applyProtection="1">
      <alignment horizontal="centerContinuous"/>
      <protection hidden="1"/>
    </xf>
    <xf numFmtId="0" fontId="12" fillId="34" borderId="14" xfId="0" applyFont="1" applyFill="1" applyBorder="1" applyAlignment="1" applyProtection="1">
      <alignment horizontal="left"/>
      <protection hidden="1"/>
    </xf>
    <xf numFmtId="0" fontId="12" fillId="34" borderId="16" xfId="0" applyFont="1" applyFill="1" applyBorder="1" applyAlignment="1" applyProtection="1">
      <alignment horizontal="centerContinuous"/>
      <protection hidden="1"/>
    </xf>
    <xf numFmtId="0" fontId="12" fillId="34" borderId="13" xfId="0" applyFont="1" applyFill="1" applyBorder="1" applyAlignment="1" applyProtection="1">
      <alignment horizontal="centerContinuous"/>
      <protection hidden="1"/>
    </xf>
    <xf numFmtId="0" fontId="12" fillId="34" borderId="14" xfId="0" applyFont="1" applyFill="1" applyBorder="1" applyAlignment="1" applyProtection="1">
      <alignment horizontal="centerContinuous"/>
      <protection hidden="1"/>
    </xf>
    <xf numFmtId="0" fontId="21" fillId="34" borderId="19" xfId="0" applyFont="1" applyFill="1" applyBorder="1" applyAlignment="1" applyProtection="1">
      <alignment horizontal="centerContinuous"/>
      <protection hidden="1"/>
    </xf>
    <xf numFmtId="0" fontId="21" fillId="34" borderId="17" xfId="0" applyFont="1" applyFill="1" applyBorder="1" applyAlignment="1" applyProtection="1">
      <alignment horizontal="centerContinuous"/>
      <protection hidden="1"/>
    </xf>
    <xf numFmtId="165" fontId="21" fillId="34" borderId="17" xfId="0" applyNumberFormat="1" applyFont="1" applyFill="1" applyBorder="1" applyAlignment="1" applyProtection="1">
      <alignment horizontal="centerContinuous"/>
      <protection hidden="1"/>
    </xf>
    <xf numFmtId="0" fontId="21" fillId="34" borderId="18" xfId="0" applyFont="1" applyFill="1" applyBorder="1" applyAlignment="1" applyProtection="1">
      <alignment horizontal="centerContinuous"/>
      <protection hidden="1"/>
    </xf>
    <xf numFmtId="0" fontId="16" fillId="34" borderId="13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64" fillId="33" borderId="0" xfId="0" applyFont="1" applyFill="1" applyBorder="1" applyAlignment="1" applyProtection="1">
      <alignment/>
      <protection hidden="1"/>
    </xf>
    <xf numFmtId="182" fontId="1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84</xdr:row>
      <xdr:rowOff>85725</xdr:rowOff>
    </xdr:from>
    <xdr:to>
      <xdr:col>26</xdr:col>
      <xdr:colOff>85725</xdr:colOff>
      <xdr:row>99</xdr:row>
      <xdr:rowOff>133350</xdr:rowOff>
    </xdr:to>
    <xdr:grpSp>
      <xdr:nvGrpSpPr>
        <xdr:cNvPr id="1" name="Group 34"/>
        <xdr:cNvGrpSpPr>
          <a:grpSpLocks/>
        </xdr:cNvGrpSpPr>
      </xdr:nvGrpSpPr>
      <xdr:grpSpPr>
        <a:xfrm>
          <a:off x="114300" y="13744575"/>
          <a:ext cx="6019800" cy="2476500"/>
          <a:chOff x="12" y="1392"/>
          <a:chExt cx="632" cy="260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72" y="1464"/>
            <a:ext cx="23" cy="149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6"/>
          <xdr:cNvSpPr>
            <a:spLocks/>
          </xdr:cNvSpPr>
        </xdr:nvSpPr>
        <xdr:spPr>
          <a:xfrm>
            <a:off x="81" y="1392"/>
            <a:ext cx="5" cy="72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7" descr="Light horizontal"/>
          <xdr:cNvSpPr>
            <a:spLocks/>
          </xdr:cNvSpPr>
        </xdr:nvSpPr>
        <xdr:spPr>
          <a:xfrm rot="16200000">
            <a:off x="250" y="1488"/>
            <a:ext cx="29" cy="125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 descr="Light horizontal"/>
          <xdr:cNvSpPr>
            <a:spLocks/>
          </xdr:cNvSpPr>
        </xdr:nvSpPr>
        <xdr:spPr>
          <a:xfrm>
            <a:off x="346" y="1566"/>
            <a:ext cx="34" cy="47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9"/>
          <xdr:cNvSpPr>
            <a:spLocks/>
          </xdr:cNvSpPr>
        </xdr:nvSpPr>
        <xdr:spPr>
          <a:xfrm>
            <a:off x="95" y="1488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rc 40" descr="Light horizontal"/>
          <xdr:cNvSpPr>
            <a:spLocks/>
          </xdr:cNvSpPr>
        </xdr:nvSpPr>
        <xdr:spPr>
          <a:xfrm rot="13500000">
            <a:off x="319" y="1498"/>
            <a:ext cx="55" cy="5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1"/>
          <xdr:cNvSpPr>
            <a:spLocks/>
          </xdr:cNvSpPr>
        </xdr:nvSpPr>
        <xdr:spPr>
          <a:xfrm>
            <a:off x="347" y="1489"/>
            <a:ext cx="39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2"/>
          <xdr:cNvSpPr>
            <a:spLocks/>
          </xdr:cNvSpPr>
        </xdr:nvSpPr>
        <xdr:spPr>
          <a:xfrm>
            <a:off x="99" y="1613"/>
            <a:ext cx="4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rc 43" descr="Light horizontal"/>
          <xdr:cNvSpPr>
            <a:spLocks noChangeAspect="1"/>
          </xdr:cNvSpPr>
        </xdr:nvSpPr>
        <xdr:spPr>
          <a:xfrm rot="2700000">
            <a:off x="453" y="1532"/>
            <a:ext cx="67" cy="6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rc 44" descr="Light horizontal"/>
          <xdr:cNvSpPr>
            <a:spLocks/>
          </xdr:cNvSpPr>
        </xdr:nvSpPr>
        <xdr:spPr>
          <a:xfrm rot="13500000">
            <a:off x="460" y="1452"/>
            <a:ext cx="55" cy="5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5"/>
          <xdr:cNvSpPr>
            <a:spLocks/>
          </xdr:cNvSpPr>
        </xdr:nvSpPr>
        <xdr:spPr>
          <a:xfrm>
            <a:off x="487" y="1438"/>
            <a:ext cx="37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6"/>
          <xdr:cNvSpPr>
            <a:spLocks/>
          </xdr:cNvSpPr>
        </xdr:nvSpPr>
        <xdr:spPr>
          <a:xfrm>
            <a:off x="440" y="1519"/>
            <a:ext cx="46" cy="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7"/>
          <xdr:cNvSpPr>
            <a:spLocks/>
          </xdr:cNvSpPr>
        </xdr:nvSpPr>
        <xdr:spPr>
          <a:xfrm>
            <a:off x="466" y="1439"/>
            <a:ext cx="21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8" descr="Light horizontal"/>
          <xdr:cNvSpPr>
            <a:spLocks/>
          </xdr:cNvSpPr>
        </xdr:nvSpPr>
        <xdr:spPr>
          <a:xfrm rot="5400000">
            <a:off x="544" y="1529"/>
            <a:ext cx="100" cy="68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9"/>
          <xdr:cNvSpPr>
            <a:spLocks/>
          </xdr:cNvSpPr>
        </xdr:nvSpPr>
        <xdr:spPr>
          <a:xfrm flipH="1" flipV="1">
            <a:off x="560" y="1488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0"/>
          <xdr:cNvSpPr>
            <a:spLocks/>
          </xdr:cNvSpPr>
        </xdr:nvSpPr>
        <xdr:spPr>
          <a:xfrm>
            <a:off x="561" y="1506"/>
            <a:ext cx="68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1"/>
          <xdr:cNvSpPr>
            <a:spLocks/>
          </xdr:cNvSpPr>
        </xdr:nvSpPr>
        <xdr:spPr>
          <a:xfrm>
            <a:off x="560" y="1472"/>
            <a:ext cx="4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2"/>
          <xdr:cNvSpPr>
            <a:spLocks/>
          </xdr:cNvSpPr>
        </xdr:nvSpPr>
        <xdr:spPr>
          <a:xfrm flipH="1">
            <a:off x="12" y="1488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3"/>
          <xdr:cNvSpPr>
            <a:spLocks/>
          </xdr:cNvSpPr>
        </xdr:nvSpPr>
        <xdr:spPr>
          <a:xfrm flipV="1">
            <a:off x="346" y="1392"/>
            <a:ext cx="0" cy="2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4"/>
          <xdr:cNvSpPr>
            <a:spLocks/>
          </xdr:cNvSpPr>
        </xdr:nvSpPr>
        <xdr:spPr>
          <a:xfrm>
            <a:off x="114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5"/>
          <xdr:cNvSpPr>
            <a:spLocks/>
          </xdr:cNvSpPr>
        </xdr:nvSpPr>
        <xdr:spPr>
          <a:xfrm flipH="1">
            <a:off x="89" y="139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6"/>
          <xdr:cNvSpPr>
            <a:spLocks/>
          </xdr:cNvSpPr>
        </xdr:nvSpPr>
        <xdr:spPr>
          <a:xfrm>
            <a:off x="206" y="1488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7"/>
          <xdr:cNvSpPr>
            <a:spLocks/>
          </xdr:cNvSpPr>
        </xdr:nvSpPr>
        <xdr:spPr>
          <a:xfrm>
            <a:off x="329" y="1536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8"/>
          <xdr:cNvSpPr>
            <a:spLocks/>
          </xdr:cNvSpPr>
        </xdr:nvSpPr>
        <xdr:spPr>
          <a:xfrm>
            <a:off x="346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380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329" y="1640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346" y="164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2"/>
          <xdr:cNvSpPr>
            <a:spLocks/>
          </xdr:cNvSpPr>
        </xdr:nvSpPr>
        <xdr:spPr>
          <a:xfrm flipH="1">
            <a:off x="351" y="1518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3"/>
          <xdr:cNvSpPr>
            <a:spLocks/>
          </xdr:cNvSpPr>
        </xdr:nvSpPr>
        <xdr:spPr>
          <a:xfrm>
            <a:off x="389" y="1488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4"/>
          <xdr:cNvSpPr>
            <a:spLocks/>
          </xdr:cNvSpPr>
        </xdr:nvSpPr>
        <xdr:spPr>
          <a:xfrm>
            <a:off x="249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65"/>
          <xdr:cNvSpPr>
            <a:spLocks/>
          </xdr:cNvSpPr>
        </xdr:nvSpPr>
        <xdr:spPr>
          <a:xfrm>
            <a:off x="279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6"/>
          <xdr:cNvSpPr>
            <a:spLocks/>
          </xdr:cNvSpPr>
        </xdr:nvSpPr>
        <xdr:spPr>
          <a:xfrm>
            <a:off x="249" y="164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7"/>
          <xdr:cNvSpPr>
            <a:spLocks/>
          </xdr:cNvSpPr>
        </xdr:nvSpPr>
        <xdr:spPr>
          <a:xfrm>
            <a:off x="392" y="1502"/>
            <a:ext cx="1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68"/>
          <xdr:cNvSpPr>
            <a:spLocks/>
          </xdr:cNvSpPr>
        </xdr:nvSpPr>
        <xdr:spPr>
          <a:xfrm>
            <a:off x="72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9"/>
          <xdr:cNvSpPr>
            <a:spLocks/>
          </xdr:cNvSpPr>
        </xdr:nvSpPr>
        <xdr:spPr>
          <a:xfrm>
            <a:off x="95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0"/>
          <xdr:cNvSpPr>
            <a:spLocks/>
          </xdr:cNvSpPr>
        </xdr:nvSpPr>
        <xdr:spPr>
          <a:xfrm>
            <a:off x="72" y="164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1"/>
          <xdr:cNvSpPr>
            <a:spLocks/>
          </xdr:cNvSpPr>
        </xdr:nvSpPr>
        <xdr:spPr>
          <a:xfrm>
            <a:off x="560" y="148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2"/>
          <xdr:cNvSpPr>
            <a:spLocks/>
          </xdr:cNvSpPr>
        </xdr:nvSpPr>
        <xdr:spPr>
          <a:xfrm flipV="1">
            <a:off x="487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3"/>
          <xdr:cNvSpPr>
            <a:spLocks/>
          </xdr:cNvSpPr>
        </xdr:nvSpPr>
        <xdr:spPr>
          <a:xfrm>
            <a:off x="469" y="148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4"/>
          <xdr:cNvSpPr>
            <a:spLocks/>
          </xdr:cNvSpPr>
        </xdr:nvSpPr>
        <xdr:spPr>
          <a:xfrm flipV="1">
            <a:off x="613" y="1528"/>
            <a:ext cx="2" cy="8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5"/>
          <xdr:cNvSpPr>
            <a:spLocks/>
          </xdr:cNvSpPr>
        </xdr:nvSpPr>
        <xdr:spPr>
          <a:xfrm>
            <a:off x="607" y="1525"/>
            <a:ext cx="12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6"/>
          <xdr:cNvSpPr>
            <a:spLocks/>
          </xdr:cNvSpPr>
        </xdr:nvSpPr>
        <xdr:spPr>
          <a:xfrm>
            <a:off x="487" y="1488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7"/>
          <xdr:cNvSpPr>
            <a:spLocks/>
          </xdr:cNvSpPr>
        </xdr:nvSpPr>
        <xdr:spPr>
          <a:xfrm>
            <a:off x="183" y="1564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rc 78"/>
          <xdr:cNvSpPr>
            <a:spLocks/>
          </xdr:cNvSpPr>
        </xdr:nvSpPr>
        <xdr:spPr>
          <a:xfrm rot="18900000">
            <a:off x="328" y="1461"/>
            <a:ext cx="38" cy="3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9"/>
          <xdr:cNvSpPr>
            <a:spLocks/>
          </xdr:cNvSpPr>
        </xdr:nvSpPr>
        <xdr:spPr>
          <a:xfrm flipH="1">
            <a:off x="348" y="148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80"/>
          <xdr:cNvSpPr>
            <a:spLocks/>
          </xdr:cNvSpPr>
        </xdr:nvSpPr>
        <xdr:spPr>
          <a:xfrm flipH="1">
            <a:off x="202" y="144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1"/>
          <xdr:cNvSpPr>
            <a:spLocks/>
          </xdr:cNvSpPr>
        </xdr:nvSpPr>
        <xdr:spPr>
          <a:xfrm flipH="1" flipV="1">
            <a:off x="15" y="1474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2"/>
          <xdr:cNvSpPr>
            <a:spLocks/>
          </xdr:cNvSpPr>
        </xdr:nvSpPr>
        <xdr:spPr>
          <a:xfrm>
            <a:off x="95" y="1474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83"/>
          <xdr:cNvSpPr>
            <a:spLocks/>
          </xdr:cNvSpPr>
        </xdr:nvSpPr>
        <xdr:spPr>
          <a:xfrm flipV="1">
            <a:off x="606" y="1488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4"/>
          <xdr:cNvSpPr>
            <a:spLocks/>
          </xdr:cNvSpPr>
        </xdr:nvSpPr>
        <xdr:spPr>
          <a:xfrm>
            <a:off x="434" y="144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5"/>
          <xdr:cNvSpPr>
            <a:spLocks/>
          </xdr:cNvSpPr>
        </xdr:nvSpPr>
        <xdr:spPr>
          <a:xfrm>
            <a:off x="450" y="1444"/>
            <a:ext cx="12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86"/>
          <xdr:cNvSpPr>
            <a:spLocks/>
          </xdr:cNvSpPr>
        </xdr:nvSpPr>
        <xdr:spPr>
          <a:xfrm>
            <a:off x="487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87"/>
          <xdr:cNvSpPr>
            <a:spLocks/>
          </xdr:cNvSpPr>
        </xdr:nvSpPr>
        <xdr:spPr>
          <a:xfrm>
            <a:off x="560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88"/>
          <xdr:cNvSpPr>
            <a:spLocks/>
          </xdr:cNvSpPr>
        </xdr:nvSpPr>
        <xdr:spPr>
          <a:xfrm>
            <a:off x="507" y="1579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89"/>
          <xdr:cNvSpPr>
            <a:spLocks/>
          </xdr:cNvSpPr>
        </xdr:nvSpPr>
        <xdr:spPr>
          <a:xfrm>
            <a:off x="615" y="1534"/>
            <a:ext cx="0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0"/>
          <xdr:cNvSpPr>
            <a:spLocks/>
          </xdr:cNvSpPr>
        </xdr:nvSpPr>
        <xdr:spPr>
          <a:xfrm>
            <a:off x="487" y="16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91"/>
          <xdr:cNvSpPr>
            <a:spLocks/>
          </xdr:cNvSpPr>
        </xdr:nvSpPr>
        <xdr:spPr>
          <a:xfrm>
            <a:off x="560" y="1640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92"/>
          <xdr:cNvSpPr>
            <a:spLocks/>
          </xdr:cNvSpPr>
        </xdr:nvSpPr>
        <xdr:spPr>
          <a:xfrm flipH="1">
            <a:off x="447" y="164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3" descr="Small confetti"/>
          <xdr:cNvSpPr>
            <a:spLocks/>
          </xdr:cNvSpPr>
        </xdr:nvSpPr>
        <xdr:spPr>
          <a:xfrm>
            <a:off x="96" y="1475"/>
            <a:ext cx="21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4" descr="Small confetti"/>
          <xdr:cNvSpPr>
            <a:spLocks/>
          </xdr:cNvSpPr>
        </xdr:nvSpPr>
        <xdr:spPr>
          <a:xfrm>
            <a:off x="16" y="1475"/>
            <a:ext cx="55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5"/>
          <xdr:cNvSpPr>
            <a:spLocks/>
          </xdr:cNvSpPr>
        </xdr:nvSpPr>
        <xdr:spPr>
          <a:xfrm flipV="1">
            <a:off x="114" y="139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96"/>
          <xdr:cNvSpPr>
            <a:spLocks/>
          </xdr:cNvSpPr>
        </xdr:nvSpPr>
        <xdr:spPr>
          <a:xfrm>
            <a:off x="202" y="1443"/>
            <a:ext cx="13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97"/>
          <xdr:cNvSpPr>
            <a:spLocks/>
          </xdr:cNvSpPr>
        </xdr:nvSpPr>
        <xdr:spPr>
          <a:xfrm>
            <a:off x="173" y="1392"/>
            <a:ext cx="5" cy="2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98" descr="Small confetti"/>
          <xdr:cNvSpPr>
            <a:spLocks/>
          </xdr:cNvSpPr>
        </xdr:nvSpPr>
        <xdr:spPr>
          <a:xfrm>
            <a:off x="73" y="1614"/>
            <a:ext cx="21" cy="10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99"/>
          <xdr:cNvSpPr>
            <a:spLocks/>
          </xdr:cNvSpPr>
        </xdr:nvSpPr>
        <xdr:spPr>
          <a:xfrm rot="20700000">
            <a:off x="157" y="1393"/>
            <a:ext cx="5" cy="2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rc 100" descr="Light horizontal"/>
          <xdr:cNvSpPr>
            <a:spLocks/>
          </xdr:cNvSpPr>
        </xdr:nvSpPr>
        <xdr:spPr>
          <a:xfrm rot="2700000">
            <a:off x="556" y="1468"/>
            <a:ext cx="58" cy="87"/>
          </a:xfrm>
          <a:custGeom>
            <a:pathLst>
              <a:path fill="none" h="21600" w="37734">
                <a:moveTo>
                  <a:pt x="-1" y="7360"/>
                </a:moveTo>
                <a:cubicBezTo>
                  <a:pt x="4101" y="2682"/>
                  <a:pt x="10020" y="-1"/>
                  <a:pt x="16242" y="0"/>
                </a:cubicBezTo>
                <a:cubicBezTo>
                  <a:pt x="27336" y="0"/>
                  <a:pt x="36627" y="8405"/>
                  <a:pt x="37734" y="19444"/>
                </a:cubicBezTo>
              </a:path>
              <a:path stroke="0" h="21600" w="37734">
                <a:moveTo>
                  <a:pt x="-1" y="7360"/>
                </a:moveTo>
                <a:cubicBezTo>
                  <a:pt x="4101" y="2682"/>
                  <a:pt x="10020" y="-1"/>
                  <a:pt x="16242" y="0"/>
                </a:cubicBezTo>
                <a:cubicBezTo>
                  <a:pt x="27336" y="0"/>
                  <a:pt x="36627" y="8405"/>
                  <a:pt x="37734" y="19444"/>
                </a:cubicBezTo>
                <a:lnTo>
                  <a:pt x="16242" y="21600"/>
                </a:lnTo>
                <a:lnTo>
                  <a:pt x="-1" y="736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1" descr="Small confetti"/>
          <xdr:cNvSpPr>
            <a:spLocks/>
          </xdr:cNvSpPr>
        </xdr:nvSpPr>
        <xdr:spPr>
          <a:xfrm>
            <a:off x="402" y="1475"/>
            <a:ext cx="215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02"/>
          <xdr:cNvSpPr>
            <a:spLocks/>
          </xdr:cNvSpPr>
        </xdr:nvSpPr>
        <xdr:spPr>
          <a:xfrm>
            <a:off x="560" y="1488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3"/>
          <xdr:cNvSpPr>
            <a:spLocks/>
          </xdr:cNvSpPr>
        </xdr:nvSpPr>
        <xdr:spPr>
          <a:xfrm>
            <a:off x="560" y="1458"/>
            <a:ext cx="4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04"/>
          <xdr:cNvSpPr>
            <a:spLocks/>
          </xdr:cNvSpPr>
        </xdr:nvSpPr>
        <xdr:spPr>
          <a:xfrm>
            <a:off x="401" y="1474"/>
            <a:ext cx="2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05"/>
          <xdr:cNvSpPr>
            <a:spLocks/>
          </xdr:cNvSpPr>
        </xdr:nvSpPr>
        <xdr:spPr>
          <a:xfrm>
            <a:off x="560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6"/>
          <xdr:cNvSpPr>
            <a:spLocks/>
          </xdr:cNvSpPr>
        </xdr:nvSpPr>
        <xdr:spPr>
          <a:xfrm>
            <a:off x="77" y="1462"/>
            <a:ext cx="13" cy="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74" name="Group 108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75" name="Rectangle 3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4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6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9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0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1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2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3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4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6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7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8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9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0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1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2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3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4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5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6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7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28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9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31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2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3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86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5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7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7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7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7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5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60</xdr:row>
      <xdr:rowOff>95250</xdr:rowOff>
    </xdr:from>
    <xdr:to>
      <xdr:col>6</xdr:col>
      <xdr:colOff>257175</xdr:colOff>
      <xdr:row>76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1495425" y="9867900"/>
          <a:ext cx="2781300" cy="2495550"/>
          <a:chOff x="157" y="1036"/>
          <a:chExt cx="292" cy="262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257" y="1048"/>
            <a:ext cx="49" cy="2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6" descr="Light horizontal"/>
          <xdr:cNvSpPr>
            <a:spLocks/>
          </xdr:cNvSpPr>
        </xdr:nvSpPr>
        <xdr:spPr>
          <a:xfrm>
            <a:off x="306" y="1078"/>
            <a:ext cx="73" cy="173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H="1">
            <a:off x="160" y="1078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 flipH="1">
            <a:off x="157" y="1251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57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73" y="1078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7" y="1283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0" y="10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flipV="1">
            <a:off x="306" y="1062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306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379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6" y="1283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310" y="1078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44" y="10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257" y="1036"/>
            <a:ext cx="2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0" descr="Small confetti"/>
          <xdr:cNvSpPr>
            <a:spLocks/>
          </xdr:cNvSpPr>
        </xdr:nvSpPr>
        <xdr:spPr>
          <a:xfrm>
            <a:off x="307" y="1063"/>
            <a:ext cx="139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1" descr="Small confetti"/>
          <xdr:cNvSpPr>
            <a:spLocks/>
          </xdr:cNvSpPr>
        </xdr:nvSpPr>
        <xdr:spPr>
          <a:xfrm>
            <a:off x="163" y="1063"/>
            <a:ext cx="93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2" descr="Small confetti"/>
          <xdr:cNvSpPr>
            <a:spLocks/>
          </xdr:cNvSpPr>
        </xdr:nvSpPr>
        <xdr:spPr>
          <a:xfrm>
            <a:off x="258" y="1252"/>
            <a:ext cx="47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18" y="1078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54"/>
          <xdr:cNvSpPr>
            <a:spLocks/>
          </xdr:cNvSpPr>
        </xdr:nvSpPr>
        <xdr:spPr>
          <a:xfrm>
            <a:off x="280" y="1076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219" y="1251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262" y="1060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31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3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6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8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9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1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4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5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6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7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9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1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2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3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4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5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6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7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8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9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0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1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62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60</xdr:row>
      <xdr:rowOff>95250</xdr:rowOff>
    </xdr:from>
    <xdr:to>
      <xdr:col>6</xdr:col>
      <xdr:colOff>257175</xdr:colOff>
      <xdr:row>76</xdr:row>
      <xdr:rowOff>0</xdr:rowOff>
    </xdr:to>
    <xdr:grpSp>
      <xdr:nvGrpSpPr>
        <xdr:cNvPr id="33" name="Group 64"/>
        <xdr:cNvGrpSpPr>
          <a:grpSpLocks/>
        </xdr:cNvGrpSpPr>
      </xdr:nvGrpSpPr>
      <xdr:grpSpPr>
        <a:xfrm>
          <a:off x="1495425" y="9867900"/>
          <a:ext cx="2781300" cy="2495550"/>
          <a:chOff x="157" y="1036"/>
          <a:chExt cx="292" cy="262"/>
        </a:xfrm>
        <a:solidFill>
          <a:srgbClr val="FFFFFF"/>
        </a:solidFill>
      </xdr:grpSpPr>
      <xdr:sp>
        <xdr:nvSpPr>
          <xdr:cNvPr id="34" name="Rectangle 1"/>
          <xdr:cNvSpPr>
            <a:spLocks/>
          </xdr:cNvSpPr>
        </xdr:nvSpPr>
        <xdr:spPr>
          <a:xfrm>
            <a:off x="257" y="1048"/>
            <a:ext cx="49" cy="2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"/>
          <xdr:cNvSpPr>
            <a:spLocks/>
          </xdr:cNvSpPr>
        </xdr:nvSpPr>
        <xdr:spPr>
          <a:xfrm flipH="1">
            <a:off x="160" y="1078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"/>
          <xdr:cNvSpPr>
            <a:spLocks/>
          </xdr:cNvSpPr>
        </xdr:nvSpPr>
        <xdr:spPr>
          <a:xfrm flipH="1">
            <a:off x="157" y="125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"/>
          <xdr:cNvSpPr>
            <a:spLocks/>
          </xdr:cNvSpPr>
        </xdr:nvSpPr>
        <xdr:spPr>
          <a:xfrm>
            <a:off x="257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"/>
          <xdr:cNvSpPr>
            <a:spLocks/>
          </xdr:cNvSpPr>
        </xdr:nvSpPr>
        <xdr:spPr>
          <a:xfrm>
            <a:off x="173" y="1078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6"/>
          <xdr:cNvSpPr>
            <a:spLocks/>
          </xdr:cNvSpPr>
        </xdr:nvSpPr>
        <xdr:spPr>
          <a:xfrm>
            <a:off x="257" y="1283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"/>
          <xdr:cNvSpPr>
            <a:spLocks/>
          </xdr:cNvSpPr>
        </xdr:nvSpPr>
        <xdr:spPr>
          <a:xfrm>
            <a:off x="160" y="10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8"/>
          <xdr:cNvSpPr>
            <a:spLocks/>
          </xdr:cNvSpPr>
        </xdr:nvSpPr>
        <xdr:spPr>
          <a:xfrm flipV="1">
            <a:off x="306" y="1062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"/>
          <xdr:cNvSpPr>
            <a:spLocks/>
          </xdr:cNvSpPr>
        </xdr:nvSpPr>
        <xdr:spPr>
          <a:xfrm>
            <a:off x="306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"/>
          <xdr:cNvSpPr>
            <a:spLocks/>
          </xdr:cNvSpPr>
        </xdr:nvSpPr>
        <xdr:spPr>
          <a:xfrm>
            <a:off x="340" y="1223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"/>
          <xdr:cNvSpPr>
            <a:spLocks/>
          </xdr:cNvSpPr>
        </xdr:nvSpPr>
        <xdr:spPr>
          <a:xfrm>
            <a:off x="306" y="1283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2"/>
          <xdr:cNvSpPr>
            <a:spLocks/>
          </xdr:cNvSpPr>
        </xdr:nvSpPr>
        <xdr:spPr>
          <a:xfrm>
            <a:off x="310" y="1078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3"/>
          <xdr:cNvSpPr>
            <a:spLocks/>
          </xdr:cNvSpPr>
        </xdr:nvSpPr>
        <xdr:spPr>
          <a:xfrm>
            <a:off x="244" y="10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4"/>
          <xdr:cNvSpPr>
            <a:spLocks/>
          </xdr:cNvSpPr>
        </xdr:nvSpPr>
        <xdr:spPr>
          <a:xfrm>
            <a:off x="257" y="1036"/>
            <a:ext cx="2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5" descr="Small confetti"/>
          <xdr:cNvSpPr>
            <a:spLocks/>
          </xdr:cNvSpPr>
        </xdr:nvSpPr>
        <xdr:spPr>
          <a:xfrm>
            <a:off x="307" y="1063"/>
            <a:ext cx="139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16" descr="Small confetti"/>
          <xdr:cNvSpPr>
            <a:spLocks/>
          </xdr:cNvSpPr>
        </xdr:nvSpPr>
        <xdr:spPr>
          <a:xfrm>
            <a:off x="163" y="1063"/>
            <a:ext cx="93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17" descr="Small confetti"/>
          <xdr:cNvSpPr>
            <a:spLocks/>
          </xdr:cNvSpPr>
        </xdr:nvSpPr>
        <xdr:spPr>
          <a:xfrm>
            <a:off x="258" y="1252"/>
            <a:ext cx="47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8"/>
          <xdr:cNvSpPr>
            <a:spLocks/>
          </xdr:cNvSpPr>
        </xdr:nvSpPr>
        <xdr:spPr>
          <a:xfrm>
            <a:off x="218" y="1078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9"/>
          <xdr:cNvSpPr>
            <a:spLocks/>
          </xdr:cNvSpPr>
        </xdr:nvSpPr>
        <xdr:spPr>
          <a:xfrm>
            <a:off x="280" y="1076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0" descr="Light horizontal"/>
          <xdr:cNvSpPr>
            <a:spLocks/>
          </xdr:cNvSpPr>
        </xdr:nvSpPr>
        <xdr:spPr>
          <a:xfrm>
            <a:off x="306" y="1135"/>
            <a:ext cx="35" cy="84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1" descr="Light horizontal"/>
          <xdr:cNvSpPr>
            <a:spLocks/>
          </xdr:cNvSpPr>
        </xdr:nvSpPr>
        <xdr:spPr>
          <a:xfrm>
            <a:off x="222" y="1218"/>
            <a:ext cx="35" cy="33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2"/>
          <xdr:cNvSpPr>
            <a:spLocks/>
          </xdr:cNvSpPr>
        </xdr:nvSpPr>
        <xdr:spPr>
          <a:xfrm>
            <a:off x="345" y="113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23"/>
          <xdr:cNvSpPr>
            <a:spLocks/>
          </xdr:cNvSpPr>
        </xdr:nvSpPr>
        <xdr:spPr>
          <a:xfrm>
            <a:off x="345" y="1218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24"/>
          <xdr:cNvSpPr>
            <a:spLocks/>
          </xdr:cNvSpPr>
        </xdr:nvSpPr>
        <xdr:spPr>
          <a:xfrm>
            <a:off x="387" y="1078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5"/>
          <xdr:cNvSpPr>
            <a:spLocks/>
          </xdr:cNvSpPr>
        </xdr:nvSpPr>
        <xdr:spPr>
          <a:xfrm>
            <a:off x="387" y="1135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6"/>
          <xdr:cNvSpPr>
            <a:spLocks/>
          </xdr:cNvSpPr>
        </xdr:nvSpPr>
        <xdr:spPr>
          <a:xfrm>
            <a:off x="222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7"/>
          <xdr:cNvSpPr>
            <a:spLocks/>
          </xdr:cNvSpPr>
        </xdr:nvSpPr>
        <xdr:spPr>
          <a:xfrm>
            <a:off x="222" y="1283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8"/>
          <xdr:cNvSpPr>
            <a:spLocks/>
          </xdr:cNvSpPr>
        </xdr:nvSpPr>
        <xdr:spPr>
          <a:xfrm>
            <a:off x="184" y="1235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9"/>
          <xdr:cNvSpPr>
            <a:spLocks/>
          </xdr:cNvSpPr>
        </xdr:nvSpPr>
        <xdr:spPr>
          <a:xfrm flipH="1">
            <a:off x="342" y="117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62" y="1060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9" width="9.140625" style="176" customWidth="1"/>
    <col min="10" max="10" width="7.140625" style="176" customWidth="1"/>
    <col min="11" max="11" width="9.140625" style="176" customWidth="1"/>
    <col min="12" max="16384" width="9.140625" style="62" customWidth="1"/>
  </cols>
  <sheetData>
    <row r="1" spans="1:10" ht="15.75">
      <c r="A1" s="174" t="s">
        <v>277</v>
      </c>
      <c r="B1" s="175"/>
      <c r="C1" s="175"/>
      <c r="D1" s="175"/>
      <c r="E1" s="175"/>
      <c r="F1" s="175"/>
      <c r="G1" s="175"/>
      <c r="H1" s="175"/>
      <c r="I1" s="175"/>
      <c r="J1" s="175"/>
    </row>
    <row r="3" ht="12.75">
      <c r="A3" s="177" t="s">
        <v>134</v>
      </c>
    </row>
    <row r="5" ht="12.75">
      <c r="A5" s="176" t="s">
        <v>278</v>
      </c>
    </row>
    <row r="6" ht="12.75">
      <c r="A6" s="176" t="s">
        <v>140</v>
      </c>
    </row>
    <row r="7" ht="12.75">
      <c r="A7" s="176" t="s">
        <v>191</v>
      </c>
    </row>
    <row r="8" ht="12.75">
      <c r="A8" s="176" t="s">
        <v>141</v>
      </c>
    </row>
    <row r="10" ht="12.75">
      <c r="A10" s="176" t="s">
        <v>185</v>
      </c>
    </row>
    <row r="12" spans="1:10" ht="12.75">
      <c r="A12" s="178" t="s">
        <v>135</v>
      </c>
      <c r="B12" s="179"/>
      <c r="C12" s="180"/>
      <c r="D12" s="181" t="s">
        <v>136</v>
      </c>
      <c r="E12" s="182"/>
      <c r="F12" s="182"/>
      <c r="G12" s="182"/>
      <c r="H12" s="182"/>
      <c r="I12" s="182"/>
      <c r="J12" s="183"/>
    </row>
    <row r="13" spans="1:10" ht="12.75">
      <c r="A13" s="184" t="s">
        <v>137</v>
      </c>
      <c r="B13" s="185"/>
      <c r="C13" s="186"/>
      <c r="D13" s="185" t="s">
        <v>138</v>
      </c>
      <c r="E13" s="185"/>
      <c r="F13" s="185"/>
      <c r="G13" s="185"/>
      <c r="H13" s="185"/>
      <c r="I13" s="185"/>
      <c r="J13" s="186"/>
    </row>
    <row r="14" spans="1:10" ht="12.75">
      <c r="A14" s="216" t="s">
        <v>180</v>
      </c>
      <c r="B14" s="217"/>
      <c r="C14" s="218"/>
      <c r="D14" s="217" t="s">
        <v>187</v>
      </c>
      <c r="E14" s="217"/>
      <c r="F14" s="217"/>
      <c r="G14" s="217"/>
      <c r="H14" s="217"/>
      <c r="I14" s="217"/>
      <c r="J14" s="218"/>
    </row>
    <row r="15" spans="1:10" ht="12.75">
      <c r="A15" s="216" t="s">
        <v>317</v>
      </c>
      <c r="B15" s="217"/>
      <c r="C15" s="218"/>
      <c r="D15" s="217" t="s">
        <v>320</v>
      </c>
      <c r="E15" s="217"/>
      <c r="F15" s="217"/>
      <c r="G15" s="217"/>
      <c r="H15" s="217"/>
      <c r="I15" s="217"/>
      <c r="J15" s="218"/>
    </row>
    <row r="16" spans="1:10" ht="12.75">
      <c r="A16" s="216" t="s">
        <v>183</v>
      </c>
      <c r="B16" s="217"/>
      <c r="C16" s="218"/>
      <c r="D16" s="217" t="s">
        <v>184</v>
      </c>
      <c r="E16" s="217"/>
      <c r="F16" s="217"/>
      <c r="G16" s="217"/>
      <c r="H16" s="217"/>
      <c r="I16" s="217"/>
      <c r="J16" s="218"/>
    </row>
    <row r="17" spans="1:10" ht="12.75">
      <c r="A17" s="216" t="s">
        <v>181</v>
      </c>
      <c r="B17" s="217"/>
      <c r="C17" s="218"/>
      <c r="D17" s="217" t="s">
        <v>188</v>
      </c>
      <c r="E17" s="217"/>
      <c r="F17" s="217"/>
      <c r="G17" s="217"/>
      <c r="H17" s="217"/>
      <c r="I17" s="217"/>
      <c r="J17" s="218"/>
    </row>
    <row r="18" spans="1:10" ht="12.75">
      <c r="A18" s="187" t="s">
        <v>182</v>
      </c>
      <c r="B18" s="188"/>
      <c r="C18" s="189"/>
      <c r="D18" s="188" t="s">
        <v>189</v>
      </c>
      <c r="E18" s="188"/>
      <c r="F18" s="188"/>
      <c r="G18" s="188"/>
      <c r="H18" s="188"/>
      <c r="I18" s="188"/>
      <c r="J18" s="189"/>
    </row>
    <row r="20" ht="12.75">
      <c r="A20" s="177" t="s">
        <v>139</v>
      </c>
    </row>
    <row r="22" ht="12.75">
      <c r="A22" s="176" t="s">
        <v>221</v>
      </c>
    </row>
    <row r="23" ht="12.75">
      <c r="A23" s="176" t="s">
        <v>222</v>
      </c>
    </row>
    <row r="24" ht="12.75">
      <c r="A24" s="176" t="s">
        <v>223</v>
      </c>
    </row>
    <row r="25" ht="12.75">
      <c r="A25" s="176" t="s">
        <v>224</v>
      </c>
    </row>
    <row r="26" ht="12.75">
      <c r="A26" s="176" t="s">
        <v>225</v>
      </c>
    </row>
    <row r="27" spans="2:3" ht="12.75">
      <c r="B27" s="236" t="s">
        <v>195</v>
      </c>
      <c r="C27" s="278" t="s">
        <v>196</v>
      </c>
    </row>
    <row r="28" spans="2:3" ht="12.75">
      <c r="B28" s="236"/>
      <c r="C28" s="279" t="s">
        <v>197</v>
      </c>
    </row>
    <row r="29" spans="2:3" ht="12.75">
      <c r="B29" s="236" t="s">
        <v>198</v>
      </c>
      <c r="C29" s="277" t="s">
        <v>193</v>
      </c>
    </row>
    <row r="30" spans="2:3" ht="12.75">
      <c r="B30" s="236"/>
      <c r="C30" s="277" t="s">
        <v>194</v>
      </c>
    </row>
    <row r="31" spans="2:3" ht="12.75">
      <c r="B31" s="236" t="s">
        <v>199</v>
      </c>
      <c r="C31" s="253" t="s">
        <v>323</v>
      </c>
    </row>
    <row r="32" spans="2:3" ht="12.75">
      <c r="B32" s="236" t="s">
        <v>201</v>
      </c>
      <c r="C32" s="253" t="s">
        <v>200</v>
      </c>
    </row>
    <row r="33" spans="2:3" ht="12.75">
      <c r="B33" s="236" t="s">
        <v>204</v>
      </c>
      <c r="C33" s="277" t="s">
        <v>202</v>
      </c>
    </row>
    <row r="34" spans="2:3" ht="12.75">
      <c r="B34" s="236"/>
      <c r="C34" s="277" t="s">
        <v>203</v>
      </c>
    </row>
    <row r="35" spans="2:3" ht="12.75">
      <c r="B35" s="236" t="s">
        <v>292</v>
      </c>
      <c r="C35" s="176" t="s">
        <v>296</v>
      </c>
    </row>
    <row r="36" ht="12.75">
      <c r="C36" s="176" t="s">
        <v>297</v>
      </c>
    </row>
    <row r="37" ht="12.75">
      <c r="A37" s="176" t="s">
        <v>303</v>
      </c>
    </row>
    <row r="38" ht="12.75">
      <c r="A38" s="176" t="s">
        <v>295</v>
      </c>
    </row>
    <row r="39" ht="12.75">
      <c r="A39" s="176" t="s">
        <v>205</v>
      </c>
    </row>
    <row r="40" ht="12.75">
      <c r="A40" s="176" t="s">
        <v>192</v>
      </c>
    </row>
    <row r="41" ht="12.75">
      <c r="A41" s="176" t="s">
        <v>214</v>
      </c>
    </row>
    <row r="42" ht="12.75">
      <c r="A42" s="176" t="s">
        <v>142</v>
      </c>
    </row>
    <row r="43" ht="12.75">
      <c r="A43" s="176" t="s">
        <v>143</v>
      </c>
    </row>
    <row r="44" ht="12.75">
      <c r="A44" s="176" t="s">
        <v>215</v>
      </c>
    </row>
    <row r="45" ht="12.75">
      <c r="A45" s="176" t="s">
        <v>216</v>
      </c>
    </row>
    <row r="46" ht="12.75">
      <c r="A46" s="176" t="s">
        <v>144</v>
      </c>
    </row>
    <row r="47" ht="12.75">
      <c r="A47" s="176" t="s">
        <v>217</v>
      </c>
    </row>
    <row r="48" ht="12.75">
      <c r="A48" s="176" t="s">
        <v>206</v>
      </c>
    </row>
    <row r="49" ht="12.75">
      <c r="A49" s="176" t="s">
        <v>207</v>
      </c>
    </row>
    <row r="50" ht="12.75">
      <c r="A50" s="176" t="s">
        <v>218</v>
      </c>
    </row>
    <row r="51" ht="12.75">
      <c r="A51" s="176" t="s">
        <v>208</v>
      </c>
    </row>
    <row r="52" ht="12.75">
      <c r="A52" s="176" t="s">
        <v>209</v>
      </c>
    </row>
    <row r="53" ht="12.75">
      <c r="A53" s="176" t="s">
        <v>210</v>
      </c>
    </row>
    <row r="54" ht="12.75">
      <c r="A54" s="176" t="s">
        <v>211</v>
      </c>
    </row>
    <row r="55" ht="12.75">
      <c r="A55" s="176" t="s">
        <v>219</v>
      </c>
    </row>
    <row r="56" ht="12.75">
      <c r="A56" s="176" t="s">
        <v>212</v>
      </c>
    </row>
    <row r="57" ht="12.75">
      <c r="A57" s="176" t="s">
        <v>213</v>
      </c>
    </row>
    <row r="58" ht="12.75">
      <c r="A58" s="176" t="s">
        <v>220</v>
      </c>
    </row>
    <row r="59" ht="12.75">
      <c r="A59" s="176" t="s">
        <v>145</v>
      </c>
    </row>
    <row r="60" ht="12.75">
      <c r="A60" s="176" t="s">
        <v>146</v>
      </c>
    </row>
    <row r="61" ht="12.75">
      <c r="A61" s="176" t="s">
        <v>147</v>
      </c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rowBreaks count="1" manualBreakCount="1">
    <brk id="49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97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338</v>
      </c>
      <c r="AB1" s="98"/>
      <c r="AC1" s="98"/>
      <c r="AD1" s="62"/>
      <c r="AE1" s="123"/>
      <c r="AF1" s="123"/>
    </row>
    <row r="2" spans="1:32" ht="12.75">
      <c r="A2" s="77" t="s">
        <v>333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>
        <v>2</v>
      </c>
      <c r="M3" s="138" t="s">
        <v>59</v>
      </c>
      <c r="N3" s="73"/>
      <c r="O3" s="70"/>
      <c r="P3" s="70"/>
      <c r="Q3" s="98"/>
      <c r="R3" s="98"/>
      <c r="V3" s="70" t="s">
        <v>148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133</v>
      </c>
      <c r="G4" s="156"/>
      <c r="H4" s="157"/>
      <c r="I4" s="158"/>
      <c r="J4" s="50"/>
      <c r="K4" s="102">
        <v>2.5</v>
      </c>
      <c r="L4" s="70"/>
      <c r="M4" s="104" t="s">
        <v>19</v>
      </c>
      <c r="N4" s="108">
        <f>$D$22/$D$10</f>
        <v>0.9333333333333332</v>
      </c>
      <c r="O4" s="106" t="s">
        <v>20</v>
      </c>
      <c r="P4" s="106" t="s">
        <v>21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132</v>
      </c>
      <c r="G5" s="191"/>
      <c r="H5" s="155" t="s">
        <v>131</v>
      </c>
      <c r="I5" s="191"/>
      <c r="J5" s="50"/>
      <c r="K5" s="102">
        <v>3</v>
      </c>
      <c r="L5" s="70"/>
      <c r="M5" s="104" t="s">
        <v>12</v>
      </c>
      <c r="N5" s="108">
        <f>($D$24+$D$22*($D$23+$D$11+$D$17))/$D$10</f>
        <v>17.13333333333333</v>
      </c>
      <c r="O5" s="106" t="s">
        <v>56</v>
      </c>
      <c r="P5" s="106" t="s">
        <v>129</v>
      </c>
      <c r="V5" s="98">
        <v>1</v>
      </c>
      <c r="W5" s="58">
        <f>2</f>
        <v>2</v>
      </c>
      <c r="X5" s="108">
        <f>$W5^3-14.14*$N$4*$W5/$N$8-18.85*$N$5/$N$8</f>
        <v>-1156.526666666667</v>
      </c>
      <c r="Y5" s="147"/>
      <c r="Z5" s="11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>
        <v>3.5</v>
      </c>
      <c r="L6" s="70"/>
      <c r="M6" s="104" t="s">
        <v>22</v>
      </c>
      <c r="N6" s="105">
        <f>IF($N$4=0,$N$5/0.001,$N$5/$N$4)</f>
        <v>18.357142857142854</v>
      </c>
      <c r="O6" s="106" t="s">
        <v>3</v>
      </c>
      <c r="P6" s="106" t="s">
        <v>130</v>
      </c>
      <c r="V6" s="98">
        <v>2</v>
      </c>
      <c r="W6" s="58">
        <f aca="true" t="shared" si="0" ref="W6:W69">$W5+1/12</f>
        <v>2.0833333333333335</v>
      </c>
      <c r="X6" s="108">
        <f aca="true" t="shared" si="1" ref="X6:X69">$W6^3-14.14*$N$4*$W6/$N$8-18.85*$N$5/$N$8</f>
        <v>-1159.1503472222228</v>
      </c>
      <c r="Y6" s="147"/>
      <c r="Z6" s="11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>
        <v>4</v>
      </c>
      <c r="L7" s="70"/>
      <c r="M7" s="69" t="s">
        <v>89</v>
      </c>
      <c r="N7" s="102">
        <f>(TAN(PI()/180*(45+$D$16/2)))^2</f>
        <v>2.9999999999999982</v>
      </c>
      <c r="O7" s="70"/>
      <c r="P7" s="51" t="s">
        <v>159</v>
      </c>
      <c r="U7" s="102"/>
      <c r="V7" s="98">
        <v>3</v>
      </c>
      <c r="W7" s="58">
        <f t="shared" si="0"/>
        <v>2.166666666666667</v>
      </c>
      <c r="X7" s="108">
        <f t="shared" si="1"/>
        <v>-1161.6872222222228</v>
      </c>
      <c r="Y7" s="147"/>
      <c r="Z7" s="11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>
        <v>4.5</v>
      </c>
      <c r="L8" s="70"/>
      <c r="M8" s="69" t="s">
        <v>108</v>
      </c>
      <c r="N8" s="102">
        <f>$N$7*$D$15</f>
        <v>0.2999999999999998</v>
      </c>
      <c r="O8" s="70" t="s">
        <v>13</v>
      </c>
      <c r="P8" s="51" t="s">
        <v>112</v>
      </c>
      <c r="V8" s="98">
        <v>4</v>
      </c>
      <c r="W8" s="58">
        <f t="shared" si="0"/>
        <v>2.2500000000000004</v>
      </c>
      <c r="X8" s="108">
        <f t="shared" si="1"/>
        <v>-1164.133819444445</v>
      </c>
      <c r="Y8" s="147"/>
      <c r="Z8" s="117"/>
      <c r="AB8" s="125"/>
      <c r="AC8" s="98"/>
      <c r="AD8" s="46"/>
      <c r="AE8" s="46"/>
      <c r="AF8" s="46"/>
    </row>
    <row r="9" spans="1:32" ht="12.75">
      <c r="A9" s="151" t="s">
        <v>109</v>
      </c>
      <c r="B9" s="10"/>
      <c r="C9" s="10"/>
      <c r="D9" s="10"/>
      <c r="E9" s="10"/>
      <c r="F9" s="13"/>
      <c r="G9" s="81" t="str">
        <f>"Pv="&amp;$D$21&amp;" k"</f>
        <v>Pv=16.5 k</v>
      </c>
      <c r="H9" s="6"/>
      <c r="I9" s="14"/>
      <c r="J9" s="46"/>
      <c r="K9" s="108">
        <v>5</v>
      </c>
      <c r="L9" s="70"/>
      <c r="M9" s="104" t="s">
        <v>18</v>
      </c>
      <c r="N9" s="73">
        <f>ROUND($W$466,3)</f>
        <v>11.672</v>
      </c>
      <c r="O9" s="106" t="s">
        <v>3</v>
      </c>
      <c r="P9" s="51" t="s">
        <v>331</v>
      </c>
      <c r="V9" s="98">
        <v>5</v>
      </c>
      <c r="W9" s="58">
        <f t="shared" si="0"/>
        <v>2.333333333333334</v>
      </c>
      <c r="X9" s="108">
        <f t="shared" si="1"/>
        <v>-1166.4866666666671</v>
      </c>
      <c r="Y9" s="147"/>
      <c r="Z9" s="11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1.5</v>
      </c>
      <c r="E10" s="64" t="s">
        <v>3</v>
      </c>
      <c r="F10" s="13"/>
      <c r="G10" s="6"/>
      <c r="H10" s="6"/>
      <c r="I10" s="14"/>
      <c r="J10" s="36"/>
      <c r="L10" s="70"/>
      <c r="M10" s="104" t="s">
        <v>82</v>
      </c>
      <c r="N10" s="105">
        <f>$N$9/$D$10</f>
        <v>7.781333333333333</v>
      </c>
      <c r="O10" s="106"/>
      <c r="P10" s="51" t="s">
        <v>83</v>
      </c>
      <c r="V10" s="98">
        <v>6</v>
      </c>
      <c r="W10" s="58">
        <f t="shared" si="0"/>
        <v>2.4166666666666674</v>
      </c>
      <c r="X10" s="108">
        <f t="shared" si="1"/>
        <v>-1168.7422916666671</v>
      </c>
      <c r="Y10" s="147"/>
      <c r="Z10" s="11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5">
        <v>0</v>
      </c>
      <c r="E11" s="64" t="s">
        <v>3</v>
      </c>
      <c r="F11" s="6"/>
      <c r="G11" s="6"/>
      <c r="H11" s="81" t="str">
        <f>"M="&amp;$D$24&amp;" ft-k"</f>
        <v>M=8.9 ft-k</v>
      </c>
      <c r="I11" s="14"/>
      <c r="L11" s="51"/>
      <c r="M11" s="104" t="s">
        <v>31</v>
      </c>
      <c r="N11" s="105">
        <f>$D$11+$D$17+$N$9</f>
        <v>11.672</v>
      </c>
      <c r="O11" s="106" t="s">
        <v>3</v>
      </c>
      <c r="P11" s="51" t="s">
        <v>84</v>
      </c>
      <c r="T11" s="102"/>
      <c r="V11" s="98">
        <v>7</v>
      </c>
      <c r="W11" s="58">
        <f t="shared" si="0"/>
        <v>2.500000000000001</v>
      </c>
      <c r="X11" s="108">
        <f t="shared" si="1"/>
        <v>-1170.8972222222228</v>
      </c>
      <c r="Y11" s="147"/>
      <c r="Z11" s="117"/>
      <c r="AB11" s="125"/>
      <c r="AC11" s="98"/>
      <c r="AD11" s="46"/>
      <c r="AE11" s="46"/>
      <c r="AF11" s="46"/>
    </row>
    <row r="12" spans="1:32" ht="12.75">
      <c r="A12" s="7"/>
      <c r="B12" s="10"/>
      <c r="C12" s="48" t="s">
        <v>55</v>
      </c>
      <c r="D12" s="166">
        <v>4</v>
      </c>
      <c r="E12" s="67" t="s">
        <v>25</v>
      </c>
      <c r="F12" s="81" t="str">
        <f>"Ph="&amp;$D$22&amp;" k"</f>
        <v>Ph=1.4 k</v>
      </c>
      <c r="G12" s="6"/>
      <c r="H12" s="6"/>
      <c r="I12" s="14"/>
      <c r="K12" s="103"/>
      <c r="L12" s="70"/>
      <c r="M12" s="138" t="s">
        <v>61</v>
      </c>
      <c r="N12" s="108"/>
      <c r="O12" s="106"/>
      <c r="P12" s="106"/>
      <c r="T12" s="98"/>
      <c r="V12" s="98">
        <v>8</v>
      </c>
      <c r="W12" s="58">
        <f t="shared" si="0"/>
        <v>2.5833333333333344</v>
      </c>
      <c r="X12" s="108">
        <f t="shared" si="1"/>
        <v>-1172.9479861111117</v>
      </c>
      <c r="Y12" s="147"/>
      <c r="Z12" s="117"/>
      <c r="AB12" s="125"/>
      <c r="AC12" s="98"/>
      <c r="AD12" s="46"/>
      <c r="AE12" s="46"/>
      <c r="AF12" s="46"/>
    </row>
    <row r="13" spans="1:32" ht="12.75">
      <c r="A13" s="16"/>
      <c r="B13" s="12"/>
      <c r="C13" s="12"/>
      <c r="D13" s="41"/>
      <c r="E13" s="64"/>
      <c r="F13" s="6"/>
      <c r="G13" s="6"/>
      <c r="H13" s="6"/>
      <c r="I13" s="14"/>
      <c r="K13" s="103"/>
      <c r="L13" s="70"/>
      <c r="M13" s="104" t="s">
        <v>32</v>
      </c>
      <c r="N13" s="108">
        <f>$N$9*(4*$N$6/$N$9+3)/(6*$N$6/$N$9+4)</f>
        <v>8.070892812638913</v>
      </c>
      <c r="O13" s="106" t="s">
        <v>3</v>
      </c>
      <c r="P13" s="51" t="s">
        <v>126</v>
      </c>
      <c r="V13" s="98">
        <v>9</v>
      </c>
      <c r="W13" s="58">
        <f t="shared" si="0"/>
        <v>2.666666666666668</v>
      </c>
      <c r="X13" s="108">
        <f t="shared" si="1"/>
        <v>-1174.8911111111117</v>
      </c>
      <c r="Y13" s="147"/>
      <c r="Z13" s="117"/>
      <c r="AB13" s="125"/>
      <c r="AC13" s="98"/>
      <c r="AD13" s="46"/>
      <c r="AE13" s="46"/>
      <c r="AF13" s="46"/>
    </row>
    <row r="14" spans="1:32" ht="12.75">
      <c r="A14" s="151" t="s">
        <v>110</v>
      </c>
      <c r="B14" s="10"/>
      <c r="C14" s="48"/>
      <c r="D14" s="36"/>
      <c r="E14" s="10"/>
      <c r="F14" s="6"/>
      <c r="G14" s="6"/>
      <c r="H14" s="6"/>
      <c r="I14" s="14"/>
      <c r="K14" s="103"/>
      <c r="L14" s="70"/>
      <c r="M14" s="104" t="s">
        <v>41</v>
      </c>
      <c r="N14" s="108">
        <f>1.178*(4*$N$5+3*$N$4*$N$9)^2/($N$9^2*(3*$N$5+2*$N$4*$N$9))</f>
        <v>1.2103350842173963</v>
      </c>
      <c r="O14" s="106" t="s">
        <v>13</v>
      </c>
      <c r="P14" s="106" t="s">
        <v>329</v>
      </c>
      <c r="T14" s="102"/>
      <c r="V14" s="98">
        <v>10</v>
      </c>
      <c r="W14" s="58">
        <f t="shared" si="0"/>
        <v>2.7500000000000013</v>
      </c>
      <c r="X14" s="108">
        <f t="shared" si="1"/>
        <v>-1176.7231250000007</v>
      </c>
      <c r="Y14" s="147"/>
      <c r="Z14" s="117"/>
      <c r="AB14" s="125"/>
      <c r="AC14" s="98"/>
      <c r="AD14" s="46"/>
      <c r="AE14" s="46"/>
      <c r="AF14" s="46"/>
    </row>
    <row r="15" spans="1:32" ht="12.75">
      <c r="A15" s="7"/>
      <c r="B15" s="12"/>
      <c r="C15" s="12" t="s">
        <v>53</v>
      </c>
      <c r="D15" s="164">
        <v>0.1</v>
      </c>
      <c r="E15" s="65" t="s">
        <v>16</v>
      </c>
      <c r="F15" s="82" t="str">
        <f>"           H="&amp;$D$23&amp;"'"</f>
        <v>           H=12'</v>
      </c>
      <c r="G15" s="82"/>
      <c r="H15" s="6"/>
      <c r="I15" s="252" t="s">
        <v>252</v>
      </c>
      <c r="K15" s="109"/>
      <c r="L15" s="69"/>
      <c r="M15" s="104" t="s">
        <v>42</v>
      </c>
      <c r="N15" s="108">
        <f>$N$8*($N$13/2)</f>
        <v>1.2106339218958362</v>
      </c>
      <c r="O15" s="106" t="s">
        <v>13</v>
      </c>
      <c r="P15" s="106" t="s">
        <v>106</v>
      </c>
      <c r="V15" s="98">
        <v>11</v>
      </c>
      <c r="W15" s="58">
        <f t="shared" si="0"/>
        <v>2.833333333333335</v>
      </c>
      <c r="X15" s="108">
        <f t="shared" si="1"/>
        <v>-1178.440555555556</v>
      </c>
      <c r="Y15" s="147"/>
      <c r="Z15" s="117"/>
      <c r="AB15" s="46"/>
      <c r="AC15" s="98"/>
      <c r="AD15" s="46"/>
      <c r="AE15" s="46"/>
      <c r="AF15" s="46"/>
    </row>
    <row r="16" spans="1:32" ht="12.75">
      <c r="A16" s="63"/>
      <c r="B16" s="10"/>
      <c r="C16" s="48" t="s">
        <v>99</v>
      </c>
      <c r="D16" s="167">
        <v>30</v>
      </c>
      <c r="E16" s="67" t="s">
        <v>98</v>
      </c>
      <c r="F16" s="6"/>
      <c r="G16" s="6"/>
      <c r="H16" s="6"/>
      <c r="I16" s="252" t="s">
        <v>253</v>
      </c>
      <c r="K16" s="103"/>
      <c r="M16" s="104" t="s">
        <v>43</v>
      </c>
      <c r="N16" s="108">
        <f>9.425*(2*$N$5+$N$4*$N$9)/$N$9^2</f>
        <v>3.124279385528722</v>
      </c>
      <c r="O16" s="106" t="s">
        <v>13</v>
      </c>
      <c r="P16" s="106" t="s">
        <v>330</v>
      </c>
      <c r="V16" s="98">
        <v>12</v>
      </c>
      <c r="W16" s="58">
        <f t="shared" si="0"/>
        <v>2.9166666666666683</v>
      </c>
      <c r="X16" s="108">
        <f t="shared" si="1"/>
        <v>-1180.039930555556</v>
      </c>
      <c r="Y16" s="147"/>
      <c r="Z16" s="117"/>
      <c r="AB16" s="125"/>
      <c r="AC16" s="98"/>
      <c r="AD16" s="61"/>
      <c r="AE16" s="46"/>
      <c r="AF16" s="46"/>
    </row>
    <row r="17" spans="1:32" ht="12.75">
      <c r="A17" s="9"/>
      <c r="B17" s="12"/>
      <c r="C17" s="12" t="s">
        <v>127</v>
      </c>
      <c r="D17" s="165">
        <v>0</v>
      </c>
      <c r="E17" s="64" t="s">
        <v>3</v>
      </c>
      <c r="F17" s="6"/>
      <c r="G17" s="6"/>
      <c r="H17" s="82" t="str">
        <f>"    h1="&amp;$D$11&amp;"'"</f>
        <v>    h1=0'</v>
      </c>
      <c r="I17" s="14"/>
      <c r="K17" s="103"/>
      <c r="M17" s="104" t="s">
        <v>44</v>
      </c>
      <c r="N17" s="108">
        <f>$N$8*$N$9</f>
        <v>3.501599999999998</v>
      </c>
      <c r="O17" s="106" t="s">
        <v>13</v>
      </c>
      <c r="P17" s="106" t="s">
        <v>107</v>
      </c>
      <c r="V17" s="98">
        <v>13</v>
      </c>
      <c r="W17" s="58">
        <f t="shared" si="0"/>
        <v>3.0000000000000018</v>
      </c>
      <c r="X17" s="108">
        <f t="shared" si="1"/>
        <v>-1181.5177777777783</v>
      </c>
      <c r="Y17" s="147"/>
      <c r="Z17" s="117"/>
      <c r="AB17" s="125"/>
      <c r="AC17" s="98"/>
      <c r="AD17" s="61"/>
      <c r="AE17" s="46"/>
      <c r="AF17" s="46"/>
    </row>
    <row r="18" spans="1:32" ht="12.75">
      <c r="A18" s="7"/>
      <c r="B18" s="12"/>
      <c r="C18" s="48" t="s">
        <v>128</v>
      </c>
      <c r="D18" s="166">
        <v>2.5</v>
      </c>
      <c r="E18" s="67" t="s">
        <v>13</v>
      </c>
      <c r="F18" s="6"/>
      <c r="G18" s="6"/>
      <c r="H18" s="6"/>
      <c r="I18" s="85" t="str">
        <f>"  h2="&amp;$D$17&amp;"'"</f>
        <v>  h2=0'</v>
      </c>
      <c r="K18" s="100"/>
      <c r="L18" s="69"/>
      <c r="M18" s="138" t="s">
        <v>62</v>
      </c>
      <c r="N18" s="108"/>
      <c r="O18" s="106"/>
      <c r="P18" s="106"/>
      <c r="V18" s="98">
        <v>14</v>
      </c>
      <c r="W18" s="58">
        <f t="shared" si="0"/>
        <v>3.0833333333333353</v>
      </c>
      <c r="X18" s="108">
        <f t="shared" si="1"/>
        <v>-1182.8706250000005</v>
      </c>
      <c r="Y18" s="147"/>
      <c r="Z18" s="117"/>
      <c r="AB18" s="125"/>
      <c r="AC18" s="98"/>
      <c r="AD18" s="61"/>
      <c r="AE18" s="46"/>
      <c r="AF18" s="46"/>
    </row>
    <row r="19" spans="1:32" ht="12.75">
      <c r="A19" s="63"/>
      <c r="B19" s="10"/>
      <c r="C19" s="10"/>
      <c r="D19" s="10"/>
      <c r="E19" s="10"/>
      <c r="F19" s="6"/>
      <c r="G19" s="6"/>
      <c r="H19" s="6"/>
      <c r="I19" s="14"/>
      <c r="K19" s="100"/>
      <c r="L19" s="69"/>
      <c r="M19" s="104" t="s">
        <v>14</v>
      </c>
      <c r="N19" s="105">
        <f>PI()*$D$10^2/4</f>
        <v>1.7671458676442586</v>
      </c>
      <c r="O19" s="106" t="s">
        <v>15</v>
      </c>
      <c r="P19" s="96" t="s">
        <v>51</v>
      </c>
      <c r="V19" s="98">
        <v>15</v>
      </c>
      <c r="W19" s="58">
        <f t="shared" si="0"/>
        <v>3.1666666666666687</v>
      </c>
      <c r="X19" s="108">
        <f t="shared" si="1"/>
        <v>-1184.0950000000007</v>
      </c>
      <c r="Y19" s="147"/>
      <c r="Z19" s="117"/>
      <c r="AB19" s="60"/>
      <c r="AC19" s="98"/>
      <c r="AD19" s="60"/>
      <c r="AE19" s="46"/>
      <c r="AF19" s="46"/>
    </row>
    <row r="20" spans="1:32" ht="12.75">
      <c r="A20" s="152" t="s">
        <v>111</v>
      </c>
      <c r="B20" s="12"/>
      <c r="C20" s="12"/>
      <c r="D20" s="41"/>
      <c r="E20" s="66"/>
      <c r="F20" s="6"/>
      <c r="G20" s="6"/>
      <c r="H20" s="6"/>
      <c r="I20" s="14"/>
      <c r="K20" s="100"/>
      <c r="L20" s="69"/>
      <c r="M20" s="69" t="s">
        <v>57</v>
      </c>
      <c r="N20" s="73">
        <f>$N$19*$N$11*0.15</f>
        <v>3.0939189850715683</v>
      </c>
      <c r="O20" s="70" t="s">
        <v>7</v>
      </c>
      <c r="P20" s="70" t="s">
        <v>81</v>
      </c>
      <c r="Q20" s="98"/>
      <c r="V20" s="98">
        <v>16</v>
      </c>
      <c r="W20" s="58">
        <f t="shared" si="0"/>
        <v>3.250000000000002</v>
      </c>
      <c r="X20" s="108">
        <f t="shared" si="1"/>
        <v>-1185.1874305555561</v>
      </c>
      <c r="Y20" s="147"/>
      <c r="Z20" s="117"/>
      <c r="AB20" s="60"/>
      <c r="AC20" s="98"/>
      <c r="AD20" s="60"/>
      <c r="AE20" s="46"/>
      <c r="AF20" s="46"/>
    </row>
    <row r="21" spans="1:32" ht="12.75">
      <c r="A21" s="7"/>
      <c r="B21" s="12"/>
      <c r="C21" s="12" t="s">
        <v>5</v>
      </c>
      <c r="D21" s="164">
        <v>16.5</v>
      </c>
      <c r="E21" s="66" t="s">
        <v>7</v>
      </c>
      <c r="F21" s="65" t="s">
        <v>91</v>
      </c>
      <c r="G21" s="6"/>
      <c r="H21" s="6"/>
      <c r="I21" s="14"/>
      <c r="K21" s="100"/>
      <c r="L21" s="69"/>
      <c r="M21" s="128" t="s">
        <v>65</v>
      </c>
      <c r="N21" s="38">
        <f>$D$21+$N$20</f>
        <v>19.593918985071568</v>
      </c>
      <c r="O21" s="51" t="s">
        <v>7</v>
      </c>
      <c r="P21" s="135" t="s">
        <v>162</v>
      </c>
      <c r="V21" s="98">
        <v>17</v>
      </c>
      <c r="W21" s="58">
        <f t="shared" si="0"/>
        <v>3.3333333333333357</v>
      </c>
      <c r="X21" s="108">
        <f t="shared" si="1"/>
        <v>-1186.144444444445</v>
      </c>
      <c r="Y21" s="147"/>
      <c r="Z21" s="117"/>
      <c r="AB21" s="60"/>
      <c r="AC21" s="98"/>
      <c r="AD21" s="60"/>
      <c r="AE21" s="46"/>
      <c r="AF21" s="46"/>
    </row>
    <row r="22" spans="1:32" ht="12.75">
      <c r="A22" s="7"/>
      <c r="B22" s="12"/>
      <c r="C22" s="12" t="s">
        <v>6</v>
      </c>
      <c r="D22" s="165">
        <v>1.4</v>
      </c>
      <c r="E22" s="66" t="s">
        <v>7</v>
      </c>
      <c r="F22" s="142" t="s">
        <v>92</v>
      </c>
      <c r="G22" s="18"/>
      <c r="H22" s="82" t="str">
        <f>"  L="&amp;ROUND($N$9,2)&amp;"'"</f>
        <v>  L=11.67'</v>
      </c>
      <c r="I22" s="14"/>
      <c r="K22" s="103"/>
      <c r="L22" s="69"/>
      <c r="M22" s="104" t="s">
        <v>50</v>
      </c>
      <c r="N22" s="108">
        <f>$N$21/$N$19</f>
        <v>11.087889994724527</v>
      </c>
      <c r="O22" s="106" t="s">
        <v>13</v>
      </c>
      <c r="P22" s="106" t="s">
        <v>66</v>
      </c>
      <c r="V22" s="98">
        <v>18</v>
      </c>
      <c r="W22" s="58">
        <f t="shared" si="0"/>
        <v>3.416666666666669</v>
      </c>
      <c r="X22" s="108">
        <f t="shared" si="1"/>
        <v>-1186.962569444445</v>
      </c>
      <c r="Y22" s="147"/>
      <c r="Z22" s="117"/>
      <c r="AB22" s="46"/>
      <c r="AC22" s="98"/>
      <c r="AD22" s="46"/>
      <c r="AE22" s="46"/>
      <c r="AF22" s="46"/>
    </row>
    <row r="23" spans="1:32" ht="12.75">
      <c r="A23" s="7"/>
      <c r="B23" s="12"/>
      <c r="C23" s="12" t="s">
        <v>8</v>
      </c>
      <c r="D23" s="165">
        <v>12</v>
      </c>
      <c r="E23" s="66" t="s">
        <v>3</v>
      </c>
      <c r="F23" s="6"/>
      <c r="G23" s="6"/>
      <c r="H23" s="6"/>
      <c r="I23" s="14"/>
      <c r="K23" s="100"/>
      <c r="L23" s="69"/>
      <c r="M23" s="139" t="s">
        <v>58</v>
      </c>
      <c r="V23" s="98">
        <v>19</v>
      </c>
      <c r="W23" s="58">
        <f t="shared" si="0"/>
        <v>3.5000000000000027</v>
      </c>
      <c r="X23" s="108">
        <f t="shared" si="1"/>
        <v>-1187.638333333334</v>
      </c>
      <c r="Y23" s="147"/>
      <c r="Z23" s="117"/>
      <c r="AB23" s="60"/>
      <c r="AC23" s="98"/>
      <c r="AD23" s="46"/>
      <c r="AE23" s="46"/>
      <c r="AF23" s="46"/>
    </row>
    <row r="24" spans="1:32" ht="12.75">
      <c r="A24" s="7"/>
      <c r="B24" s="6"/>
      <c r="C24" s="48" t="s">
        <v>10</v>
      </c>
      <c r="D24" s="166">
        <v>8.9</v>
      </c>
      <c r="E24" s="67" t="s">
        <v>9</v>
      </c>
      <c r="F24" s="143" t="s">
        <v>93</v>
      </c>
      <c r="G24" s="6"/>
      <c r="H24" s="6"/>
      <c r="I24" s="14"/>
      <c r="J24" s="46"/>
      <c r="K24" s="100"/>
      <c r="L24" s="69"/>
      <c r="M24" s="50" t="s">
        <v>105</v>
      </c>
      <c r="V24" s="98">
        <v>20</v>
      </c>
      <c r="W24" s="58">
        <f t="shared" si="0"/>
        <v>3.583333333333336</v>
      </c>
      <c r="X24" s="108">
        <f t="shared" si="1"/>
        <v>-1188.1682638888894</v>
      </c>
      <c r="Y24" s="147"/>
      <c r="Z24" s="117"/>
      <c r="AB24" s="62"/>
      <c r="AC24" s="98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104" t="s">
        <v>34</v>
      </c>
      <c r="N25" s="105">
        <f>ABS($N$4*$D$10*(1-3*(4*$N$6/$N$9+3)*($N$13/$N$9)^2+4*(3*$N$6/$N$9+2)*($N$13/$N$9)^3))</f>
        <v>4.8193238956461615</v>
      </c>
      <c r="O25" s="106" t="s">
        <v>7</v>
      </c>
      <c r="P25" s="106" t="s">
        <v>80</v>
      </c>
      <c r="V25" s="98">
        <v>21</v>
      </c>
      <c r="W25" s="58">
        <f t="shared" si="0"/>
        <v>3.6666666666666696</v>
      </c>
      <c r="X25" s="108">
        <f t="shared" si="1"/>
        <v>-1188.5488888888895</v>
      </c>
      <c r="Y25" s="147"/>
      <c r="Z25" s="117"/>
      <c r="AB25" s="62"/>
      <c r="AC25" s="98"/>
      <c r="AD25" s="62"/>
      <c r="AE25" s="123"/>
      <c r="AF25" s="131"/>
    </row>
    <row r="26" spans="1:32" ht="12.75">
      <c r="A26" s="31" t="s">
        <v>179</v>
      </c>
      <c r="B26" s="10"/>
      <c r="C26" s="10"/>
      <c r="D26" s="10"/>
      <c r="E26" s="10"/>
      <c r="F26" s="10"/>
      <c r="G26" s="82" t="str">
        <f>"   D="&amp;$D$10&amp;"'"</f>
        <v>   D=1.5'</v>
      </c>
      <c r="H26" s="10"/>
      <c r="I26" s="14"/>
      <c r="J26" s="46"/>
      <c r="K26" s="100"/>
      <c r="L26" s="71"/>
      <c r="M26" s="50" t="s">
        <v>77</v>
      </c>
      <c r="V26" s="98">
        <v>22</v>
      </c>
      <c r="W26" s="58">
        <f t="shared" si="0"/>
        <v>3.750000000000003</v>
      </c>
      <c r="X26" s="108">
        <f t="shared" si="1"/>
        <v>-1188.7767361111116</v>
      </c>
      <c r="Y26" s="147"/>
      <c r="Z26" s="117"/>
      <c r="AB26" s="62"/>
      <c r="AC26" s="98"/>
      <c r="AD26" s="62"/>
      <c r="AE26" s="123"/>
      <c r="AF26" s="123"/>
    </row>
    <row r="27" spans="1:32" ht="12.75">
      <c r="A27" s="63"/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M27" s="104" t="s">
        <v>33</v>
      </c>
      <c r="N27" s="105">
        <f>$N$4*$D$10*$N$9*($N$6/$N$9+$N$13/2/$N$9-(4*$N$6/$N$9+3)*($N$13/2/$N$9)^3+(3*$N$6/$N$9+2)*($N$13/2/$N$9)^4)</f>
        <v>26.643797169268108</v>
      </c>
      <c r="O27" s="106" t="s">
        <v>9</v>
      </c>
      <c r="P27" s="70" t="s">
        <v>35</v>
      </c>
      <c r="U27" s="111"/>
      <c r="V27" s="98">
        <v>23</v>
      </c>
      <c r="W27" s="58">
        <f t="shared" si="0"/>
        <v>3.8333333333333366</v>
      </c>
      <c r="X27" s="108">
        <f t="shared" si="1"/>
        <v>-1188.8483333333338</v>
      </c>
      <c r="Y27" s="147"/>
      <c r="Z27" s="117"/>
      <c r="AB27" s="62"/>
      <c r="AC27" s="98"/>
      <c r="AD27" s="62"/>
      <c r="AE27" s="123"/>
      <c r="AF27" s="123"/>
    </row>
    <row r="28" spans="1:32" ht="12.75">
      <c r="A28" s="153" t="s">
        <v>114</v>
      </c>
      <c r="B28" s="17"/>
      <c r="C28" s="18"/>
      <c r="D28" s="18"/>
      <c r="E28" s="6"/>
      <c r="F28" s="86" t="s">
        <v>279</v>
      </c>
      <c r="G28" s="8"/>
      <c r="H28" s="8"/>
      <c r="I28" s="11"/>
      <c r="J28" s="46"/>
      <c r="K28" s="100"/>
      <c r="L28" s="71"/>
      <c r="M28" s="138" t="s">
        <v>63</v>
      </c>
      <c r="N28" s="108"/>
      <c r="O28" s="106"/>
      <c r="P28" s="70" t="s">
        <v>275</v>
      </c>
      <c r="U28" s="107"/>
      <c r="V28" s="98">
        <v>24</v>
      </c>
      <c r="W28" s="58">
        <f t="shared" si="0"/>
        <v>3.91666666666667</v>
      </c>
      <c r="X28" s="108">
        <f t="shared" si="1"/>
        <v>-1188.7602083333338</v>
      </c>
      <c r="Y28" s="147"/>
      <c r="Z28" s="117"/>
      <c r="AB28" s="62"/>
      <c r="AC28" s="98"/>
      <c r="AD28" s="62"/>
      <c r="AE28" s="123"/>
      <c r="AF28" s="123"/>
    </row>
    <row r="29" spans="1:32" ht="12.75">
      <c r="A29" s="21" t="s">
        <v>19</v>
      </c>
      <c r="B29" s="172">
        <f>$N$4</f>
        <v>0.9333333333333332</v>
      </c>
      <c r="C29" s="66" t="s">
        <v>20</v>
      </c>
      <c r="D29" s="18" t="s">
        <v>21</v>
      </c>
      <c r="E29" s="6"/>
      <c r="F29" s="6"/>
      <c r="G29" s="6"/>
      <c r="H29" s="6"/>
      <c r="I29" s="14"/>
      <c r="J29" s="46"/>
      <c r="K29" s="100"/>
      <c r="L29" s="71"/>
      <c r="M29" s="50" t="s">
        <v>75</v>
      </c>
      <c r="V29" s="98">
        <v>25</v>
      </c>
      <c r="W29" s="58">
        <f t="shared" si="0"/>
        <v>4.0000000000000036</v>
      </c>
      <c r="X29" s="108">
        <f t="shared" si="1"/>
        <v>-1188.5088888888895</v>
      </c>
      <c r="Y29" s="147"/>
      <c r="Z29" s="117"/>
      <c r="AB29" s="62"/>
      <c r="AC29" s="98"/>
      <c r="AD29" s="62"/>
      <c r="AE29" s="123"/>
      <c r="AF29" s="123"/>
    </row>
    <row r="30" spans="1:32" ht="13.5" customHeight="1">
      <c r="A30" s="21" t="s">
        <v>12</v>
      </c>
      <c r="B30" s="170">
        <f>$N$5</f>
        <v>17.13333333333333</v>
      </c>
      <c r="C30" s="66" t="s">
        <v>56</v>
      </c>
      <c r="D30" s="18" t="s">
        <v>129</v>
      </c>
      <c r="E30" s="10"/>
      <c r="F30" s="10"/>
      <c r="G30" s="10"/>
      <c r="H30" s="10"/>
      <c r="I30" s="11"/>
      <c r="J30" s="46"/>
      <c r="K30" s="100"/>
      <c r="L30" s="69"/>
      <c r="M30" s="104" t="s">
        <v>46</v>
      </c>
      <c r="N30" s="105">
        <f>($D$21+PI()*$D$10^2/4*($D$11+$D$17+$N$13/2)*0.15)/(PI()*($D$10*12)^2/4)*1000</f>
        <v>69.04449274772531</v>
      </c>
      <c r="O30" s="106" t="s">
        <v>45</v>
      </c>
      <c r="P30" s="51" t="s">
        <v>70</v>
      </c>
      <c r="T30" s="98"/>
      <c r="U30" s="106"/>
      <c r="V30" s="98">
        <v>26</v>
      </c>
      <c r="W30" s="58">
        <f t="shared" si="0"/>
        <v>4.083333333333337</v>
      </c>
      <c r="X30" s="108">
        <f t="shared" si="1"/>
        <v>-1188.0909027777784</v>
      </c>
      <c r="Y30" s="147"/>
      <c r="Z30" s="117"/>
      <c r="AB30" s="62"/>
      <c r="AC30" s="98"/>
      <c r="AD30" s="62"/>
      <c r="AE30" s="123"/>
      <c r="AF30" s="123"/>
    </row>
    <row r="31" spans="1:32" ht="13.5" customHeight="1">
      <c r="A31" s="21" t="s">
        <v>22</v>
      </c>
      <c r="B31" s="170">
        <f>$N$6</f>
        <v>18.357142857142854</v>
      </c>
      <c r="C31" s="66" t="s">
        <v>3</v>
      </c>
      <c r="D31" s="18" t="s">
        <v>130</v>
      </c>
      <c r="E31" s="10"/>
      <c r="F31" s="10"/>
      <c r="G31" s="10"/>
      <c r="H31" s="10"/>
      <c r="I31" s="11"/>
      <c r="J31" s="46"/>
      <c r="K31" s="100"/>
      <c r="L31" s="69"/>
      <c r="M31" s="50" t="s">
        <v>76</v>
      </c>
      <c r="T31" s="100"/>
      <c r="V31" s="98">
        <v>27</v>
      </c>
      <c r="W31" s="58">
        <f t="shared" si="0"/>
        <v>4.16666666666667</v>
      </c>
      <c r="X31" s="108">
        <f t="shared" si="1"/>
        <v>-1187.5027777777784</v>
      </c>
      <c r="Y31" s="147"/>
      <c r="Z31" s="117"/>
      <c r="AB31" s="62"/>
      <c r="AC31" s="98"/>
      <c r="AD31" s="62"/>
      <c r="AE31" s="123"/>
      <c r="AF31" s="123"/>
    </row>
    <row r="32" spans="1:32" ht="12.75">
      <c r="A32" s="21" t="s">
        <v>89</v>
      </c>
      <c r="B32" s="169">
        <f>$N$7</f>
        <v>2.9999999999999982</v>
      </c>
      <c r="C32" s="66"/>
      <c r="D32" s="18" t="s">
        <v>158</v>
      </c>
      <c r="E32" s="10"/>
      <c r="F32" s="10"/>
      <c r="G32" s="10"/>
      <c r="H32" s="10"/>
      <c r="I32" s="11"/>
      <c r="J32" s="46"/>
      <c r="K32" s="100"/>
      <c r="L32" s="69"/>
      <c r="M32" s="104" t="s">
        <v>47</v>
      </c>
      <c r="N32" s="105">
        <f>$N$27*12/(PI()*($D$10*12)^3/32)*1000</f>
        <v>558.4187025154723</v>
      </c>
      <c r="O32" s="106" t="s">
        <v>45</v>
      </c>
      <c r="P32" s="51" t="s">
        <v>71</v>
      </c>
      <c r="V32" s="98">
        <v>28</v>
      </c>
      <c r="W32" s="58">
        <f t="shared" si="0"/>
        <v>4.250000000000003</v>
      </c>
      <c r="X32" s="108">
        <f t="shared" si="1"/>
        <v>-1186.7410416666671</v>
      </c>
      <c r="Y32" s="147"/>
      <c r="Z32" s="117"/>
      <c r="AB32" s="62"/>
      <c r="AC32" s="98"/>
      <c r="AD32" s="62"/>
      <c r="AE32" s="123"/>
      <c r="AF32" s="123"/>
    </row>
    <row r="33" spans="1:32" ht="12.75">
      <c r="A33" s="21" t="s">
        <v>108</v>
      </c>
      <c r="B33" s="169">
        <f>$N$8</f>
        <v>0.2999999999999998</v>
      </c>
      <c r="C33" s="66" t="s">
        <v>27</v>
      </c>
      <c r="D33" s="18" t="s">
        <v>113</v>
      </c>
      <c r="E33" s="6"/>
      <c r="F33" s="19"/>
      <c r="G33" s="19"/>
      <c r="H33" s="19"/>
      <c r="I33" s="14"/>
      <c r="J33" s="46"/>
      <c r="K33" s="100"/>
      <c r="L33" s="69"/>
      <c r="M33" s="96" t="s">
        <v>72</v>
      </c>
      <c r="P33" s="376" t="s">
        <v>342</v>
      </c>
      <c r="U33" s="98"/>
      <c r="V33" s="98">
        <v>29</v>
      </c>
      <c r="W33" s="58">
        <f t="shared" si="0"/>
        <v>4.333333333333336</v>
      </c>
      <c r="X33" s="108">
        <f t="shared" si="1"/>
        <v>-1185.8022222222228</v>
      </c>
      <c r="Y33" s="147"/>
      <c r="Z33" s="117"/>
      <c r="AB33" s="62"/>
      <c r="AC33" s="98"/>
      <c r="AD33" s="62"/>
      <c r="AE33" s="123"/>
      <c r="AF33" s="123"/>
    </row>
    <row r="34" spans="1:32" ht="12.75">
      <c r="A34" s="21" t="s">
        <v>18</v>
      </c>
      <c r="B34" s="170">
        <f>$N$9</f>
        <v>11.672</v>
      </c>
      <c r="C34" s="66" t="s">
        <v>3</v>
      </c>
      <c r="D34" s="18" t="s">
        <v>331</v>
      </c>
      <c r="E34" s="6"/>
      <c r="F34" s="19"/>
      <c r="G34" s="19"/>
      <c r="H34" s="19"/>
      <c r="I34" s="14"/>
      <c r="J34" s="46"/>
      <c r="K34" s="100"/>
      <c r="M34" s="104" t="s">
        <v>36</v>
      </c>
      <c r="N34" s="105">
        <f>$N$32+$N$30</f>
        <v>627.4631952631976</v>
      </c>
      <c r="O34" s="106" t="s">
        <v>45</v>
      </c>
      <c r="P34" s="51" t="s">
        <v>49</v>
      </c>
      <c r="V34" s="98">
        <v>30</v>
      </c>
      <c r="W34" s="58">
        <f t="shared" si="0"/>
        <v>4.416666666666669</v>
      </c>
      <c r="X34" s="108">
        <f t="shared" si="1"/>
        <v>-1184.6828472222228</v>
      </c>
      <c r="Y34" s="147"/>
      <c r="Z34" s="117"/>
      <c r="AB34" s="62"/>
      <c r="AC34" s="98"/>
      <c r="AD34" s="62"/>
      <c r="AE34" s="123"/>
      <c r="AF34" s="123"/>
    </row>
    <row r="35" spans="1:32" ht="12.75">
      <c r="A35" s="137" t="s">
        <v>82</v>
      </c>
      <c r="B35" s="170">
        <f>$N$10</f>
        <v>7.781333333333333</v>
      </c>
      <c r="C35" s="67"/>
      <c r="D35" s="18" t="s">
        <v>83</v>
      </c>
      <c r="E35" s="6"/>
      <c r="F35" s="19"/>
      <c r="G35" s="20"/>
      <c r="H35" s="43" t="str">
        <f>IF($B$35&lt;=10,"  L/D&lt;=10, O.K.","  L/D&gt;10, N.G.!")</f>
        <v>  L/D&lt;=10, O.K.</v>
      </c>
      <c r="I35" s="14"/>
      <c r="J35" s="46"/>
      <c r="K35" s="100"/>
      <c r="M35" s="104" t="s">
        <v>37</v>
      </c>
      <c r="N35" s="105">
        <f>0.85*0.6*($D$12*1000)/1.6</f>
        <v>1275</v>
      </c>
      <c r="O35" s="106" t="s">
        <v>45</v>
      </c>
      <c r="P35" s="51" t="s">
        <v>273</v>
      </c>
      <c r="V35" s="98">
        <v>31</v>
      </c>
      <c r="W35" s="58">
        <f t="shared" si="0"/>
        <v>4.500000000000002</v>
      </c>
      <c r="X35" s="108">
        <f t="shared" si="1"/>
        <v>-1183.379444444445</v>
      </c>
      <c r="Y35" s="147"/>
      <c r="Z35" s="117"/>
      <c r="AB35" s="62"/>
      <c r="AC35" s="98"/>
      <c r="AD35" s="62"/>
      <c r="AE35" s="123"/>
      <c r="AF35" s="123"/>
    </row>
    <row r="36" spans="1:32" ht="12.75" customHeight="1">
      <c r="A36" s="21" t="s">
        <v>31</v>
      </c>
      <c r="B36" s="173">
        <f>$N$11</f>
        <v>11.672</v>
      </c>
      <c r="C36" s="66" t="s">
        <v>3</v>
      </c>
      <c r="D36" s="18" t="s">
        <v>84</v>
      </c>
      <c r="E36" s="10"/>
      <c r="F36" s="10"/>
      <c r="G36" s="10"/>
      <c r="H36" s="10"/>
      <c r="I36" s="11"/>
      <c r="J36" s="46"/>
      <c r="K36" s="100"/>
      <c r="L36" s="69"/>
      <c r="M36" s="96" t="s">
        <v>73</v>
      </c>
      <c r="P36" s="376" t="s">
        <v>342</v>
      </c>
      <c r="V36" s="98">
        <v>32</v>
      </c>
      <c r="W36" s="58">
        <f t="shared" si="0"/>
        <v>4.583333333333335</v>
      </c>
      <c r="X36" s="108">
        <f t="shared" si="1"/>
        <v>-1181.8885416666672</v>
      </c>
      <c r="Y36" s="147"/>
      <c r="Z36" s="117"/>
      <c r="AB36" s="62"/>
      <c r="AC36" s="98"/>
      <c r="AD36" s="62"/>
      <c r="AE36" s="123"/>
      <c r="AF36" s="123"/>
    </row>
    <row r="37" spans="1:32" ht="12.75" customHeight="1">
      <c r="A37" s="63"/>
      <c r="B37" s="10"/>
      <c r="C37" s="10"/>
      <c r="D37" s="10"/>
      <c r="E37" s="6"/>
      <c r="F37" s="19"/>
      <c r="G37" s="19"/>
      <c r="H37" s="10"/>
      <c r="I37" s="14"/>
      <c r="J37" s="46"/>
      <c r="K37" s="100"/>
      <c r="L37" s="69"/>
      <c r="M37" s="104" t="s">
        <v>38</v>
      </c>
      <c r="N37" s="105">
        <f>$N$32-$N$30</f>
        <v>489.374209767747</v>
      </c>
      <c r="O37" s="106" t="s">
        <v>45</v>
      </c>
      <c r="P37" s="51" t="s">
        <v>48</v>
      </c>
      <c r="V37" s="98">
        <v>33</v>
      </c>
      <c r="W37" s="58">
        <f t="shared" si="0"/>
        <v>4.666666666666668</v>
      </c>
      <c r="X37" s="108">
        <f t="shared" si="1"/>
        <v>-1180.2066666666672</v>
      </c>
      <c r="Y37" s="147"/>
      <c r="Z37" s="117"/>
      <c r="AB37" s="62"/>
      <c r="AC37" s="98"/>
      <c r="AD37" s="62"/>
      <c r="AE37" s="123"/>
      <c r="AF37" s="123"/>
    </row>
    <row r="38" spans="1:32" ht="12.75" customHeight="1">
      <c r="A38" s="153" t="s">
        <v>115</v>
      </c>
      <c r="B38" s="113"/>
      <c r="C38" s="26"/>
      <c r="D38" s="26"/>
      <c r="E38" s="10"/>
      <c r="F38" s="19"/>
      <c r="G38" s="19"/>
      <c r="H38" s="19"/>
      <c r="I38" s="14"/>
      <c r="K38" s="100"/>
      <c r="L38" s="98"/>
      <c r="M38" s="104" t="s">
        <v>26</v>
      </c>
      <c r="N38" s="105">
        <f>5*0.6*SQRT($D$12*1000)/1.6</f>
        <v>118.58541225631421</v>
      </c>
      <c r="O38" s="106" t="s">
        <v>45</v>
      </c>
      <c r="P38" s="51" t="s">
        <v>274</v>
      </c>
      <c r="V38" s="98">
        <v>34</v>
      </c>
      <c r="W38" s="58">
        <f t="shared" si="0"/>
        <v>4.750000000000001</v>
      </c>
      <c r="X38" s="108">
        <f t="shared" si="1"/>
        <v>-1178.3303472222228</v>
      </c>
      <c r="Y38" s="147"/>
      <c r="Z38" s="117"/>
      <c r="AB38" s="62"/>
      <c r="AC38" s="98"/>
      <c r="AD38" s="62"/>
      <c r="AE38" s="123"/>
      <c r="AF38" s="123"/>
    </row>
    <row r="39" spans="1:32" ht="12.75" customHeight="1">
      <c r="A39" s="137" t="s">
        <v>32</v>
      </c>
      <c r="B39" s="168">
        <f>$N$13</f>
        <v>8.070892812638913</v>
      </c>
      <c r="C39" s="66" t="s">
        <v>3</v>
      </c>
      <c r="D39" s="18" t="s">
        <v>126</v>
      </c>
      <c r="E39" s="10"/>
      <c r="F39" s="10"/>
      <c r="G39" s="10"/>
      <c r="H39" s="10"/>
      <c r="I39" s="11"/>
      <c r="K39" s="100"/>
      <c r="L39" s="71"/>
      <c r="M39" s="96" t="s">
        <v>74</v>
      </c>
      <c r="P39" s="376" t="s">
        <v>342</v>
      </c>
      <c r="V39" s="98">
        <v>35</v>
      </c>
      <c r="W39" s="58">
        <f t="shared" si="0"/>
        <v>4.833333333333334</v>
      </c>
      <c r="X39" s="108">
        <f t="shared" si="1"/>
        <v>-1176.2561111111117</v>
      </c>
      <c r="Y39" s="147"/>
      <c r="Z39" s="117"/>
      <c r="AB39" s="62"/>
      <c r="AC39" s="98"/>
      <c r="AD39" s="62"/>
      <c r="AE39" s="123"/>
      <c r="AF39" s="123"/>
    </row>
    <row r="40" spans="1:32" ht="12.75" customHeight="1">
      <c r="A40" s="91" t="s">
        <v>41</v>
      </c>
      <c r="B40" s="169">
        <f>$N$14</f>
        <v>1.2103350842173963</v>
      </c>
      <c r="C40" s="66" t="s">
        <v>13</v>
      </c>
      <c r="D40" s="26" t="s">
        <v>329</v>
      </c>
      <c r="E40" s="10"/>
      <c r="F40" s="19"/>
      <c r="G40" s="19"/>
      <c r="H40" s="19"/>
      <c r="I40" s="14"/>
      <c r="K40" s="100"/>
      <c r="L40" s="69"/>
      <c r="M40" s="104" t="s">
        <v>39</v>
      </c>
      <c r="N40" s="105">
        <f>4/3*$N$25*1000/(PI()*($D$10*12)^2/4)</f>
        <v>25.251661575406622</v>
      </c>
      <c r="O40" s="106" t="s">
        <v>45</v>
      </c>
      <c r="P40" s="51" t="s">
        <v>334</v>
      </c>
      <c r="V40" s="98">
        <v>36</v>
      </c>
      <c r="W40" s="58">
        <f t="shared" si="0"/>
        <v>4.916666666666667</v>
      </c>
      <c r="X40" s="108">
        <f t="shared" si="1"/>
        <v>-1173.9804861111118</v>
      </c>
      <c r="Y40" s="147"/>
      <c r="Z40" s="117"/>
      <c r="AB40" s="62"/>
      <c r="AC40" s="98"/>
      <c r="AD40" s="62"/>
      <c r="AE40" s="123"/>
      <c r="AF40" s="123"/>
    </row>
    <row r="41" spans="1:32" ht="12.75" customHeight="1">
      <c r="A41" s="91" t="s">
        <v>42</v>
      </c>
      <c r="B41" s="169">
        <f>$N$15</f>
        <v>1.2106339218958362</v>
      </c>
      <c r="C41" s="66" t="s">
        <v>13</v>
      </c>
      <c r="D41" s="26" t="s">
        <v>106</v>
      </c>
      <c r="E41" s="10"/>
      <c r="F41" s="19"/>
      <c r="G41" s="19"/>
      <c r="H41" s="43" t="str">
        <f>IF($B$41&gt;=$B$40,"Pc(allow)&gt;=Pc, O.K.","Pc(allow)&lt;Pc")</f>
        <v>Pc(allow)&gt;=Pc, O.K.</v>
      </c>
      <c r="I41" s="14"/>
      <c r="K41" s="100"/>
      <c r="M41" s="104" t="s">
        <v>40</v>
      </c>
      <c r="N41" s="105">
        <f>2*0.6*SQRT($D$12*1000)/1.6</f>
        <v>47.43416490252569</v>
      </c>
      <c r="O41" s="106" t="s">
        <v>45</v>
      </c>
      <c r="P41" s="51" t="s">
        <v>335</v>
      </c>
      <c r="V41" s="98">
        <v>37</v>
      </c>
      <c r="W41" s="58">
        <f t="shared" si="0"/>
        <v>5</v>
      </c>
      <c r="X41" s="108">
        <f t="shared" si="1"/>
        <v>-1171.5000000000007</v>
      </c>
      <c r="Y41" s="147"/>
      <c r="Z41" s="117"/>
      <c r="AB41" s="62"/>
      <c r="AC41" s="98"/>
      <c r="AD41" s="62"/>
      <c r="AE41" s="123"/>
      <c r="AF41" s="123"/>
    </row>
    <row r="42" spans="1:32" ht="12.75">
      <c r="A42" s="91" t="s">
        <v>43</v>
      </c>
      <c r="B42" s="169">
        <f>$N$16</f>
        <v>3.124279385528722</v>
      </c>
      <c r="C42" s="66" t="s">
        <v>13</v>
      </c>
      <c r="D42" s="26" t="s">
        <v>330</v>
      </c>
      <c r="E42" s="10"/>
      <c r="F42" s="19"/>
      <c r="G42" s="20"/>
      <c r="H42" s="19"/>
      <c r="I42" s="14"/>
      <c r="J42" s="46"/>
      <c r="K42" s="100"/>
      <c r="M42" s="148"/>
      <c r="N42" s="98"/>
      <c r="O42" s="101"/>
      <c r="P42" s="144"/>
      <c r="V42" s="98">
        <v>38</v>
      </c>
      <c r="W42" s="58">
        <f t="shared" si="0"/>
        <v>5.083333333333333</v>
      </c>
      <c r="X42" s="108">
        <f t="shared" si="1"/>
        <v>-1168.8111805555561</v>
      </c>
      <c r="Y42" s="147"/>
      <c r="Z42" s="117"/>
      <c r="AB42" s="62"/>
      <c r="AC42" s="98"/>
      <c r="AD42" s="62"/>
      <c r="AE42" s="123"/>
      <c r="AF42" s="123"/>
    </row>
    <row r="43" spans="1:32" ht="12.75">
      <c r="A43" s="91" t="s">
        <v>44</v>
      </c>
      <c r="B43" s="171">
        <f>$N$17</f>
        <v>3.501599999999998</v>
      </c>
      <c r="C43" s="66" t="s">
        <v>13</v>
      </c>
      <c r="D43" s="26" t="s">
        <v>107</v>
      </c>
      <c r="E43" s="19"/>
      <c r="F43" s="19"/>
      <c r="G43" s="20"/>
      <c r="H43" s="43" t="str">
        <f>IF($B$43&gt;=$B$42,"Pt(allow)&gt;=Pt, O.K.","Pt(allow)&lt;Pt")</f>
        <v>Pt(allow)&gt;=Pt, O.K.</v>
      </c>
      <c r="I43" s="14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0"/>
        <v>5.166666666666666</v>
      </c>
      <c r="X43" s="108">
        <f t="shared" si="1"/>
        <v>-1165.9105555555561</v>
      </c>
      <c r="Y43" s="147"/>
      <c r="Z43" s="117"/>
      <c r="AB43" s="62"/>
      <c r="AC43" s="98"/>
      <c r="AD43" s="62"/>
      <c r="AE43" s="123"/>
      <c r="AF43" s="123"/>
    </row>
    <row r="44" spans="1:32" ht="12.75" customHeight="1">
      <c r="A44" s="63"/>
      <c r="B44" s="10"/>
      <c r="C44" s="10"/>
      <c r="D44" s="10"/>
      <c r="E44" s="132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0"/>
        <v>5.249999999999999</v>
      </c>
      <c r="X44" s="108">
        <f t="shared" si="1"/>
        <v>-1162.7946527777785</v>
      </c>
      <c r="Y44" s="147"/>
      <c r="Z44" s="117"/>
      <c r="AB44" s="62"/>
      <c r="AC44" s="98"/>
      <c r="AD44" s="62"/>
      <c r="AE44" s="123"/>
      <c r="AF44" s="123"/>
    </row>
    <row r="45" spans="1:32" ht="12.75">
      <c r="A45" s="153" t="s">
        <v>116</v>
      </c>
      <c r="B45" s="113"/>
      <c r="C45" s="26"/>
      <c r="D45" s="26"/>
      <c r="E45" s="19"/>
      <c r="F45" s="134"/>
      <c r="G45" s="20"/>
      <c r="H45" s="19"/>
      <c r="I45" s="14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0"/>
        <v>5.333333333333332</v>
      </c>
      <c r="X45" s="108">
        <f t="shared" si="1"/>
        <v>-1159.4600000000007</v>
      </c>
      <c r="Y45" s="147"/>
      <c r="Z45" s="117"/>
      <c r="AB45" s="62"/>
      <c r="AC45" s="98"/>
      <c r="AD45" s="62"/>
      <c r="AE45" s="123"/>
      <c r="AF45" s="123"/>
    </row>
    <row r="46" spans="1:32" ht="12.75">
      <c r="A46" s="91" t="s">
        <v>14</v>
      </c>
      <c r="B46" s="172">
        <f>$N$19</f>
        <v>1.7671458676442586</v>
      </c>
      <c r="C46" s="66" t="s">
        <v>15</v>
      </c>
      <c r="D46" s="28" t="s">
        <v>60</v>
      </c>
      <c r="E46" s="19"/>
      <c r="F46" s="19"/>
      <c r="G46" s="134"/>
      <c r="H46" s="19"/>
      <c r="I46" s="14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0"/>
        <v>5.416666666666665</v>
      </c>
      <c r="X46" s="108">
        <f t="shared" si="1"/>
        <v>-1155.9031250000007</v>
      </c>
      <c r="Y46" s="147"/>
      <c r="Z46" s="117"/>
      <c r="AB46" s="62"/>
      <c r="AC46" s="98"/>
      <c r="AD46" s="62"/>
      <c r="AE46" s="123"/>
      <c r="AF46" s="123"/>
    </row>
    <row r="47" spans="1:32" ht="12.75">
      <c r="A47" s="91" t="s">
        <v>57</v>
      </c>
      <c r="B47" s="170">
        <f>$N$20</f>
        <v>3.0939189850715683</v>
      </c>
      <c r="C47" s="66" t="s">
        <v>7</v>
      </c>
      <c r="D47" s="18" t="s">
        <v>81</v>
      </c>
      <c r="E47" s="19"/>
      <c r="F47" s="19"/>
      <c r="G47" s="19"/>
      <c r="H47" s="19"/>
      <c r="I47" s="14"/>
      <c r="J47" s="46"/>
      <c r="K47" s="100"/>
      <c r="L47" s="69"/>
      <c r="M47" s="69"/>
      <c r="N47" s="102"/>
      <c r="O47" s="70"/>
      <c r="P47" s="51"/>
      <c r="V47" s="98">
        <v>43</v>
      </c>
      <c r="W47" s="58">
        <f t="shared" si="0"/>
        <v>5.499999999999998</v>
      </c>
      <c r="X47" s="108">
        <f t="shared" si="1"/>
        <v>-1152.1205555555562</v>
      </c>
      <c r="Y47" s="147"/>
      <c r="Z47" s="117"/>
      <c r="AB47" s="62"/>
      <c r="AC47" s="98"/>
      <c r="AD47" s="62"/>
      <c r="AE47" s="123"/>
      <c r="AF47" s="123"/>
    </row>
    <row r="48" spans="1:32" ht="12.75" customHeight="1">
      <c r="A48" s="93" t="s">
        <v>64</v>
      </c>
      <c r="B48" s="170">
        <f>$N$21</f>
        <v>19.593918985071568</v>
      </c>
      <c r="C48" s="66" t="s">
        <v>7</v>
      </c>
      <c r="D48" s="136" t="s">
        <v>161</v>
      </c>
      <c r="E48" s="19"/>
      <c r="F48" s="19"/>
      <c r="G48" s="19"/>
      <c r="H48" s="19"/>
      <c r="I48" s="14"/>
      <c r="J48" s="46"/>
      <c r="K48" s="100"/>
      <c r="L48" s="71"/>
      <c r="M48" s="69"/>
      <c r="N48" s="73"/>
      <c r="O48" s="70"/>
      <c r="P48" s="51"/>
      <c r="V48" s="98">
        <v>44</v>
      </c>
      <c r="W48" s="58">
        <f t="shared" si="0"/>
        <v>5.583333333333331</v>
      </c>
      <c r="X48" s="108">
        <f t="shared" si="1"/>
        <v>-1148.108819444445</v>
      </c>
      <c r="Y48" s="147"/>
      <c r="Z48" s="117"/>
      <c r="AB48" s="62"/>
      <c r="AC48" s="98"/>
      <c r="AD48" s="62"/>
      <c r="AE48" s="123"/>
      <c r="AF48" s="123"/>
    </row>
    <row r="49" spans="1:32" ht="12.75">
      <c r="A49" s="91" t="s">
        <v>50</v>
      </c>
      <c r="B49" s="171">
        <f>$N$22</f>
        <v>11.087889994724527</v>
      </c>
      <c r="C49" s="66" t="s">
        <v>13</v>
      </c>
      <c r="D49" s="26" t="s">
        <v>67</v>
      </c>
      <c r="E49" s="19"/>
      <c r="F49" s="19"/>
      <c r="G49" s="19"/>
      <c r="H49" s="43" t="str">
        <f>IF($D$18&gt;=$B$49,"Pa&gt;=P(bot), O.K.","Pa&lt;P(bot)")</f>
        <v>Pa&lt;P(bot)</v>
      </c>
      <c r="I49" s="23"/>
      <c r="K49" s="100"/>
      <c r="L49" s="69"/>
      <c r="M49" s="148"/>
      <c r="N49" s="70"/>
      <c r="O49" s="145"/>
      <c r="P49" s="145"/>
      <c r="V49" s="98">
        <v>45</v>
      </c>
      <c r="W49" s="58">
        <f t="shared" si="0"/>
        <v>5.666666666666664</v>
      </c>
      <c r="X49" s="108">
        <f t="shared" si="1"/>
        <v>-1143.8644444444453</v>
      </c>
      <c r="Y49" s="147"/>
      <c r="Z49" s="117"/>
      <c r="AB49" s="62"/>
      <c r="AC49" s="98"/>
      <c r="AD49" s="62"/>
      <c r="AE49" s="123"/>
      <c r="AF49" s="123"/>
    </row>
    <row r="50" spans="1:32" ht="12.75">
      <c r="A50" s="63"/>
      <c r="B50" s="10"/>
      <c r="C50" s="10"/>
      <c r="D50" s="10"/>
      <c r="E50" s="10"/>
      <c r="F50" s="10"/>
      <c r="G50" s="10"/>
      <c r="H50" s="10"/>
      <c r="I50" s="11"/>
      <c r="K50" s="100"/>
      <c r="M50" s="69"/>
      <c r="N50" s="101"/>
      <c r="O50" s="70"/>
      <c r="P50" s="51"/>
      <c r="V50" s="98">
        <v>46</v>
      </c>
      <c r="W50" s="58">
        <f t="shared" si="0"/>
        <v>5.749999999999997</v>
      </c>
      <c r="X50" s="108">
        <f t="shared" si="1"/>
        <v>-1139.383958333334</v>
      </c>
      <c r="Y50" s="147"/>
      <c r="Z50" s="117"/>
      <c r="AB50" s="62"/>
      <c r="AC50" s="98"/>
      <c r="AD50" s="62"/>
      <c r="AE50" s="123"/>
      <c r="AF50" s="123"/>
    </row>
    <row r="51" spans="1:32" ht="12.75">
      <c r="A51" s="63"/>
      <c r="B51" s="10"/>
      <c r="C51" s="10"/>
      <c r="D51" s="10"/>
      <c r="E51" s="10"/>
      <c r="F51" s="10"/>
      <c r="G51" s="10"/>
      <c r="H51" s="10"/>
      <c r="I51" s="11"/>
      <c r="K51" s="100"/>
      <c r="M51" s="69"/>
      <c r="N51" s="102"/>
      <c r="O51" s="70"/>
      <c r="P51" s="51"/>
      <c r="V51" s="98">
        <v>47</v>
      </c>
      <c r="W51" s="58">
        <f t="shared" si="0"/>
        <v>5.83333333333333</v>
      </c>
      <c r="X51" s="108">
        <f t="shared" si="1"/>
        <v>-1134.6638888888897</v>
      </c>
      <c r="Y51" s="147"/>
      <c r="Z51" s="117"/>
      <c r="AB51" s="62"/>
      <c r="AC51" s="98"/>
      <c r="AD51" s="62"/>
      <c r="AE51" s="123"/>
      <c r="AF51" s="123"/>
    </row>
    <row r="52" spans="1:32" ht="12.75">
      <c r="A52" s="79"/>
      <c r="B52" s="80"/>
      <c r="C52" s="80"/>
      <c r="D52" s="80"/>
      <c r="E52" s="80"/>
      <c r="F52" s="80"/>
      <c r="G52" s="80"/>
      <c r="H52" s="24"/>
      <c r="I52" s="25" t="s">
        <v>54</v>
      </c>
      <c r="K52" s="100"/>
      <c r="M52" s="69"/>
      <c r="N52" s="102"/>
      <c r="O52" s="70"/>
      <c r="P52" s="51"/>
      <c r="V52" s="98">
        <v>48</v>
      </c>
      <c r="W52" s="58">
        <f t="shared" si="0"/>
        <v>5.916666666666663</v>
      </c>
      <c r="X52" s="108">
        <f t="shared" si="1"/>
        <v>-1129.7007638888897</v>
      </c>
      <c r="Y52" s="147"/>
      <c r="Z52" s="117"/>
      <c r="AB52" s="62"/>
      <c r="AC52" s="98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K53" s="100"/>
      <c r="M53" s="69"/>
      <c r="N53" s="102"/>
      <c r="O53" s="70"/>
      <c r="P53" s="51"/>
      <c r="V53" s="98">
        <v>49</v>
      </c>
      <c r="W53" s="58">
        <f t="shared" si="0"/>
        <v>5.9999999999999964</v>
      </c>
      <c r="X53" s="108">
        <f t="shared" si="1"/>
        <v>-1124.4911111111119</v>
      </c>
      <c r="Y53" s="147"/>
      <c r="Z53" s="117"/>
      <c r="AB53" s="62"/>
      <c r="AC53" s="98"/>
      <c r="AD53" s="62"/>
      <c r="AE53" s="123"/>
      <c r="AF53" s="123"/>
    </row>
    <row r="54" spans="1:32" ht="12.75">
      <c r="A54" s="151" t="s">
        <v>117</v>
      </c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73"/>
      <c r="O54" s="70"/>
      <c r="P54" s="70"/>
      <c r="V54" s="98">
        <v>50</v>
      </c>
      <c r="W54" s="58">
        <f t="shared" si="0"/>
        <v>6.0833333333333295</v>
      </c>
      <c r="X54" s="108">
        <f t="shared" si="1"/>
        <v>-1119.0314583333343</v>
      </c>
      <c r="Y54" s="147"/>
      <c r="Z54" s="117"/>
      <c r="AB54" s="62"/>
      <c r="AC54" s="98"/>
      <c r="AD54" s="62"/>
      <c r="AE54" s="123"/>
      <c r="AF54" s="123"/>
    </row>
    <row r="55" spans="1:32" ht="12.75">
      <c r="A55" s="63" t="s">
        <v>119</v>
      </c>
      <c r="B55" s="10"/>
      <c r="C55" s="10"/>
      <c r="D55" s="10" t="s">
        <v>78</v>
      </c>
      <c r="E55" s="6"/>
      <c r="F55" s="46"/>
      <c r="G55" s="6"/>
      <c r="H55" s="10"/>
      <c r="I55" s="11"/>
      <c r="K55" s="100"/>
      <c r="V55" s="98">
        <v>51</v>
      </c>
      <c r="W55" s="58">
        <f t="shared" si="0"/>
        <v>6.1666666666666625</v>
      </c>
      <c r="X55" s="108">
        <f t="shared" si="1"/>
        <v>-1113.3183333333343</v>
      </c>
      <c r="Y55" s="147"/>
      <c r="Z55" s="117"/>
      <c r="AB55" s="62"/>
      <c r="AC55" s="98"/>
      <c r="AD55" s="62"/>
      <c r="AE55" s="123"/>
      <c r="AF55" s="123"/>
    </row>
    <row r="56" spans="1:32" ht="12.75">
      <c r="A56" s="21" t="s">
        <v>34</v>
      </c>
      <c r="B56" s="271">
        <f>$N$25</f>
        <v>4.8193238956461615</v>
      </c>
      <c r="C56" s="66" t="s">
        <v>7</v>
      </c>
      <c r="D56" s="18" t="s">
        <v>80</v>
      </c>
      <c r="E56" s="10"/>
      <c r="F56" s="10"/>
      <c r="G56" s="10"/>
      <c r="H56" s="10"/>
      <c r="I56" s="11"/>
      <c r="K56" s="100"/>
      <c r="V56" s="98">
        <v>52</v>
      </c>
      <c r="W56" s="58">
        <f t="shared" si="0"/>
        <v>6.249999999999996</v>
      </c>
      <c r="X56" s="108">
        <f t="shared" si="1"/>
        <v>-1107.34826388889</v>
      </c>
      <c r="Y56" s="147"/>
      <c r="Z56" s="117"/>
      <c r="AB56" s="62"/>
      <c r="AC56" s="98"/>
      <c r="AD56" s="62"/>
      <c r="AE56" s="123"/>
      <c r="AF56" s="123"/>
    </row>
    <row r="57" spans="1:32" ht="12.75">
      <c r="A57" s="63"/>
      <c r="B57" s="10"/>
      <c r="C57" s="10"/>
      <c r="D57" s="10"/>
      <c r="E57" s="10"/>
      <c r="F57" s="10"/>
      <c r="G57" s="10"/>
      <c r="H57" s="10"/>
      <c r="I57" s="11"/>
      <c r="K57" s="100"/>
      <c r="V57" s="98">
        <v>53</v>
      </c>
      <c r="W57" s="58">
        <f t="shared" si="0"/>
        <v>6.333333333333329</v>
      </c>
      <c r="X57" s="108">
        <f t="shared" si="1"/>
        <v>-1101.1177777777789</v>
      </c>
      <c r="Y57" s="147"/>
      <c r="Z57" s="117"/>
      <c r="AB57" s="62"/>
      <c r="AC57" s="98"/>
      <c r="AD57" s="62"/>
      <c r="AE57" s="123"/>
      <c r="AF57" s="123"/>
    </row>
    <row r="58" spans="1:32" ht="12.75">
      <c r="A58" s="63" t="s">
        <v>120</v>
      </c>
      <c r="B58" s="10"/>
      <c r="C58" s="10"/>
      <c r="D58" s="10" t="s">
        <v>79</v>
      </c>
      <c r="E58" s="10"/>
      <c r="F58" s="10"/>
      <c r="G58" s="10"/>
      <c r="H58" s="10"/>
      <c r="I58" s="11"/>
      <c r="K58" s="100"/>
      <c r="V58" s="98">
        <v>54</v>
      </c>
      <c r="W58" s="58">
        <f t="shared" si="0"/>
        <v>6.416666666666662</v>
      </c>
      <c r="X58" s="108">
        <f t="shared" si="1"/>
        <v>-1094.623402777779</v>
      </c>
      <c r="Y58" s="147"/>
      <c r="Z58" s="117"/>
      <c r="AB58" s="62"/>
      <c r="AC58" s="98"/>
      <c r="AD58" s="62"/>
      <c r="AE58" s="123"/>
      <c r="AF58" s="123"/>
    </row>
    <row r="59" spans="1:32" ht="12.75">
      <c r="A59" s="21" t="s">
        <v>33</v>
      </c>
      <c r="B59" s="271">
        <f>$N$27</f>
        <v>26.643797169268108</v>
      </c>
      <c r="C59" s="66" t="s">
        <v>9</v>
      </c>
      <c r="D59" s="18" t="s">
        <v>35</v>
      </c>
      <c r="E59" s="19"/>
      <c r="F59" s="46"/>
      <c r="G59" s="28"/>
      <c r="H59" s="28"/>
      <c r="I59" s="92"/>
      <c r="K59" s="100"/>
      <c r="V59" s="98">
        <v>55</v>
      </c>
      <c r="W59" s="58">
        <f t="shared" si="0"/>
        <v>6.499999999999995</v>
      </c>
      <c r="X59" s="108">
        <f t="shared" si="1"/>
        <v>-1087.8616666666678</v>
      </c>
      <c r="Y59" s="147"/>
      <c r="Z59" s="117"/>
      <c r="AB59" s="62"/>
      <c r="AC59" s="98"/>
      <c r="AD59" s="62"/>
      <c r="AE59" s="123"/>
      <c r="AF59" s="123"/>
    </row>
    <row r="60" spans="1:32" ht="12.75">
      <c r="A60" s="63"/>
      <c r="B60" s="10"/>
      <c r="C60" s="10"/>
      <c r="D60" s="10"/>
      <c r="E60" s="10"/>
      <c r="F60" s="10"/>
      <c r="G60" s="10"/>
      <c r="H60" s="10"/>
      <c r="I60" s="11"/>
      <c r="K60" s="100"/>
      <c r="N60" s="107"/>
      <c r="V60" s="98">
        <v>56</v>
      </c>
      <c r="W60" s="58">
        <f t="shared" si="0"/>
        <v>6.583333333333328</v>
      </c>
      <c r="X60" s="108">
        <f t="shared" si="1"/>
        <v>-1080.8290972222235</v>
      </c>
      <c r="Y60" s="147"/>
      <c r="Z60" s="117"/>
      <c r="AB60" s="62"/>
      <c r="AC60" s="98"/>
      <c r="AD60" s="62"/>
      <c r="AE60" s="123"/>
      <c r="AF60" s="123"/>
    </row>
    <row r="61" spans="1:32" ht="12.75">
      <c r="A61" s="153" t="s">
        <v>118</v>
      </c>
      <c r="B61" s="15"/>
      <c r="C61" s="18"/>
      <c r="D61" s="18" t="s">
        <v>340</v>
      </c>
      <c r="E61" s="6"/>
      <c r="F61" s="46"/>
      <c r="G61" s="28"/>
      <c r="H61" s="28"/>
      <c r="I61" s="90"/>
      <c r="K61" s="100"/>
      <c r="V61" s="98">
        <v>57</v>
      </c>
      <c r="W61" s="58">
        <f t="shared" si="0"/>
        <v>6.666666666666661</v>
      </c>
      <c r="X61" s="108">
        <f t="shared" si="1"/>
        <v>-1073.5222222222235</v>
      </c>
      <c r="Y61" s="147"/>
      <c r="Z61" s="117"/>
      <c r="AB61" s="62"/>
      <c r="AC61" s="98"/>
      <c r="AD61" s="62"/>
      <c r="AE61" s="123"/>
      <c r="AF61" s="123"/>
    </row>
    <row r="62" spans="1:32" ht="12.75">
      <c r="A62" s="7" t="s">
        <v>121</v>
      </c>
      <c r="B62" s="10"/>
      <c r="C62" s="10"/>
      <c r="D62" s="10"/>
      <c r="E62" s="10"/>
      <c r="F62" s="10"/>
      <c r="G62" s="10"/>
      <c r="H62" s="10"/>
      <c r="I62" s="11"/>
      <c r="K62" s="100"/>
      <c r="N62" s="104"/>
      <c r="O62" s="106"/>
      <c r="P62" s="106"/>
      <c r="V62" s="98">
        <v>58</v>
      </c>
      <c r="W62" s="58">
        <f t="shared" si="0"/>
        <v>6.749999999999994</v>
      </c>
      <c r="X62" s="108">
        <f t="shared" si="1"/>
        <v>-1065.9375694444457</v>
      </c>
      <c r="Y62" s="147"/>
      <c r="Z62" s="117"/>
      <c r="AB62" s="62"/>
      <c r="AC62" s="98"/>
      <c r="AD62" s="62"/>
      <c r="AE62" s="123"/>
      <c r="AF62" s="123"/>
    </row>
    <row r="63" spans="1:32" ht="12.75">
      <c r="A63" s="21" t="s">
        <v>46</v>
      </c>
      <c r="B63" s="271">
        <f>$N$30</f>
        <v>69.04449274772531</v>
      </c>
      <c r="C63" s="66" t="s">
        <v>45</v>
      </c>
      <c r="D63" s="18" t="s">
        <v>68</v>
      </c>
      <c r="E63" s="6"/>
      <c r="F63" s="46"/>
      <c r="G63" s="28"/>
      <c r="H63" s="28"/>
      <c r="I63" s="90"/>
      <c r="K63" s="100"/>
      <c r="M63" s="104"/>
      <c r="N63" s="105"/>
      <c r="O63" s="106"/>
      <c r="P63" s="106"/>
      <c r="S63" s="116"/>
      <c r="V63" s="98">
        <v>59</v>
      </c>
      <c r="W63" s="58">
        <f t="shared" si="0"/>
        <v>6.833333333333327</v>
      </c>
      <c r="X63" s="108">
        <f t="shared" si="1"/>
        <v>-1058.0716666666679</v>
      </c>
      <c r="Y63" s="147"/>
      <c r="Z63" s="117"/>
      <c r="AB63" s="62"/>
      <c r="AC63" s="98"/>
      <c r="AD63" s="62"/>
      <c r="AE63" s="123"/>
      <c r="AF63" s="123"/>
    </row>
    <row r="64" spans="1:32" ht="12.75">
      <c r="A64" s="63"/>
      <c r="B64" s="10"/>
      <c r="C64" s="10"/>
      <c r="D64" s="10"/>
      <c r="E64" s="10"/>
      <c r="F64" s="10"/>
      <c r="G64" s="10"/>
      <c r="H64" s="10"/>
      <c r="I64" s="11"/>
      <c r="K64" s="100"/>
      <c r="O64" s="106"/>
      <c r="P64" s="106"/>
      <c r="V64" s="98">
        <v>60</v>
      </c>
      <c r="W64" s="58">
        <f t="shared" si="0"/>
        <v>6.91666666666666</v>
      </c>
      <c r="X64" s="108">
        <f t="shared" si="1"/>
        <v>-1049.9210416666679</v>
      </c>
      <c r="Y64" s="147"/>
      <c r="Z64" s="117"/>
      <c r="AB64" s="62"/>
      <c r="AC64" s="98"/>
      <c r="AD64" s="62"/>
      <c r="AE64" s="123"/>
      <c r="AF64" s="123"/>
    </row>
    <row r="65" spans="1:32" ht="12.75">
      <c r="A65" s="7" t="s">
        <v>122</v>
      </c>
      <c r="B65" s="10"/>
      <c r="C65" s="10"/>
      <c r="D65" s="10"/>
      <c r="E65" s="10"/>
      <c r="F65" s="10"/>
      <c r="G65" s="10"/>
      <c r="H65" s="10"/>
      <c r="I65" s="11"/>
      <c r="K65" s="100"/>
      <c r="M65" s="104"/>
      <c r="N65" s="102"/>
      <c r="O65" s="106"/>
      <c r="P65" s="106"/>
      <c r="V65" s="98">
        <v>61</v>
      </c>
      <c r="W65" s="58">
        <f t="shared" si="0"/>
        <v>6.999999999999993</v>
      </c>
      <c r="X65" s="108">
        <f t="shared" si="1"/>
        <v>-1041.4822222222235</v>
      </c>
      <c r="Y65" s="147"/>
      <c r="Z65" s="117"/>
      <c r="AB65" s="62"/>
      <c r="AC65" s="98"/>
      <c r="AD65" s="62"/>
      <c r="AE65" s="123"/>
      <c r="AF65" s="123"/>
    </row>
    <row r="66" spans="1:32" ht="12.75">
      <c r="A66" s="21" t="s">
        <v>47</v>
      </c>
      <c r="B66" s="271">
        <f>$N$32</f>
        <v>558.4187025154723</v>
      </c>
      <c r="C66" s="66" t="s">
        <v>45</v>
      </c>
      <c r="D66" s="18" t="s">
        <v>69</v>
      </c>
      <c r="E66" s="6"/>
      <c r="F66" s="46"/>
      <c r="G66" s="28"/>
      <c r="H66" s="28"/>
      <c r="I66" s="90"/>
      <c r="K66" s="100"/>
      <c r="M66" s="104"/>
      <c r="N66" s="105"/>
      <c r="O66" s="70"/>
      <c r="P66" s="46"/>
      <c r="V66" s="98">
        <v>62</v>
      </c>
      <c r="W66" s="58">
        <f t="shared" si="0"/>
        <v>7.083333333333326</v>
      </c>
      <c r="X66" s="108">
        <f t="shared" si="1"/>
        <v>-1032.7517361111127</v>
      </c>
      <c r="Y66" s="147"/>
      <c r="Z66" s="117"/>
      <c r="AB66" s="62"/>
      <c r="AC66" s="98"/>
      <c r="AD66" s="62"/>
      <c r="AE66" s="123"/>
      <c r="AF66" s="123"/>
    </row>
    <row r="67" spans="1:32" ht="12.75">
      <c r="A67" s="63"/>
      <c r="B67" s="10"/>
      <c r="C67" s="10"/>
      <c r="D67" s="10"/>
      <c r="E67" s="10"/>
      <c r="F67" s="10"/>
      <c r="G67" s="10"/>
      <c r="H67" s="10"/>
      <c r="I67" s="11"/>
      <c r="K67" s="100"/>
      <c r="M67" s="104"/>
      <c r="N67" s="105"/>
      <c r="O67" s="70"/>
      <c r="P67" s="46"/>
      <c r="Q67" s="98"/>
      <c r="V67" s="98">
        <v>63</v>
      </c>
      <c r="W67" s="58">
        <f t="shared" si="0"/>
        <v>7.166666666666659</v>
      </c>
      <c r="X67" s="108">
        <f t="shared" si="1"/>
        <v>-1023.7261111111126</v>
      </c>
      <c r="Y67" s="147"/>
      <c r="Z67" s="117"/>
      <c r="AB67" s="62"/>
      <c r="AC67" s="98"/>
      <c r="AD67" s="62"/>
      <c r="AE67" s="123"/>
      <c r="AF67" s="123"/>
    </row>
    <row r="68" spans="1:32" ht="12.75">
      <c r="A68" s="7" t="s">
        <v>123</v>
      </c>
      <c r="B68" s="10"/>
      <c r="C68" s="10"/>
      <c r="D68" s="10" t="s">
        <v>341</v>
      </c>
      <c r="E68" s="10"/>
      <c r="F68" s="10"/>
      <c r="G68" s="10"/>
      <c r="H68" s="10"/>
      <c r="I68" s="11"/>
      <c r="K68" s="100"/>
      <c r="M68" s="69"/>
      <c r="N68" s="108"/>
      <c r="O68" s="106"/>
      <c r="P68" s="110"/>
      <c r="V68" s="98">
        <v>64</v>
      </c>
      <c r="W68" s="58">
        <f t="shared" si="0"/>
        <v>7.249999999999992</v>
      </c>
      <c r="X68" s="108">
        <f t="shared" si="1"/>
        <v>-1014.4018750000016</v>
      </c>
      <c r="Y68" s="147"/>
      <c r="Z68" s="117"/>
      <c r="AB68" s="62"/>
      <c r="AC68" s="98"/>
      <c r="AD68" s="62"/>
      <c r="AE68" s="123"/>
      <c r="AF68" s="123"/>
    </row>
    <row r="69" spans="1:32" ht="12.75">
      <c r="A69" s="21" t="s">
        <v>36</v>
      </c>
      <c r="B69" s="172">
        <f>$N$34</f>
        <v>627.4631952631976</v>
      </c>
      <c r="C69" s="66" t="s">
        <v>45</v>
      </c>
      <c r="D69" s="18" t="s">
        <v>49</v>
      </c>
      <c r="E69" s="6"/>
      <c r="F69" s="28"/>
      <c r="G69" s="28"/>
      <c r="H69" s="28"/>
      <c r="I69" s="90"/>
      <c r="K69" s="100"/>
      <c r="M69" s="104"/>
      <c r="N69" s="108"/>
      <c r="O69" s="70"/>
      <c r="P69" s="110"/>
      <c r="S69" s="108"/>
      <c r="V69" s="98">
        <v>65</v>
      </c>
      <c r="W69" s="58">
        <f t="shared" si="0"/>
        <v>7.333333333333325</v>
      </c>
      <c r="X69" s="108">
        <f t="shared" si="1"/>
        <v>-1004.7755555555573</v>
      </c>
      <c r="Y69" s="147"/>
      <c r="Z69" s="117"/>
      <c r="AB69" s="62"/>
      <c r="AC69" s="98"/>
      <c r="AD69" s="62"/>
      <c r="AE69" s="123"/>
      <c r="AF69" s="123"/>
    </row>
    <row r="70" spans="1:32" ht="12.75">
      <c r="A70" s="21" t="s">
        <v>37</v>
      </c>
      <c r="B70" s="173">
        <f>$N$35</f>
        <v>1275</v>
      </c>
      <c r="C70" s="66" t="s">
        <v>45</v>
      </c>
      <c r="D70" s="18" t="s">
        <v>276</v>
      </c>
      <c r="E70" s="6"/>
      <c r="F70" s="28"/>
      <c r="G70" s="28"/>
      <c r="H70" s="43" t="str">
        <f>IF($B$70&gt;=$B$69,"Fc(allow)&gt;=fc, O.K.","Fc(allow)&lt;fc")</f>
        <v>Fc(allow)&gt;=fc, O.K.</v>
      </c>
      <c r="I70" s="90"/>
      <c r="K70" s="100"/>
      <c r="V70" s="98">
        <v>66</v>
      </c>
      <c r="W70" s="58">
        <f aca="true" t="shared" si="2" ref="W70:W133">$W69+1/12</f>
        <v>7.416666666666658</v>
      </c>
      <c r="X70" s="108">
        <f aca="true" t="shared" si="3" ref="X70:X133">$W70^3-14.14*$N$4*$W70/$N$8-18.85*$N$5/$N$8</f>
        <v>-994.8436805555573</v>
      </c>
      <c r="Y70" s="147"/>
      <c r="Z70" s="117"/>
      <c r="AB70" s="62"/>
      <c r="AC70" s="98"/>
      <c r="AD70" s="62"/>
      <c r="AE70" s="123"/>
      <c r="AF70" s="123"/>
    </row>
    <row r="71" spans="1:32" ht="12.75">
      <c r="A71" s="63"/>
      <c r="B71" s="10"/>
      <c r="C71" s="10"/>
      <c r="D71" s="10"/>
      <c r="E71" s="10"/>
      <c r="F71" s="10"/>
      <c r="G71" s="10"/>
      <c r="H71" s="10"/>
      <c r="I71" s="11"/>
      <c r="K71" s="100"/>
      <c r="M71" s="104"/>
      <c r="N71" s="108"/>
      <c r="O71" s="106"/>
      <c r="P71" s="106"/>
      <c r="V71" s="98">
        <v>67</v>
      </c>
      <c r="W71" s="58">
        <f t="shared" si="2"/>
        <v>7.499999999999991</v>
      </c>
      <c r="X71" s="108">
        <f t="shared" si="3"/>
        <v>-984.6027777777796</v>
      </c>
      <c r="Y71" s="147"/>
      <c r="Z71" s="117"/>
      <c r="AB71" s="62"/>
      <c r="AC71" s="98"/>
      <c r="AD71" s="62"/>
      <c r="AE71" s="123"/>
      <c r="AF71" s="123"/>
    </row>
    <row r="72" spans="1:32" ht="12.75">
      <c r="A72" s="7" t="s">
        <v>124</v>
      </c>
      <c r="B72" s="10"/>
      <c r="C72" s="10"/>
      <c r="D72" s="10" t="s">
        <v>341</v>
      </c>
      <c r="E72" s="10"/>
      <c r="F72" s="10"/>
      <c r="G72" s="10"/>
      <c r="H72" s="10"/>
      <c r="I72" s="11"/>
      <c r="M72" s="98"/>
      <c r="N72" s="105"/>
      <c r="O72" s="106"/>
      <c r="P72" s="106"/>
      <c r="V72" s="98">
        <v>68</v>
      </c>
      <c r="W72" s="58">
        <f t="shared" si="2"/>
        <v>7.583333333333324</v>
      </c>
      <c r="X72" s="108">
        <f t="shared" si="3"/>
        <v>-974.0493750000019</v>
      </c>
      <c r="Y72" s="147"/>
      <c r="Z72" s="117"/>
      <c r="AB72" s="62"/>
      <c r="AC72" s="98"/>
      <c r="AD72" s="62"/>
      <c r="AE72" s="123"/>
      <c r="AF72" s="123"/>
    </row>
    <row r="73" spans="1:32" ht="12.75">
      <c r="A73" s="21" t="s">
        <v>38</v>
      </c>
      <c r="B73" s="172">
        <f>$N$37</f>
        <v>489.374209767747</v>
      </c>
      <c r="C73" s="66" t="s">
        <v>45</v>
      </c>
      <c r="D73" s="18" t="s">
        <v>48</v>
      </c>
      <c r="E73" s="6"/>
      <c r="F73" s="10"/>
      <c r="G73" s="10"/>
      <c r="H73" s="10"/>
      <c r="I73" s="11"/>
      <c r="M73" s="69"/>
      <c r="N73" s="108"/>
      <c r="O73" s="106"/>
      <c r="P73" s="112"/>
      <c r="V73" s="98">
        <v>69</v>
      </c>
      <c r="W73" s="58">
        <f t="shared" si="2"/>
        <v>7.666666666666657</v>
      </c>
      <c r="X73" s="108">
        <f t="shared" si="3"/>
        <v>-963.180000000002</v>
      </c>
      <c r="Y73" s="147"/>
      <c r="Z73" s="117"/>
      <c r="AB73" s="62"/>
      <c r="AC73" s="98"/>
      <c r="AD73" s="62"/>
      <c r="AE73" s="123"/>
      <c r="AF73" s="123"/>
    </row>
    <row r="74" spans="1:32" ht="12.75">
      <c r="A74" s="21" t="s">
        <v>26</v>
      </c>
      <c r="B74" s="173">
        <f>$N$38</f>
        <v>118.58541225631421</v>
      </c>
      <c r="C74" s="66" t="s">
        <v>45</v>
      </c>
      <c r="D74" s="18" t="s">
        <v>272</v>
      </c>
      <c r="E74" s="6"/>
      <c r="F74" s="10"/>
      <c r="G74" s="10"/>
      <c r="H74" s="43" t="str">
        <f>IF($B$74&gt;=$B$73,"Ft(allow)&gt;=ft, O.K.","Ft(allow)&lt;ft")</f>
        <v>Ft(allow)&lt;ft</v>
      </c>
      <c r="I74" s="11"/>
      <c r="M74" s="104"/>
      <c r="N74" s="102"/>
      <c r="O74" s="106"/>
      <c r="P74" s="106"/>
      <c r="V74" s="98">
        <v>70</v>
      </c>
      <c r="W74" s="58">
        <f t="shared" si="2"/>
        <v>7.74999999999999</v>
      </c>
      <c r="X74" s="108">
        <f t="shared" si="3"/>
        <v>-951.9911805555575</v>
      </c>
      <c r="Y74" s="147"/>
      <c r="Z74" s="117"/>
      <c r="AB74" s="62"/>
      <c r="AC74" s="98"/>
      <c r="AD74" s="62"/>
      <c r="AE74" s="123"/>
      <c r="AF74" s="123"/>
    </row>
    <row r="75" spans="1:32" ht="12.75">
      <c r="A75" s="63"/>
      <c r="B75" s="10"/>
      <c r="C75" s="10"/>
      <c r="D75" s="10"/>
      <c r="E75" s="10"/>
      <c r="F75" s="10"/>
      <c r="G75" s="10"/>
      <c r="H75" s="10"/>
      <c r="I75" s="11"/>
      <c r="M75" s="104"/>
      <c r="N75" s="105"/>
      <c r="O75" s="70"/>
      <c r="P75" s="46"/>
      <c r="V75" s="98">
        <v>71</v>
      </c>
      <c r="W75" s="58">
        <f t="shared" si="2"/>
        <v>7.833333333333323</v>
      </c>
      <c r="X75" s="108">
        <f t="shared" si="3"/>
        <v>-940.4794444444465</v>
      </c>
      <c r="Y75" s="147"/>
      <c r="Z75" s="117"/>
      <c r="AB75" s="62"/>
      <c r="AC75" s="98"/>
      <c r="AD75" s="62"/>
      <c r="AE75" s="123"/>
      <c r="AF75" s="123"/>
    </row>
    <row r="76" spans="1:32" ht="12.75">
      <c r="A76" s="7" t="s">
        <v>125</v>
      </c>
      <c r="B76" s="10"/>
      <c r="C76" s="10"/>
      <c r="D76" s="10" t="s">
        <v>341</v>
      </c>
      <c r="E76" s="10"/>
      <c r="F76" s="10"/>
      <c r="G76" s="10"/>
      <c r="H76" s="10"/>
      <c r="I76" s="11"/>
      <c r="M76" s="104"/>
      <c r="N76" s="105"/>
      <c r="O76" s="70"/>
      <c r="P76" s="46"/>
      <c r="Q76" s="98"/>
      <c r="V76" s="98">
        <v>72</v>
      </c>
      <c r="W76" s="58">
        <f t="shared" si="2"/>
        <v>7.916666666666656</v>
      </c>
      <c r="X76" s="108">
        <f t="shared" si="3"/>
        <v>-928.6413194444467</v>
      </c>
      <c r="Y76" s="147"/>
      <c r="Z76" s="117"/>
      <c r="AB76" s="62"/>
      <c r="AC76" s="98"/>
      <c r="AD76" s="62"/>
      <c r="AE76" s="123"/>
      <c r="AF76" s="123"/>
    </row>
    <row r="77" spans="1:32" ht="12.75">
      <c r="A77" s="21" t="s">
        <v>39</v>
      </c>
      <c r="B77" s="172">
        <f>$N$40</f>
        <v>25.251661575406622</v>
      </c>
      <c r="C77" s="66" t="s">
        <v>45</v>
      </c>
      <c r="D77" s="375" t="s">
        <v>336</v>
      </c>
      <c r="E77" s="6"/>
      <c r="F77" s="28"/>
      <c r="G77" s="28"/>
      <c r="H77" s="28"/>
      <c r="I77" s="92"/>
      <c r="M77" s="106"/>
      <c r="O77" s="96"/>
      <c r="P77" s="106"/>
      <c r="V77" s="98">
        <v>73</v>
      </c>
      <c r="W77" s="58">
        <f t="shared" si="2"/>
        <v>7.999999999999989</v>
      </c>
      <c r="X77" s="108">
        <f t="shared" si="3"/>
        <v>-916.4733333333356</v>
      </c>
      <c r="Y77" s="147"/>
      <c r="Z77" s="117"/>
      <c r="AB77" s="62"/>
      <c r="AC77" s="98"/>
      <c r="AD77" s="62"/>
      <c r="AE77" s="123"/>
      <c r="AF77" s="123"/>
    </row>
    <row r="78" spans="1:32" ht="12.75">
      <c r="A78" s="21" t="s">
        <v>40</v>
      </c>
      <c r="B78" s="173">
        <f>$N$41</f>
        <v>47.43416490252569</v>
      </c>
      <c r="C78" s="66" t="s">
        <v>45</v>
      </c>
      <c r="D78" s="375" t="s">
        <v>337</v>
      </c>
      <c r="E78" s="6"/>
      <c r="F78" s="28"/>
      <c r="G78" s="28"/>
      <c r="H78" s="43" t="str">
        <f>IF($B$78&gt;=$B$77,"Fv(allow)&gt;=fv, O.K.","Fv(allow)&lt;fv")</f>
        <v>Fv(allow)&gt;=fv, O.K.</v>
      </c>
      <c r="I78" s="90"/>
      <c r="M78" s="104"/>
      <c r="N78" s="105"/>
      <c r="O78" s="106"/>
      <c r="P78" s="106"/>
      <c r="V78" s="98">
        <v>74</v>
      </c>
      <c r="W78" s="58">
        <f t="shared" si="2"/>
        <v>8.083333333333323</v>
      </c>
      <c r="X78" s="108">
        <f t="shared" si="3"/>
        <v>-903.9720138888911</v>
      </c>
      <c r="Y78" s="147"/>
      <c r="Z78" s="117"/>
      <c r="AB78" s="62"/>
      <c r="AC78" s="98"/>
      <c r="AD78" s="62"/>
      <c r="AE78" s="123"/>
      <c r="AF78" s="123"/>
    </row>
    <row r="79" spans="1:32" ht="12.75">
      <c r="A79" s="63"/>
      <c r="B79" s="10"/>
      <c r="C79" s="10"/>
      <c r="D79" s="10"/>
      <c r="E79" s="10"/>
      <c r="F79" s="10"/>
      <c r="G79" s="10"/>
      <c r="H79" s="10"/>
      <c r="I79" s="11"/>
      <c r="M79" s="104"/>
      <c r="N79" s="105"/>
      <c r="O79" s="106"/>
      <c r="P79" s="106"/>
      <c r="V79" s="98">
        <v>75</v>
      </c>
      <c r="W79" s="58">
        <f t="shared" si="2"/>
        <v>8.166666666666657</v>
      </c>
      <c r="X79" s="108">
        <f t="shared" si="3"/>
        <v>-891.1338888888911</v>
      </c>
      <c r="Y79" s="147"/>
      <c r="Z79" s="117"/>
      <c r="AB79" s="62"/>
      <c r="AC79" s="98"/>
      <c r="AD79" s="62"/>
      <c r="AE79" s="123"/>
      <c r="AF79" s="123"/>
    </row>
    <row r="80" spans="1:32" ht="12.75">
      <c r="A80" s="63"/>
      <c r="B80" s="10"/>
      <c r="C80" s="10"/>
      <c r="D80" s="10"/>
      <c r="E80" s="10"/>
      <c r="F80" s="10"/>
      <c r="G80" s="10"/>
      <c r="H80" s="10"/>
      <c r="I80" s="11"/>
      <c r="M80" s="115"/>
      <c r="N80" s="101"/>
      <c r="O80" s="70"/>
      <c r="P80" s="106"/>
      <c r="S80" s="73"/>
      <c r="V80" s="98">
        <v>76</v>
      </c>
      <c r="W80" s="58">
        <f t="shared" si="2"/>
        <v>8.249999999999991</v>
      </c>
      <c r="X80" s="108">
        <f t="shared" si="3"/>
        <v>-877.9554861111133</v>
      </c>
      <c r="Y80" s="147"/>
      <c r="Z80" s="117"/>
      <c r="AB80" s="62"/>
      <c r="AC80" s="98"/>
      <c r="AD80" s="62"/>
      <c r="AE80" s="123"/>
      <c r="AF80" s="123"/>
    </row>
    <row r="81" spans="1:32" ht="12.75">
      <c r="A81" s="247" t="s">
        <v>280</v>
      </c>
      <c r="B81" s="248"/>
      <c r="C81" s="248"/>
      <c r="D81" s="248"/>
      <c r="E81" s="248"/>
      <c r="F81" s="248"/>
      <c r="G81" s="248"/>
      <c r="H81" s="248"/>
      <c r="I81" s="249"/>
      <c r="O81" s="96"/>
      <c r="P81" s="106"/>
      <c r="V81" s="98">
        <v>77</v>
      </c>
      <c r="W81" s="58">
        <f t="shared" si="2"/>
        <v>8.333333333333325</v>
      </c>
      <c r="X81" s="108">
        <f t="shared" si="3"/>
        <v>-864.4333333333354</v>
      </c>
      <c r="Y81" s="147"/>
      <c r="Z81" s="117"/>
      <c r="AB81" s="62"/>
      <c r="AC81" s="98"/>
      <c r="AD81" s="62"/>
      <c r="AE81" s="123"/>
      <c r="AF81" s="123"/>
    </row>
    <row r="82" spans="1:32" ht="12.75">
      <c r="A82" s="63"/>
      <c r="B82" s="37" t="s">
        <v>166</v>
      </c>
      <c r="C82" s="10" t="s">
        <v>196</v>
      </c>
      <c r="D82" s="10"/>
      <c r="E82" s="10"/>
      <c r="F82" s="10"/>
      <c r="G82" s="10"/>
      <c r="H82" s="10"/>
      <c r="I82" s="11"/>
      <c r="M82" s="117"/>
      <c r="N82" s="73"/>
      <c r="O82" s="118"/>
      <c r="P82" s="106"/>
      <c r="V82" s="98">
        <v>78</v>
      </c>
      <c r="W82" s="58">
        <f t="shared" si="2"/>
        <v>8.416666666666659</v>
      </c>
      <c r="X82" s="108">
        <f t="shared" si="3"/>
        <v>-850.5639583333353</v>
      </c>
      <c r="Y82" s="147"/>
      <c r="Z82" s="117"/>
      <c r="AB82" s="62"/>
      <c r="AC82" s="98"/>
      <c r="AD82" s="62"/>
      <c r="AE82" s="123"/>
      <c r="AF82" s="123"/>
    </row>
    <row r="83" spans="1:32" ht="12.75">
      <c r="A83" s="63"/>
      <c r="B83" s="10"/>
      <c r="C83" s="6" t="s">
        <v>243</v>
      </c>
      <c r="D83" s="10"/>
      <c r="E83" s="10"/>
      <c r="F83" s="10"/>
      <c r="G83" s="10"/>
      <c r="H83" s="10"/>
      <c r="I83" s="11"/>
      <c r="M83" s="117"/>
      <c r="N83" s="73"/>
      <c r="O83" s="70"/>
      <c r="P83" s="106"/>
      <c r="V83" s="98">
        <v>79</v>
      </c>
      <c r="W83" s="58">
        <f t="shared" si="2"/>
        <v>8.499999999999993</v>
      </c>
      <c r="X83" s="108">
        <f t="shared" si="3"/>
        <v>-836.3438888888908</v>
      </c>
      <c r="Y83" s="147"/>
      <c r="Z83" s="117"/>
      <c r="AB83" s="62"/>
      <c r="AC83" s="98"/>
      <c r="AD83" s="62"/>
      <c r="AE83" s="123"/>
      <c r="AF83" s="123"/>
    </row>
    <row r="84" spans="1:32" ht="12.75">
      <c r="A84" s="7"/>
      <c r="B84" s="237" t="s">
        <v>240</v>
      </c>
      <c r="C84" s="6"/>
      <c r="D84" s="6"/>
      <c r="E84" s="149"/>
      <c r="F84" s="149"/>
      <c r="G84" s="149"/>
      <c r="H84" s="150"/>
      <c r="I84" s="195"/>
      <c r="O84" s="96"/>
      <c r="P84" s="106"/>
      <c r="V84" s="98">
        <v>80</v>
      </c>
      <c r="W84" s="58">
        <f t="shared" si="2"/>
        <v>8.583333333333327</v>
      </c>
      <c r="X84" s="108">
        <f t="shared" si="3"/>
        <v>-821.7696527777796</v>
      </c>
      <c r="Y84" s="147"/>
      <c r="Z84" s="117"/>
      <c r="AB84" s="62"/>
      <c r="AC84" s="98"/>
      <c r="AD84" s="62"/>
      <c r="AE84" s="123"/>
      <c r="AF84" s="123"/>
    </row>
    <row r="85" spans="1:32" ht="12.75">
      <c r="A85" s="7"/>
      <c r="B85" s="238"/>
      <c r="C85" s="6"/>
      <c r="D85" s="6"/>
      <c r="E85" s="149"/>
      <c r="F85" s="258" t="s">
        <v>256</v>
      </c>
      <c r="G85" s="254"/>
      <c r="H85" s="254"/>
      <c r="I85" s="255"/>
      <c r="M85" s="104"/>
      <c r="N85" s="119"/>
      <c r="O85" s="106"/>
      <c r="P85" s="106"/>
      <c r="V85" s="98">
        <v>81</v>
      </c>
      <c r="W85" s="58">
        <f t="shared" si="2"/>
        <v>8.66666666666666</v>
      </c>
      <c r="X85" s="108">
        <f t="shared" si="3"/>
        <v>-806.8377777777796</v>
      </c>
      <c r="Y85" s="147"/>
      <c r="Z85" s="117"/>
      <c r="AB85" s="62"/>
      <c r="AC85" s="98"/>
      <c r="AD85" s="62"/>
      <c r="AE85" s="123"/>
      <c r="AF85" s="123"/>
    </row>
    <row r="86" spans="1:32" ht="12.75">
      <c r="A86" s="21"/>
      <c r="B86" s="29"/>
      <c r="C86" s="18"/>
      <c r="D86" s="6"/>
      <c r="E86" s="149"/>
      <c r="F86" s="259" t="s">
        <v>332</v>
      </c>
      <c r="G86" s="8"/>
      <c r="H86" s="254"/>
      <c r="I86" s="249"/>
      <c r="M86" s="104"/>
      <c r="N86" s="105"/>
      <c r="O86" s="106"/>
      <c r="P86" s="106"/>
      <c r="V86" s="98">
        <v>82</v>
      </c>
      <c r="W86" s="58">
        <f t="shared" si="2"/>
        <v>8.749999999999995</v>
      </c>
      <c r="X86" s="108">
        <f t="shared" si="3"/>
        <v>-791.5447916666684</v>
      </c>
      <c r="Y86" s="147"/>
      <c r="Z86" s="117"/>
      <c r="AB86" s="62"/>
      <c r="AC86" s="98"/>
      <c r="AD86" s="62"/>
      <c r="AE86" s="123"/>
      <c r="AF86" s="123"/>
    </row>
    <row r="87" spans="1:32" ht="12.75">
      <c r="A87" s="7"/>
      <c r="B87" s="6"/>
      <c r="C87" s="6"/>
      <c r="D87" s="19"/>
      <c r="E87" s="149"/>
      <c r="F87" s="149"/>
      <c r="G87" s="149"/>
      <c r="H87" s="149"/>
      <c r="I87" s="11"/>
      <c r="M87" s="104"/>
      <c r="N87" s="105"/>
      <c r="O87" s="106"/>
      <c r="P87" s="106"/>
      <c r="V87" s="98">
        <v>83</v>
      </c>
      <c r="W87" s="58">
        <f t="shared" si="2"/>
        <v>8.833333333333329</v>
      </c>
      <c r="X87" s="108">
        <f t="shared" si="3"/>
        <v>-775.8872222222237</v>
      </c>
      <c r="Y87" s="147"/>
      <c r="Z87" s="117"/>
      <c r="AB87" s="62"/>
      <c r="AC87" s="98"/>
      <c r="AD87" s="62"/>
      <c r="AE87" s="123"/>
      <c r="AF87" s="123"/>
    </row>
    <row r="88" spans="1:32" ht="12.75">
      <c r="A88" s="241"/>
      <c r="B88" s="81" t="s">
        <v>227</v>
      </c>
      <c r="C88" s="149"/>
      <c r="D88" s="253" t="s">
        <v>237</v>
      </c>
      <c r="E88" s="149"/>
      <c r="F88" s="253" t="s">
        <v>238</v>
      </c>
      <c r="G88" s="149"/>
      <c r="H88" s="149"/>
      <c r="I88" s="11"/>
      <c r="M88" s="104"/>
      <c r="N88" s="105"/>
      <c r="O88" s="106"/>
      <c r="P88" s="106"/>
      <c r="V88" s="98">
        <v>84</v>
      </c>
      <c r="W88" s="58">
        <f t="shared" si="2"/>
        <v>8.916666666666663</v>
      </c>
      <c r="X88" s="108">
        <f t="shared" si="3"/>
        <v>-759.8615972222237</v>
      </c>
      <c r="Y88" s="147"/>
      <c r="Z88" s="117"/>
      <c r="AB88" s="62"/>
      <c r="AC88" s="98"/>
      <c r="AD88" s="62"/>
      <c r="AE88" s="123"/>
      <c r="AF88" s="123"/>
    </row>
    <row r="89" spans="1:32" ht="12.75">
      <c r="A89" s="7"/>
      <c r="B89" s="12"/>
      <c r="C89" s="18"/>
      <c r="D89" s="18"/>
      <c r="E89" s="81" t="s">
        <v>241</v>
      </c>
      <c r="F89" s="10"/>
      <c r="G89" s="10"/>
      <c r="H89" s="10"/>
      <c r="I89" s="11"/>
      <c r="M89" s="104"/>
      <c r="N89" s="73"/>
      <c r="O89" s="96"/>
      <c r="P89" s="106"/>
      <c r="V89" s="98">
        <v>85</v>
      </c>
      <c r="W89" s="58">
        <f t="shared" si="2"/>
        <v>8.999999999999996</v>
      </c>
      <c r="X89" s="108">
        <f t="shared" si="3"/>
        <v>-743.4644444444458</v>
      </c>
      <c r="Y89" s="147"/>
      <c r="Z89" s="117"/>
      <c r="AB89" s="62"/>
      <c r="AC89" s="98"/>
      <c r="AD89" s="62"/>
      <c r="AE89" s="123"/>
      <c r="AF89" s="123"/>
    </row>
    <row r="90" spans="1:32" ht="12.75">
      <c r="A90" s="21"/>
      <c r="B90" s="38"/>
      <c r="C90" s="18"/>
      <c r="D90" s="18"/>
      <c r="E90" s="10"/>
      <c r="F90" s="81" t="s">
        <v>242</v>
      </c>
      <c r="G90" s="10"/>
      <c r="H90" s="10"/>
      <c r="I90" s="11"/>
      <c r="M90" s="104"/>
      <c r="N90" s="73"/>
      <c r="O90" s="96"/>
      <c r="P90" s="106"/>
      <c r="V90" s="98">
        <v>86</v>
      </c>
      <c r="W90" s="58">
        <f t="shared" si="2"/>
        <v>9.08333333333333</v>
      </c>
      <c r="X90" s="108">
        <f t="shared" si="3"/>
        <v>-726.6922916666681</v>
      </c>
      <c r="Y90" s="147"/>
      <c r="Z90" s="117"/>
      <c r="AB90" s="62"/>
      <c r="AC90" s="98"/>
      <c r="AD90" s="62"/>
      <c r="AE90" s="123"/>
      <c r="AF90" s="123"/>
    </row>
    <row r="91" spans="1:32" ht="12.75">
      <c r="A91" s="21"/>
      <c r="B91" s="38"/>
      <c r="C91" s="18"/>
      <c r="D91" s="18"/>
      <c r="E91" s="10"/>
      <c r="F91" s="81" t="s">
        <v>228</v>
      </c>
      <c r="G91" s="10"/>
      <c r="H91" s="39"/>
      <c r="I91" s="90"/>
      <c r="M91" s="104"/>
      <c r="N91" s="38"/>
      <c r="O91" s="106"/>
      <c r="P91" s="72"/>
      <c r="R91" s="120"/>
      <c r="S91" s="100"/>
      <c r="V91" s="98">
        <v>87</v>
      </c>
      <c r="W91" s="58">
        <f t="shared" si="2"/>
        <v>9.166666666666664</v>
      </c>
      <c r="X91" s="108">
        <f t="shared" si="3"/>
        <v>-709.5416666666679</v>
      </c>
      <c r="Y91" s="147"/>
      <c r="Z91" s="117"/>
      <c r="AB91" s="62"/>
      <c r="AC91" s="98"/>
      <c r="AD91" s="62"/>
      <c r="AE91" s="123"/>
      <c r="AF91" s="123"/>
    </row>
    <row r="92" spans="1:32" ht="12.75">
      <c r="A92" s="63"/>
      <c r="B92" s="10"/>
      <c r="C92" s="10"/>
      <c r="D92" s="10"/>
      <c r="E92" s="10"/>
      <c r="F92" s="239" t="s">
        <v>229</v>
      </c>
      <c r="G92" s="10"/>
      <c r="H92" s="10"/>
      <c r="I92" s="11"/>
      <c r="M92" s="104"/>
      <c r="N92" s="38"/>
      <c r="O92" s="106"/>
      <c r="P92" s="72"/>
      <c r="R92" s="73"/>
      <c r="U92" s="108"/>
      <c r="V92" s="98">
        <v>88</v>
      </c>
      <c r="W92" s="58">
        <f t="shared" si="2"/>
        <v>9.249999999999998</v>
      </c>
      <c r="X92" s="108">
        <f t="shared" si="3"/>
        <v>-692.0090972222233</v>
      </c>
      <c r="Y92" s="147"/>
      <c r="Z92" s="117"/>
      <c r="AB92" s="62"/>
      <c r="AC92" s="98"/>
      <c r="AD92" s="62"/>
      <c r="AE92" s="123"/>
      <c r="AF92" s="123"/>
    </row>
    <row r="93" spans="1:32" ht="12.75">
      <c r="A93" s="7"/>
      <c r="B93" s="6"/>
      <c r="C93" s="81" t="s">
        <v>230</v>
      </c>
      <c r="D93" s="18"/>
      <c r="E93" s="6"/>
      <c r="F93" s="6"/>
      <c r="G93" s="6"/>
      <c r="H93" s="6"/>
      <c r="I93" s="14"/>
      <c r="M93" s="104"/>
      <c r="N93" s="105"/>
      <c r="O93" s="70"/>
      <c r="P93" s="70"/>
      <c r="V93" s="98">
        <v>89</v>
      </c>
      <c r="W93" s="58">
        <f t="shared" si="2"/>
        <v>9.333333333333332</v>
      </c>
      <c r="X93" s="108">
        <f t="shared" si="3"/>
        <v>-674.091111111112</v>
      </c>
      <c r="Y93" s="147"/>
      <c r="Z93" s="117"/>
      <c r="AB93" s="62"/>
      <c r="AC93" s="98"/>
      <c r="AD93" s="62"/>
      <c r="AE93" s="123"/>
      <c r="AF93" s="123"/>
    </row>
    <row r="94" spans="1:32" ht="12.75">
      <c r="A94" s="91"/>
      <c r="B94" s="240" t="s">
        <v>231</v>
      </c>
      <c r="C94" s="26"/>
      <c r="D94" s="26"/>
      <c r="E94" s="10"/>
      <c r="F94" s="10"/>
      <c r="G94" s="10"/>
      <c r="H94" s="10"/>
      <c r="I94" s="11"/>
      <c r="M94" s="104"/>
      <c r="N94" s="105"/>
      <c r="O94" s="106"/>
      <c r="P94" s="106"/>
      <c r="V94" s="98">
        <v>90</v>
      </c>
      <c r="W94" s="58">
        <f t="shared" si="2"/>
        <v>9.416666666666666</v>
      </c>
      <c r="X94" s="108">
        <f t="shared" si="3"/>
        <v>-655.784236111112</v>
      </c>
      <c r="Y94" s="147"/>
      <c r="Z94" s="117"/>
      <c r="AB94" s="62"/>
      <c r="AC94" s="98"/>
      <c r="AD94" s="62"/>
      <c r="AE94" s="123"/>
      <c r="AF94" s="123"/>
    </row>
    <row r="95" spans="1:32" ht="12.75">
      <c r="A95" s="91"/>
      <c r="B95" s="41"/>
      <c r="C95" s="26"/>
      <c r="D95" s="26"/>
      <c r="E95" s="10"/>
      <c r="F95" s="10"/>
      <c r="G95" s="10"/>
      <c r="H95" s="10"/>
      <c r="I95" s="11"/>
      <c r="M95" s="104"/>
      <c r="N95" s="38"/>
      <c r="O95" s="106"/>
      <c r="P95" s="72"/>
      <c r="V95" s="98">
        <v>91</v>
      </c>
      <c r="W95" s="58">
        <f t="shared" si="2"/>
        <v>9.5</v>
      </c>
      <c r="X95" s="108">
        <f t="shared" si="3"/>
        <v>-637.0850000000007</v>
      </c>
      <c r="Y95" s="147"/>
      <c r="Z95" s="117"/>
      <c r="AB95" s="62"/>
      <c r="AC95" s="98"/>
      <c r="AD95" s="62"/>
      <c r="AE95" s="123"/>
      <c r="AF95" s="123"/>
    </row>
    <row r="96" spans="1:32" ht="12.75">
      <c r="A96" s="93"/>
      <c r="B96" s="41"/>
      <c r="C96" s="26"/>
      <c r="D96" s="27"/>
      <c r="E96" s="10"/>
      <c r="F96" s="10"/>
      <c r="G96" s="10"/>
      <c r="H96" s="10"/>
      <c r="I96" s="11"/>
      <c r="M96" s="104"/>
      <c r="N96" s="38"/>
      <c r="O96" s="106"/>
      <c r="P96" s="72"/>
      <c r="V96" s="98">
        <v>92</v>
      </c>
      <c r="W96" s="58">
        <f t="shared" si="2"/>
        <v>9.583333333333334</v>
      </c>
      <c r="X96" s="108">
        <f t="shared" si="3"/>
        <v>-617.9899305555562</v>
      </c>
      <c r="Y96" s="147"/>
      <c r="Z96" s="117"/>
      <c r="AB96" s="62"/>
      <c r="AC96" s="98"/>
      <c r="AD96" s="62"/>
      <c r="AE96" s="123"/>
      <c r="AF96" s="123"/>
    </row>
    <row r="97" spans="1:32" ht="12.75">
      <c r="A97" s="93"/>
      <c r="B97" s="41"/>
      <c r="C97" s="26"/>
      <c r="D97" s="27"/>
      <c r="E97" s="10"/>
      <c r="F97" s="10"/>
      <c r="G97" s="10"/>
      <c r="H97" s="10"/>
      <c r="I97" s="11"/>
      <c r="M97" s="69"/>
      <c r="N97" s="38"/>
      <c r="O97" s="70"/>
      <c r="P97" s="72"/>
      <c r="S97" s="51"/>
      <c r="V97" s="98">
        <v>93</v>
      </c>
      <c r="W97" s="58">
        <f t="shared" si="2"/>
        <v>9.666666666666668</v>
      </c>
      <c r="X97" s="108">
        <f t="shared" si="3"/>
        <v>-598.4955555555559</v>
      </c>
      <c r="Y97" s="147"/>
      <c r="Z97" s="117"/>
      <c r="AB97" s="62"/>
      <c r="AC97" s="98"/>
      <c r="AD97" s="62"/>
      <c r="AE97" s="123"/>
      <c r="AF97" s="123"/>
    </row>
    <row r="98" spans="1:32" ht="12.75">
      <c r="A98" s="63"/>
      <c r="B98" s="10"/>
      <c r="C98" s="10"/>
      <c r="D98" s="10"/>
      <c r="E98" s="10"/>
      <c r="F98" s="10"/>
      <c r="G98" s="43"/>
      <c r="H98" s="10"/>
      <c r="I98" s="11"/>
      <c r="M98" s="69"/>
      <c r="N98" s="38"/>
      <c r="O98" s="70"/>
      <c r="P98" s="72"/>
      <c r="R98" s="106"/>
      <c r="V98" s="98">
        <v>94</v>
      </c>
      <c r="W98" s="58">
        <f t="shared" si="2"/>
        <v>9.750000000000002</v>
      </c>
      <c r="X98" s="108">
        <f t="shared" si="3"/>
        <v>-578.5984027777781</v>
      </c>
      <c r="Y98" s="147"/>
      <c r="Z98" s="117"/>
      <c r="AB98" s="62"/>
      <c r="AC98" s="98"/>
      <c r="AD98" s="62"/>
      <c r="AE98" s="123"/>
      <c r="AF98" s="123"/>
    </row>
    <row r="99" spans="1:32" ht="12.75">
      <c r="A99" s="243" t="s">
        <v>232</v>
      </c>
      <c r="B99" s="240"/>
      <c r="C99" s="18"/>
      <c r="D99" s="82" t="s">
        <v>233</v>
      </c>
      <c r="E99" s="81" t="s">
        <v>271</v>
      </c>
      <c r="F99" s="43"/>
      <c r="G99" s="81" t="s">
        <v>254</v>
      </c>
      <c r="H99" s="81"/>
      <c r="I99" s="246" t="s">
        <v>239</v>
      </c>
      <c r="M99" s="106"/>
      <c r="O99" s="96"/>
      <c r="P99" s="106"/>
      <c r="V99" s="98">
        <v>95</v>
      </c>
      <c r="W99" s="58">
        <f t="shared" si="2"/>
        <v>9.833333333333336</v>
      </c>
      <c r="X99" s="108">
        <f t="shared" si="3"/>
        <v>-558.2950000000002</v>
      </c>
      <c r="Y99" s="147"/>
      <c r="Z99" s="117"/>
      <c r="AB99" s="62"/>
      <c r="AC99" s="98"/>
      <c r="AD99" s="62"/>
      <c r="AE99" s="123"/>
      <c r="AF99" s="123"/>
    </row>
    <row r="100" spans="1:32" ht="12.75">
      <c r="A100" s="63"/>
      <c r="B100" s="10"/>
      <c r="C100" s="10"/>
      <c r="D100" s="10"/>
      <c r="E100" s="10"/>
      <c r="F100" s="10"/>
      <c r="G100" s="10"/>
      <c r="H100" s="10"/>
      <c r="I100" s="11"/>
      <c r="M100" s="69"/>
      <c r="N100" s="121"/>
      <c r="O100" s="106"/>
      <c r="P100" s="106"/>
      <c r="V100" s="98">
        <v>96</v>
      </c>
      <c r="W100" s="58">
        <f t="shared" si="2"/>
        <v>9.91666666666667</v>
      </c>
      <c r="X100" s="108">
        <f t="shared" si="3"/>
        <v>-537.5818749999999</v>
      </c>
      <c r="Y100" s="147"/>
      <c r="Z100" s="117"/>
      <c r="AB100" s="62"/>
      <c r="AC100" s="98"/>
      <c r="AD100" s="62"/>
      <c r="AE100" s="123"/>
      <c r="AF100" s="123"/>
    </row>
    <row r="101" spans="1:32" ht="12.75">
      <c r="A101" s="242" t="s">
        <v>244</v>
      </c>
      <c r="B101" s="250"/>
      <c r="C101" s="200" t="s">
        <v>234</v>
      </c>
      <c r="D101" s="18" t="s">
        <v>251</v>
      </c>
      <c r="E101" s="6"/>
      <c r="F101" s="6"/>
      <c r="G101" s="6" t="s">
        <v>250</v>
      </c>
      <c r="H101" s="6"/>
      <c r="I101" s="251" t="s">
        <v>235</v>
      </c>
      <c r="M101" s="69"/>
      <c r="N101" s="121"/>
      <c r="O101" s="106"/>
      <c r="P101" s="106"/>
      <c r="V101" s="98">
        <v>97</v>
      </c>
      <c r="W101" s="58">
        <f t="shared" si="2"/>
        <v>10.000000000000004</v>
      </c>
      <c r="X101" s="108">
        <f t="shared" si="3"/>
        <v>-516.4555555555555</v>
      </c>
      <c r="Y101" s="147"/>
      <c r="Z101" s="117"/>
      <c r="AB101" s="62"/>
      <c r="AC101" s="98"/>
      <c r="AD101" s="62"/>
      <c r="AE101" s="123"/>
      <c r="AF101" s="123"/>
    </row>
    <row r="102" spans="1:32" ht="12.75">
      <c r="A102" s="245" t="s">
        <v>245</v>
      </c>
      <c r="B102" s="38"/>
      <c r="C102" s="18" t="s">
        <v>246</v>
      </c>
      <c r="D102" s="26" t="s">
        <v>247</v>
      </c>
      <c r="E102" s="6" t="s">
        <v>248</v>
      </c>
      <c r="F102" s="6"/>
      <c r="G102" s="6" t="s">
        <v>249</v>
      </c>
      <c r="H102" s="6"/>
      <c r="I102" s="251" t="s">
        <v>236</v>
      </c>
      <c r="M102" s="69"/>
      <c r="N102" s="121"/>
      <c r="O102" s="106"/>
      <c r="P102" s="106"/>
      <c r="V102" s="98">
        <v>98</v>
      </c>
      <c r="W102" s="58">
        <f t="shared" si="2"/>
        <v>10.083333333333337</v>
      </c>
      <c r="X102" s="108">
        <f t="shared" si="3"/>
        <v>-494.9125694444441</v>
      </c>
      <c r="Y102" s="147"/>
      <c r="Z102" s="117"/>
      <c r="AB102" s="62"/>
      <c r="AC102" s="98"/>
      <c r="AD102" s="62"/>
      <c r="AE102" s="123"/>
      <c r="AF102" s="123"/>
    </row>
    <row r="103" spans="1:32" ht="12.75">
      <c r="A103" s="63"/>
      <c r="B103" s="10"/>
      <c r="C103" s="10"/>
      <c r="D103" s="10"/>
      <c r="E103" s="10"/>
      <c r="F103" s="10"/>
      <c r="G103" s="10"/>
      <c r="H103" s="10"/>
      <c r="I103" s="11"/>
      <c r="V103" s="98">
        <v>99</v>
      </c>
      <c r="W103" s="58">
        <f t="shared" si="2"/>
        <v>10.166666666666671</v>
      </c>
      <c r="X103" s="108">
        <f t="shared" si="3"/>
        <v>-472.9494444444439</v>
      </c>
      <c r="Y103" s="147"/>
      <c r="Z103" s="117"/>
      <c r="AB103" s="62"/>
      <c r="AC103" s="98"/>
      <c r="AD103" s="62"/>
      <c r="AE103" s="123"/>
      <c r="AF103" s="123"/>
    </row>
    <row r="104" spans="1:32" ht="12.75">
      <c r="A104" s="79"/>
      <c r="B104" s="80"/>
      <c r="C104" s="80"/>
      <c r="D104" s="80"/>
      <c r="E104" s="80"/>
      <c r="F104" s="80"/>
      <c r="G104" s="80"/>
      <c r="H104" s="80"/>
      <c r="I104" s="244"/>
      <c r="V104" s="98">
        <v>100</v>
      </c>
      <c r="W104" s="58">
        <f t="shared" si="2"/>
        <v>10.250000000000005</v>
      </c>
      <c r="X104" s="108">
        <f t="shared" si="3"/>
        <v>-450.56270833333247</v>
      </c>
      <c r="Y104" s="147"/>
      <c r="Z104" s="117"/>
      <c r="AB104" s="62"/>
      <c r="AC104" s="98"/>
      <c r="AD104" s="62"/>
      <c r="AE104" s="123"/>
      <c r="AF104" s="123"/>
    </row>
    <row r="105" spans="22:32" ht="12.75">
      <c r="V105" s="98">
        <v>101</v>
      </c>
      <c r="W105" s="58">
        <f t="shared" si="2"/>
        <v>10.33333333333334</v>
      </c>
      <c r="X105" s="108">
        <f t="shared" si="3"/>
        <v>-427.7488888888879</v>
      </c>
      <c r="Y105" s="147"/>
      <c r="Z105" s="117"/>
      <c r="AB105" s="62"/>
      <c r="AC105" s="98"/>
      <c r="AD105" s="62"/>
      <c r="AE105" s="123"/>
      <c r="AF105" s="123"/>
    </row>
    <row r="106" spans="13:32" ht="12.75">
      <c r="M106" s="104"/>
      <c r="N106" s="119"/>
      <c r="O106" s="106"/>
      <c r="P106" s="106"/>
      <c r="V106" s="98">
        <v>102</v>
      </c>
      <c r="W106" s="58">
        <f t="shared" si="2"/>
        <v>10.416666666666673</v>
      </c>
      <c r="X106" s="108">
        <f t="shared" si="3"/>
        <v>-404.5045138888877</v>
      </c>
      <c r="Y106" s="147"/>
      <c r="Z106" s="117"/>
      <c r="AB106" s="62"/>
      <c r="AC106" s="98"/>
      <c r="AD106" s="62"/>
      <c r="AE106" s="123"/>
      <c r="AF106" s="123"/>
    </row>
    <row r="107" spans="13:32" ht="12.75">
      <c r="M107" s="114"/>
      <c r="N107" s="119"/>
      <c r="O107" s="96"/>
      <c r="P107" s="111"/>
      <c r="V107" s="98">
        <v>103</v>
      </c>
      <c r="W107" s="58">
        <f t="shared" si="2"/>
        <v>10.500000000000007</v>
      </c>
      <c r="X107" s="108">
        <f t="shared" si="3"/>
        <v>-380.82611111110987</v>
      </c>
      <c r="Y107" s="147"/>
      <c r="Z107" s="117"/>
      <c r="AB107" s="62"/>
      <c r="AC107" s="98"/>
      <c r="AD107" s="62"/>
      <c r="AE107" s="123"/>
      <c r="AF107" s="123"/>
    </row>
    <row r="108" spans="13:32" ht="12.75">
      <c r="M108" s="104"/>
      <c r="N108" s="100"/>
      <c r="O108" s="106"/>
      <c r="P108" s="106"/>
      <c r="V108" s="98">
        <v>104</v>
      </c>
      <c r="W108" s="58">
        <f t="shared" si="2"/>
        <v>10.583333333333341</v>
      </c>
      <c r="X108" s="108">
        <f t="shared" si="3"/>
        <v>-356.7102083333316</v>
      </c>
      <c r="Y108" s="147"/>
      <c r="Z108" s="117"/>
      <c r="AB108" s="62"/>
      <c r="AC108" s="98"/>
      <c r="AD108" s="62"/>
      <c r="AE108" s="123"/>
      <c r="AF108" s="123"/>
    </row>
    <row r="109" spans="13:32" ht="12.75">
      <c r="M109" s="104"/>
      <c r="N109" s="100"/>
      <c r="O109" s="106"/>
      <c r="P109" s="106"/>
      <c r="V109" s="98">
        <v>105</v>
      </c>
      <c r="W109" s="58">
        <f t="shared" si="2"/>
        <v>10.666666666666675</v>
      </c>
      <c r="X109" s="108">
        <f t="shared" si="3"/>
        <v>-332.1533333333316</v>
      </c>
      <c r="Y109" s="147"/>
      <c r="Z109" s="117"/>
      <c r="AB109" s="62"/>
      <c r="AC109" s="98"/>
      <c r="AD109" s="62"/>
      <c r="AE109" s="123"/>
      <c r="AF109" s="123"/>
    </row>
    <row r="110" spans="13:32" ht="12.75">
      <c r="M110" s="104"/>
      <c r="N110" s="119"/>
      <c r="O110" s="106"/>
      <c r="P110" s="106"/>
      <c r="V110" s="98">
        <v>106</v>
      </c>
      <c r="W110" s="58">
        <f t="shared" si="2"/>
        <v>10.750000000000009</v>
      </c>
      <c r="X110" s="108">
        <f t="shared" si="3"/>
        <v>-307.15201388888704</v>
      </c>
      <c r="Y110" s="147"/>
      <c r="Z110" s="117"/>
      <c r="AB110" s="62"/>
      <c r="AC110" s="98"/>
      <c r="AD110" s="62"/>
      <c r="AE110" s="123"/>
      <c r="AF110" s="123"/>
    </row>
    <row r="111" spans="13:32" ht="12.75">
      <c r="M111" s="114"/>
      <c r="N111" s="119"/>
      <c r="O111" s="96"/>
      <c r="P111" s="111"/>
      <c r="V111" s="98">
        <v>107</v>
      </c>
      <c r="W111" s="58">
        <f t="shared" si="2"/>
        <v>10.833333333333343</v>
      </c>
      <c r="X111" s="108">
        <f t="shared" si="3"/>
        <v>-281.70277777777574</v>
      </c>
      <c r="Y111" s="147"/>
      <c r="Z111" s="117"/>
      <c r="AB111" s="62"/>
      <c r="AC111" s="98"/>
      <c r="AD111" s="62"/>
      <c r="AE111" s="123"/>
      <c r="AF111" s="123"/>
    </row>
    <row r="112" spans="13:32" ht="12.75">
      <c r="M112" s="114"/>
      <c r="N112" s="102"/>
      <c r="O112" s="96"/>
      <c r="P112" s="111"/>
      <c r="V112" s="98">
        <v>108</v>
      </c>
      <c r="W112" s="58">
        <f t="shared" si="2"/>
        <v>10.916666666666677</v>
      </c>
      <c r="X112" s="108">
        <f t="shared" si="3"/>
        <v>-255.80215277777552</v>
      </c>
      <c r="Y112" s="147"/>
      <c r="Z112" s="117"/>
      <c r="AB112" s="62"/>
      <c r="AC112" s="98"/>
      <c r="AD112" s="62"/>
      <c r="AE112" s="123"/>
      <c r="AF112" s="123"/>
    </row>
    <row r="113" spans="13:32" ht="12.75">
      <c r="M113" s="114"/>
      <c r="N113" s="119"/>
      <c r="O113" s="96"/>
      <c r="P113" s="51"/>
      <c r="V113" s="98">
        <v>109</v>
      </c>
      <c r="W113" s="58">
        <f t="shared" si="2"/>
        <v>11.00000000000001</v>
      </c>
      <c r="X113" s="108">
        <f t="shared" si="3"/>
        <v>-229.446666666664</v>
      </c>
      <c r="Y113" s="147"/>
      <c r="Z113" s="117"/>
      <c r="AB113" s="62"/>
      <c r="AC113" s="98"/>
      <c r="AD113" s="62"/>
      <c r="AE113" s="123"/>
      <c r="AF113" s="123"/>
    </row>
    <row r="114" spans="13:32" ht="12.75">
      <c r="M114" s="104"/>
      <c r="N114" s="108"/>
      <c r="O114" s="106"/>
      <c r="P114" s="106"/>
      <c r="V114" s="98">
        <v>110</v>
      </c>
      <c r="W114" s="58">
        <f t="shared" si="2"/>
        <v>11.083333333333345</v>
      </c>
      <c r="X114" s="108">
        <f t="shared" si="3"/>
        <v>-202.6328472222193</v>
      </c>
      <c r="Y114" s="147"/>
      <c r="Z114" s="117"/>
      <c r="AB114" s="62"/>
      <c r="AC114" s="98"/>
      <c r="AD114" s="62"/>
      <c r="AE114" s="123"/>
      <c r="AF114" s="123"/>
    </row>
    <row r="115" spans="13:32" ht="12.75">
      <c r="M115" s="104"/>
      <c r="N115" s="108"/>
      <c r="O115" s="106"/>
      <c r="P115" s="106"/>
      <c r="V115" s="98">
        <v>111</v>
      </c>
      <c r="W115" s="58">
        <f t="shared" si="2"/>
        <v>11.166666666666679</v>
      </c>
      <c r="X115" s="108">
        <f t="shared" si="3"/>
        <v>-175.35722222221898</v>
      </c>
      <c r="Y115" s="147"/>
      <c r="Z115" s="117"/>
      <c r="AB115" s="62"/>
      <c r="AC115" s="98"/>
      <c r="AD115" s="62"/>
      <c r="AE115" s="123"/>
      <c r="AF115" s="123"/>
    </row>
    <row r="116" spans="13:32" ht="12.75">
      <c r="M116" s="114"/>
      <c r="N116" s="119"/>
      <c r="O116" s="96"/>
      <c r="P116" s="111"/>
      <c r="V116" s="98">
        <v>112</v>
      </c>
      <c r="W116" s="58">
        <f t="shared" si="2"/>
        <v>11.250000000000012</v>
      </c>
      <c r="X116" s="108">
        <f t="shared" si="3"/>
        <v>-147.61631944444093</v>
      </c>
      <c r="Y116" s="147"/>
      <c r="Z116" s="117"/>
      <c r="AB116" s="62"/>
      <c r="AC116" s="98"/>
      <c r="AD116" s="62"/>
      <c r="AE116" s="123"/>
      <c r="AF116" s="123"/>
    </row>
    <row r="117" spans="13:32" ht="12.75">
      <c r="M117" s="104"/>
      <c r="N117" s="105"/>
      <c r="O117" s="106"/>
      <c r="P117" s="46"/>
      <c r="V117" s="98">
        <v>113</v>
      </c>
      <c r="W117" s="58">
        <f t="shared" si="2"/>
        <v>11.333333333333346</v>
      </c>
      <c r="X117" s="108">
        <f t="shared" si="3"/>
        <v>-119.406666666663</v>
      </c>
      <c r="Y117" s="147"/>
      <c r="Z117" s="117"/>
      <c r="AB117" s="62"/>
      <c r="AC117" s="98"/>
      <c r="AD117" s="62"/>
      <c r="AE117" s="123"/>
      <c r="AF117" s="123"/>
    </row>
    <row r="118" spans="15:32" ht="12.75">
      <c r="O118" s="96"/>
      <c r="P118" s="46"/>
      <c r="V118" s="98">
        <v>114</v>
      </c>
      <c r="W118" s="58">
        <f t="shared" si="2"/>
        <v>11.41666666666668</v>
      </c>
      <c r="X118" s="108">
        <f t="shared" si="3"/>
        <v>-90.7247916666629</v>
      </c>
      <c r="Y118" s="147"/>
      <c r="Z118" s="117"/>
      <c r="AB118" s="62"/>
      <c r="AC118" s="98"/>
      <c r="AD118" s="62"/>
      <c r="AE118" s="123"/>
      <c r="AF118" s="123"/>
    </row>
    <row r="119" spans="13:32" ht="12.75">
      <c r="M119" s="106"/>
      <c r="O119" s="96"/>
      <c r="P119" s="122"/>
      <c r="V119" s="98">
        <v>115</v>
      </c>
      <c r="W119" s="58">
        <f t="shared" si="2"/>
        <v>11.500000000000014</v>
      </c>
      <c r="X119" s="108">
        <f t="shared" si="3"/>
        <v>-61.56722222221765</v>
      </c>
      <c r="Y119" s="147"/>
      <c r="Z119" s="117"/>
      <c r="AB119" s="62"/>
      <c r="AC119" s="98"/>
      <c r="AD119" s="62"/>
      <c r="AE119" s="123"/>
      <c r="AF119" s="123"/>
    </row>
    <row r="120" spans="13:32" ht="12.75">
      <c r="M120" s="104"/>
      <c r="N120" s="105"/>
      <c r="O120" s="106"/>
      <c r="P120" s="106"/>
      <c r="V120" s="98">
        <v>116</v>
      </c>
      <c r="W120" s="58">
        <f t="shared" si="2"/>
        <v>11.583333333333348</v>
      </c>
      <c r="X120" s="108">
        <f t="shared" si="3"/>
        <v>-31.930486111106575</v>
      </c>
      <c r="Y120" s="147"/>
      <c r="Z120" s="117"/>
      <c r="AB120" s="62"/>
      <c r="AC120" s="98"/>
      <c r="AD120" s="62"/>
      <c r="AE120" s="123"/>
      <c r="AF120" s="123"/>
    </row>
    <row r="121" spans="13:32" ht="12.75">
      <c r="M121" s="104"/>
      <c r="N121" s="105"/>
      <c r="O121" s="106"/>
      <c r="P121" s="106"/>
      <c r="V121" s="98">
        <v>117</v>
      </c>
      <c r="W121" s="58">
        <f t="shared" si="2"/>
        <v>11.666666666666682</v>
      </c>
      <c r="X121" s="108">
        <f t="shared" si="3"/>
        <v>-1.811111111106129</v>
      </c>
      <c r="Y121" s="147"/>
      <c r="Z121" s="117"/>
      <c r="AB121" s="62"/>
      <c r="AC121" s="98"/>
      <c r="AD121" s="62"/>
      <c r="AE121" s="123"/>
      <c r="AF121" s="123"/>
    </row>
    <row r="122" spans="13:32" ht="12.75">
      <c r="M122" s="104"/>
      <c r="N122" s="105"/>
      <c r="O122" s="106"/>
      <c r="P122" s="106"/>
      <c r="V122" s="98">
        <v>118</v>
      </c>
      <c r="W122" s="58">
        <f t="shared" si="2"/>
        <v>11.750000000000016</v>
      </c>
      <c r="X122" s="108">
        <f t="shared" si="3"/>
        <v>28.794375000005175</v>
      </c>
      <c r="Y122" s="147"/>
      <c r="Z122" s="117"/>
      <c r="AB122" s="62"/>
      <c r="AC122" s="98"/>
      <c r="AD122" s="62"/>
      <c r="AE122" s="123"/>
      <c r="AF122" s="123"/>
    </row>
    <row r="123" spans="13:32" ht="12.75">
      <c r="M123" s="104"/>
      <c r="N123" s="105"/>
      <c r="O123" s="106"/>
      <c r="P123" s="106"/>
      <c r="V123" s="98">
        <v>119</v>
      </c>
      <c r="W123" s="58">
        <f t="shared" si="2"/>
        <v>11.83333333333335</v>
      </c>
      <c r="X123" s="108">
        <f t="shared" si="3"/>
        <v>59.88944444444974</v>
      </c>
      <c r="Y123" s="147"/>
      <c r="Z123" s="117"/>
      <c r="AB123" s="62"/>
      <c r="AC123" s="98"/>
      <c r="AD123" s="62"/>
      <c r="AE123" s="123"/>
      <c r="AF123" s="123"/>
    </row>
    <row r="124" spans="13:32" ht="12.75">
      <c r="M124" s="106"/>
      <c r="O124" s="96"/>
      <c r="P124" s="106"/>
      <c r="V124" s="98">
        <v>120</v>
      </c>
      <c r="W124" s="58">
        <f t="shared" si="2"/>
        <v>11.916666666666684</v>
      </c>
      <c r="X124" s="108">
        <f t="shared" si="3"/>
        <v>91.47756944445018</v>
      </c>
      <c r="Y124" s="147"/>
      <c r="Z124" s="11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2"/>
        <v>12.000000000000018</v>
      </c>
      <c r="X125" s="108">
        <f t="shared" si="3"/>
        <v>123.56222222222846</v>
      </c>
      <c r="Y125" s="147"/>
      <c r="Z125" s="11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2"/>
        <v>12.083333333333352</v>
      </c>
      <c r="X126" s="108">
        <f t="shared" si="3"/>
        <v>156.14687500000628</v>
      </c>
      <c r="Y126" s="147"/>
      <c r="Z126" s="11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2"/>
        <v>12.166666666666686</v>
      </c>
      <c r="X127" s="108">
        <f t="shared" si="3"/>
        <v>189.23500000000672</v>
      </c>
      <c r="Y127" s="147"/>
      <c r="Z127" s="11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2"/>
        <v>12.25000000000002</v>
      </c>
      <c r="X128" s="108">
        <f t="shared" si="3"/>
        <v>222.83006944445174</v>
      </c>
      <c r="Y128" s="147"/>
      <c r="Z128" s="11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2"/>
        <v>12.333333333333353</v>
      </c>
      <c r="X129" s="108">
        <f t="shared" si="3"/>
        <v>256.9355555555628</v>
      </c>
      <c r="Y129" s="147"/>
      <c r="Z129" s="11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2"/>
        <v>12.416666666666687</v>
      </c>
      <c r="X130" s="108">
        <f t="shared" si="3"/>
        <v>291.5549305555635</v>
      </c>
      <c r="Y130" s="147"/>
      <c r="Z130" s="11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2"/>
        <v>12.500000000000021</v>
      </c>
      <c r="X131" s="108">
        <f t="shared" si="3"/>
        <v>326.691666666675</v>
      </c>
      <c r="Y131" s="147"/>
      <c r="Z131" s="11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2"/>
        <v>12.583333333333355</v>
      </c>
      <c r="X132" s="108">
        <f t="shared" si="3"/>
        <v>362.34923611112004</v>
      </c>
      <c r="Y132" s="147"/>
      <c r="Z132" s="11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2"/>
        <v>12.66666666666669</v>
      </c>
      <c r="X133" s="108">
        <f t="shared" si="3"/>
        <v>398.53111111112025</v>
      </c>
      <c r="Y133" s="147"/>
      <c r="Z133" s="11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4" ref="W134:W197">$W133+1/12</f>
        <v>12.750000000000023</v>
      </c>
      <c r="X134" s="108">
        <f aca="true" t="shared" si="5" ref="X134:X197">$W134^3-14.14*$N$4*$W134/$N$8-18.85*$N$5/$N$8</f>
        <v>435.2407638888983</v>
      </c>
      <c r="Y134" s="147"/>
      <c r="Z134" s="11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4"/>
        <v>12.833333333333357</v>
      </c>
      <c r="X135" s="108">
        <f t="shared" si="5"/>
        <v>472.48166666667635</v>
      </c>
      <c r="Y135" s="147"/>
      <c r="Z135" s="11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4"/>
        <v>12.916666666666691</v>
      </c>
      <c r="X136" s="108">
        <f t="shared" si="5"/>
        <v>510.257291666677</v>
      </c>
      <c r="Y136" s="147"/>
      <c r="Z136" s="11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4"/>
        <v>13.000000000000025</v>
      </c>
      <c r="X137" s="108">
        <f t="shared" si="5"/>
        <v>548.571111111122</v>
      </c>
      <c r="Y137" s="147"/>
      <c r="Z137" s="11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4"/>
        <v>13.083333333333359</v>
      </c>
      <c r="X138" s="108">
        <f t="shared" si="5"/>
        <v>587.4265972222336</v>
      </c>
      <c r="Y138" s="147"/>
      <c r="Z138" s="11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4"/>
        <v>13.166666666666693</v>
      </c>
      <c r="X139" s="108">
        <f t="shared" si="5"/>
        <v>626.827222222234</v>
      </c>
      <c r="Y139" s="147"/>
      <c r="Z139" s="11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4"/>
        <v>13.250000000000027</v>
      </c>
      <c r="X140" s="108">
        <f t="shared" si="5"/>
        <v>666.7764583333453</v>
      </c>
      <c r="Y140" s="147"/>
      <c r="Z140" s="11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4"/>
        <v>13.33333333333336</v>
      </c>
      <c r="X141" s="108">
        <f t="shared" si="5"/>
        <v>707.2777777777903</v>
      </c>
      <c r="Y141" s="147"/>
      <c r="Z141" s="11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4"/>
        <v>13.416666666666694</v>
      </c>
      <c r="X142" s="108">
        <f t="shared" si="5"/>
        <v>748.334652777791</v>
      </c>
      <c r="Y142" s="147"/>
      <c r="Z142" s="11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4"/>
        <v>13.500000000000028</v>
      </c>
      <c r="X143" s="108">
        <f t="shared" si="5"/>
        <v>789.950555555569</v>
      </c>
      <c r="Y143" s="147"/>
      <c r="Z143" s="11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4"/>
        <v>13.583333333333362</v>
      </c>
      <c r="X144" s="108">
        <f t="shared" si="5"/>
        <v>832.1289583333473</v>
      </c>
      <c r="Y144" s="147"/>
      <c r="Z144" s="11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4"/>
        <v>13.666666666666696</v>
      </c>
      <c r="X145" s="108">
        <f t="shared" si="5"/>
        <v>874.873333333348</v>
      </c>
      <c r="Y145" s="147"/>
      <c r="Z145" s="11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4"/>
        <v>13.75000000000003</v>
      </c>
      <c r="X146" s="108">
        <f t="shared" si="5"/>
        <v>918.1871527777923</v>
      </c>
      <c r="Y146" s="147"/>
      <c r="Z146" s="11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4"/>
        <v>13.833333333333364</v>
      </c>
      <c r="X147" s="108">
        <f t="shared" si="5"/>
        <v>962.0738888889043</v>
      </c>
      <c r="Y147" s="147"/>
      <c r="Z147" s="11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4"/>
        <v>13.916666666666698</v>
      </c>
      <c r="X148" s="108">
        <f t="shared" si="5"/>
        <v>1006.537013888905</v>
      </c>
      <c r="Y148" s="147"/>
      <c r="Z148" s="11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4"/>
        <v>14.000000000000032</v>
      </c>
      <c r="X149" s="108">
        <f t="shared" si="5"/>
        <v>1051.580000000017</v>
      </c>
      <c r="Y149" s="147"/>
      <c r="Z149" s="11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4"/>
        <v>14.083333333333366</v>
      </c>
      <c r="X150" s="108">
        <f t="shared" si="5"/>
        <v>1097.2063194444615</v>
      </c>
      <c r="Y150" s="147"/>
      <c r="Z150" s="11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4"/>
        <v>14.1666666666667</v>
      </c>
      <c r="X151" s="108">
        <f t="shared" si="5"/>
        <v>1143.4194444444622</v>
      </c>
      <c r="Y151" s="147"/>
      <c r="Z151" s="11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4"/>
        <v>14.250000000000034</v>
      </c>
      <c r="X152" s="108">
        <f t="shared" si="5"/>
        <v>1190.2228472222403</v>
      </c>
      <c r="Y152" s="147"/>
      <c r="Z152" s="11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4"/>
        <v>14.333333333333368</v>
      </c>
      <c r="X153" s="108">
        <f t="shared" si="5"/>
        <v>1237.6200000000188</v>
      </c>
      <c r="Y153" s="147"/>
      <c r="Z153" s="11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4"/>
        <v>14.416666666666702</v>
      </c>
      <c r="X154" s="108">
        <f t="shared" si="5"/>
        <v>1285.6143750000194</v>
      </c>
      <c r="Y154" s="147"/>
      <c r="Z154" s="11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4"/>
        <v>14.500000000000036</v>
      </c>
      <c r="X155" s="108">
        <f t="shared" si="5"/>
        <v>1334.2094444444645</v>
      </c>
      <c r="Y155" s="147"/>
      <c r="Z155" s="11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4"/>
        <v>14.58333333333337</v>
      </c>
      <c r="X156" s="108">
        <f t="shared" si="5"/>
        <v>1383.408680555576</v>
      </c>
      <c r="Y156" s="147"/>
      <c r="Z156" s="11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4"/>
        <v>14.666666666666703</v>
      </c>
      <c r="X157" s="108">
        <f t="shared" si="5"/>
        <v>1433.2155555555767</v>
      </c>
      <c r="Y157" s="147"/>
      <c r="Z157" s="11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4"/>
        <v>14.750000000000037</v>
      </c>
      <c r="X158" s="108">
        <f t="shared" si="5"/>
        <v>1483.6335416666886</v>
      </c>
      <c r="Y158" s="147"/>
      <c r="Z158" s="11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4"/>
        <v>14.833333333333371</v>
      </c>
      <c r="X159" s="108">
        <f t="shared" si="5"/>
        <v>1534.6661111111337</v>
      </c>
      <c r="Y159" s="147"/>
      <c r="Z159" s="11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4"/>
        <v>14.916666666666705</v>
      </c>
      <c r="X160" s="108">
        <f t="shared" si="5"/>
        <v>1586.3167361111343</v>
      </c>
      <c r="Y160" s="147"/>
      <c r="Z160" s="11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4"/>
        <v>15.000000000000039</v>
      </c>
      <c r="X161" s="108">
        <f t="shared" si="5"/>
        <v>1638.5888888889128</v>
      </c>
      <c r="Y161" s="147"/>
      <c r="Z161" s="11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4"/>
        <v>15.083333333333373</v>
      </c>
      <c r="X162" s="108">
        <f t="shared" si="5"/>
        <v>1691.4860416666913</v>
      </c>
      <c r="Y162" s="147"/>
      <c r="Z162" s="11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4"/>
        <v>15.166666666666707</v>
      </c>
      <c r="X163" s="108">
        <f t="shared" si="5"/>
        <v>1745.0116666666916</v>
      </c>
      <c r="Y163" s="147"/>
      <c r="Z163" s="11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4"/>
        <v>15.25000000000004</v>
      </c>
      <c r="X164" s="108">
        <f t="shared" si="5"/>
        <v>1799.169236111137</v>
      </c>
      <c r="Y164" s="147"/>
      <c r="Z164" s="11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4"/>
        <v>15.333333333333375</v>
      </c>
      <c r="X165" s="108">
        <f t="shared" si="5"/>
        <v>1853.962222222249</v>
      </c>
      <c r="Y165" s="147"/>
      <c r="Z165" s="11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4"/>
        <v>15.416666666666709</v>
      </c>
      <c r="X166" s="108">
        <f t="shared" si="5"/>
        <v>1909.3940972222492</v>
      </c>
      <c r="Y166" s="147"/>
      <c r="Z166" s="11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4"/>
        <v>15.500000000000043</v>
      </c>
      <c r="X167" s="108">
        <f t="shared" si="5"/>
        <v>1965.4683333333612</v>
      </c>
      <c r="Y167" s="147"/>
      <c r="Z167" s="11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4"/>
        <v>15.583333333333377</v>
      </c>
      <c r="X168" s="108">
        <f t="shared" si="5"/>
        <v>2022.1884027778067</v>
      </c>
      <c r="Y168" s="147"/>
      <c r="Z168" s="11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4"/>
        <v>15.66666666666671</v>
      </c>
      <c r="X169" s="108">
        <f t="shared" si="5"/>
        <v>2079.557777777807</v>
      </c>
      <c r="Y169" s="147"/>
      <c r="Z169" s="11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4"/>
        <v>15.750000000000044</v>
      </c>
      <c r="X170" s="108">
        <f t="shared" si="5"/>
        <v>2137.5799305555856</v>
      </c>
      <c r="Y170" s="147"/>
      <c r="Z170" s="11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4"/>
        <v>15.833333333333378</v>
      </c>
      <c r="X171" s="108">
        <f t="shared" si="5"/>
        <v>2196.258333333364</v>
      </c>
      <c r="Y171" s="147"/>
      <c r="Z171" s="11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4"/>
        <v>15.916666666666712</v>
      </c>
      <c r="X172" s="108">
        <f t="shared" si="5"/>
        <v>2255.5964583333653</v>
      </c>
      <c r="Y172" s="147"/>
      <c r="Z172" s="11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4"/>
        <v>16.000000000000046</v>
      </c>
      <c r="X173" s="108">
        <f t="shared" si="5"/>
        <v>2315.5977777778107</v>
      </c>
      <c r="Y173" s="147"/>
      <c r="Z173" s="11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4"/>
        <v>16.08333333333338</v>
      </c>
      <c r="X174" s="108">
        <f t="shared" si="5"/>
        <v>2376.2657638889214</v>
      </c>
      <c r="Y174" s="147"/>
      <c r="Z174" s="11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4"/>
        <v>16.16666666666671</v>
      </c>
      <c r="X175" s="108">
        <f t="shared" si="5"/>
        <v>2437.6038888889207</v>
      </c>
      <c r="Y175" s="147"/>
      <c r="Z175" s="11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4"/>
        <v>16.250000000000043</v>
      </c>
      <c r="X176" s="108">
        <f t="shared" si="5"/>
        <v>2499.6156250000313</v>
      </c>
      <c r="Y176" s="147"/>
      <c r="Z176" s="11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4"/>
        <v>16.333333333333375</v>
      </c>
      <c r="X177" s="108">
        <f t="shared" si="5"/>
        <v>2562.304444444475</v>
      </c>
      <c r="Y177" s="147"/>
      <c r="Z177" s="11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4"/>
        <v>16.416666666666707</v>
      </c>
      <c r="X178" s="108">
        <f t="shared" si="5"/>
        <v>2625.6738194444742</v>
      </c>
      <c r="Y178" s="147"/>
      <c r="Z178" s="11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4"/>
        <v>16.50000000000004</v>
      </c>
      <c r="X179" s="108">
        <f t="shared" si="5"/>
        <v>2689.727222222252</v>
      </c>
      <c r="Y179" s="147"/>
      <c r="Z179" s="11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4"/>
        <v>16.58333333333337</v>
      </c>
      <c r="X180" s="108">
        <f t="shared" si="5"/>
        <v>2754.4681250000294</v>
      </c>
      <c r="Y180" s="147"/>
      <c r="Z180" s="11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4"/>
        <v>16.666666666666703</v>
      </c>
      <c r="X181" s="108">
        <f t="shared" si="5"/>
        <v>2819.9000000000287</v>
      </c>
      <c r="Y181" s="147"/>
      <c r="Z181" s="11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4"/>
        <v>16.750000000000036</v>
      </c>
      <c r="X182" s="108">
        <f t="shared" si="5"/>
        <v>2886.0263194444724</v>
      </c>
      <c r="Y182" s="147"/>
      <c r="Z182" s="11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4"/>
        <v>16.833333333333368</v>
      </c>
      <c r="X183" s="108">
        <f t="shared" si="5"/>
        <v>2952.850555555583</v>
      </c>
      <c r="Y183" s="147"/>
      <c r="Z183" s="11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4"/>
        <v>16.9166666666667</v>
      </c>
      <c r="X184" s="108">
        <f t="shared" si="5"/>
        <v>3020.3761805555823</v>
      </c>
      <c r="Y184" s="147"/>
      <c r="Z184" s="11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4"/>
        <v>17.000000000000032</v>
      </c>
      <c r="X185" s="108">
        <f t="shared" si="5"/>
        <v>3088.606666666692</v>
      </c>
      <c r="Y185" s="147"/>
      <c r="Z185" s="11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4"/>
        <v>17.083333333333364</v>
      </c>
      <c r="X186" s="108">
        <f t="shared" si="5"/>
        <v>3157.5454861111366</v>
      </c>
      <c r="Y186" s="147"/>
      <c r="Z186" s="11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4"/>
        <v>17.166666666666696</v>
      </c>
      <c r="X187" s="108">
        <f t="shared" si="5"/>
        <v>3227.196111111136</v>
      </c>
      <c r="Y187" s="147"/>
      <c r="Z187" s="11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4"/>
        <v>17.25000000000003</v>
      </c>
      <c r="X188" s="108">
        <f t="shared" si="5"/>
        <v>3297.5620138889126</v>
      </c>
      <c r="Y188" s="147"/>
      <c r="Z188" s="11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4"/>
        <v>17.33333333333336</v>
      </c>
      <c r="X189" s="108">
        <f t="shared" si="5"/>
        <v>3368.6466666666893</v>
      </c>
      <c r="Y189" s="147"/>
      <c r="Z189" s="11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4"/>
        <v>17.416666666666693</v>
      </c>
      <c r="X190" s="108">
        <f t="shared" si="5"/>
        <v>3440.4535416666886</v>
      </c>
      <c r="Y190" s="147"/>
      <c r="Z190" s="11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4"/>
        <v>17.500000000000025</v>
      </c>
      <c r="X191" s="108">
        <f t="shared" si="5"/>
        <v>3512.9861111111322</v>
      </c>
      <c r="Y191" s="147"/>
      <c r="Z191" s="11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4"/>
        <v>17.583333333333357</v>
      </c>
      <c r="X192" s="108">
        <f t="shared" si="5"/>
        <v>3586.247847222243</v>
      </c>
      <c r="Y192" s="147"/>
      <c r="Z192" s="11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4"/>
        <v>17.66666666666669</v>
      </c>
      <c r="X193" s="108">
        <f t="shared" si="5"/>
        <v>3660.2422222222413</v>
      </c>
      <c r="Y193" s="147"/>
      <c r="Z193" s="11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4"/>
        <v>17.75000000000002</v>
      </c>
      <c r="X194" s="108">
        <f t="shared" si="5"/>
        <v>3734.972708333352</v>
      </c>
      <c r="Y194" s="147"/>
      <c r="Z194" s="11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4"/>
        <v>17.833333333333353</v>
      </c>
      <c r="X195" s="108">
        <f t="shared" si="5"/>
        <v>3810.4427777777955</v>
      </c>
      <c r="Y195" s="147"/>
      <c r="Z195" s="11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4"/>
        <v>17.916666666666686</v>
      </c>
      <c r="X196" s="108">
        <f t="shared" si="5"/>
        <v>3886.655902777795</v>
      </c>
      <c r="Y196" s="147"/>
      <c r="Z196" s="11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4"/>
        <v>18.000000000000018</v>
      </c>
      <c r="X197" s="108">
        <f t="shared" si="5"/>
        <v>3963.6155555555715</v>
      </c>
      <c r="Y197" s="147"/>
      <c r="Z197" s="11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IF($K$2="Yes",IF($D$30&gt;0,IF($B$195&gt;$B$196,"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6" ref="W198:W261">$W197+1/12</f>
        <v>18.08333333333335</v>
      </c>
      <c r="X198" s="108">
        <f aca="true" t="shared" si="7" ref="X198:X261">$W198^3-14.14*$N$4*$W198/$N$8-18.85*$N$5/$N$8</f>
        <v>4041.325208333348</v>
      </c>
      <c r="Y198" s="147"/>
      <c r="Z198" s="11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6"/>
        <v>18.166666666666682</v>
      </c>
      <c r="X199" s="108">
        <f t="shared" si="7"/>
        <v>4119.7883333333475</v>
      </c>
      <c r="Y199" s="147"/>
      <c r="Z199" s="11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6"/>
        <v>18.250000000000014</v>
      </c>
      <c r="X200" s="108">
        <f t="shared" si="7"/>
        <v>4199.00840277779</v>
      </c>
      <c r="Y200" s="147"/>
      <c r="Z200" s="11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6"/>
        <v>18.333333333333346</v>
      </c>
      <c r="X201" s="108">
        <f t="shared" si="7"/>
        <v>4278.988888888901</v>
      </c>
      <c r="Y201" s="147"/>
      <c r="Z201" s="11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6"/>
        <v>18.41666666666668</v>
      </c>
      <c r="X202" s="108">
        <f t="shared" si="7"/>
        <v>4359.7332638889</v>
      </c>
      <c r="Y202" s="147"/>
      <c r="Z202" s="11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6"/>
        <v>18.50000000000001</v>
      </c>
      <c r="X203" s="108">
        <f t="shared" si="7"/>
        <v>4441.24500000001</v>
      </c>
      <c r="Y203" s="147"/>
      <c r="Z203" s="11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6"/>
        <v>18.583333333333343</v>
      </c>
      <c r="X204" s="108">
        <f t="shared" si="7"/>
        <v>4523.527569444453</v>
      </c>
      <c r="Y204" s="147"/>
      <c r="Z204" s="11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6"/>
        <v>18.666666666666675</v>
      </c>
      <c r="X205" s="108">
        <f t="shared" si="7"/>
        <v>4606.584444444452</v>
      </c>
      <c r="Y205" s="147"/>
      <c r="Z205" s="11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6"/>
        <v>18.750000000000007</v>
      </c>
      <c r="X206" s="108">
        <f t="shared" si="7"/>
        <v>4690.4190972222295</v>
      </c>
      <c r="Y206" s="147"/>
      <c r="Z206" s="11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6"/>
        <v>18.83333333333334</v>
      </c>
      <c r="X207" s="108">
        <f t="shared" si="7"/>
        <v>4775.035000000006</v>
      </c>
      <c r="Y207" s="147"/>
      <c r="Z207" s="11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6"/>
        <v>18.91666666666667</v>
      </c>
      <c r="X208" s="108">
        <f t="shared" si="7"/>
        <v>4860.435625000004</v>
      </c>
      <c r="Y208" s="147"/>
      <c r="Z208" s="11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6"/>
        <v>19.000000000000004</v>
      </c>
      <c r="X209" s="108">
        <f t="shared" si="7"/>
        <v>4946.624444444447</v>
      </c>
      <c r="Y209" s="147"/>
      <c r="Z209" s="11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6"/>
        <v>19.083333333333336</v>
      </c>
      <c r="X210" s="108">
        <f t="shared" si="7"/>
        <v>5033.604930555557</v>
      </c>
      <c r="Y210" s="147"/>
      <c r="Z210" s="11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6"/>
        <v>19.166666666666668</v>
      </c>
      <c r="X211" s="108">
        <f t="shared" si="7"/>
        <v>5121.380555555556</v>
      </c>
      <c r="Y211" s="147"/>
      <c r="Z211" s="11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6"/>
        <v>19.25</v>
      </c>
      <c r="X212" s="108">
        <f t="shared" si="7"/>
        <v>5209.954791666666</v>
      </c>
      <c r="Y212" s="147"/>
      <c r="Z212" s="11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6"/>
        <v>19.333333333333332</v>
      </c>
      <c r="X213" s="108">
        <f t="shared" si="7"/>
        <v>5299.331111111109</v>
      </c>
      <c r="Y213" s="147"/>
      <c r="Z213" s="11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6"/>
        <v>19.416666666666664</v>
      </c>
      <c r="X214" s="108">
        <f t="shared" si="7"/>
        <v>5389.512986111108</v>
      </c>
      <c r="Y214" s="147"/>
      <c r="Z214" s="11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6"/>
        <v>19.499999999999996</v>
      </c>
      <c r="X215" s="108">
        <f t="shared" si="7"/>
        <v>5480.503888888885</v>
      </c>
      <c r="Y215" s="147"/>
      <c r="Z215" s="11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6"/>
        <v>19.58333333333333</v>
      </c>
      <c r="X216" s="108">
        <f t="shared" si="7"/>
        <v>5572.3072916666615</v>
      </c>
      <c r="Y216" s="147"/>
      <c r="Z216" s="11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6"/>
        <v>19.66666666666666</v>
      </c>
      <c r="X217" s="108">
        <f t="shared" si="7"/>
        <v>5664.92666666666</v>
      </c>
      <c r="Y217" s="147"/>
      <c r="Z217" s="11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6"/>
        <v>19.749999999999993</v>
      </c>
      <c r="X218" s="108">
        <f t="shared" si="7"/>
        <v>5758.365486111103</v>
      </c>
      <c r="Y218" s="147"/>
      <c r="Z218" s="11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6"/>
        <v>19.833333333333325</v>
      </c>
      <c r="X219" s="108">
        <f t="shared" si="7"/>
        <v>5852.627222222212</v>
      </c>
      <c r="Y219" s="147"/>
      <c r="Z219" s="11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6"/>
        <v>19.916666666666657</v>
      </c>
      <c r="X220" s="108">
        <f t="shared" si="7"/>
        <v>5947.715347222211</v>
      </c>
      <c r="Y220" s="147"/>
      <c r="Z220" s="11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6"/>
        <v>19.99999999999999</v>
      </c>
      <c r="X221" s="108">
        <f t="shared" si="7"/>
        <v>6043.63333333332</v>
      </c>
      <c r="Y221" s="147"/>
      <c r="Z221" s="11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6"/>
        <v>20.08333333333332</v>
      </c>
      <c r="X222" s="108">
        <f t="shared" si="7"/>
        <v>6140.384652777763</v>
      </c>
      <c r="Y222" s="147"/>
      <c r="Z222" s="11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6"/>
        <v>20.166666666666654</v>
      </c>
      <c r="X223" s="108">
        <f t="shared" si="7"/>
        <v>6237.9727777777625</v>
      </c>
      <c r="Y223" s="147"/>
      <c r="Z223" s="11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6"/>
        <v>20.249999999999986</v>
      </c>
      <c r="X224" s="108">
        <f t="shared" si="7"/>
        <v>6336.401180555537</v>
      </c>
      <c r="Y224" s="147"/>
      <c r="Z224" s="11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6"/>
        <v>20.333333333333318</v>
      </c>
      <c r="X225" s="108">
        <f t="shared" si="7"/>
        <v>6435.673333333314</v>
      </c>
      <c r="Y225" s="147"/>
      <c r="Z225" s="11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6"/>
        <v>20.41666666666665</v>
      </c>
      <c r="X226" s="108">
        <f t="shared" si="7"/>
        <v>6535.792708333313</v>
      </c>
      <c r="Y226" s="147"/>
      <c r="Z226" s="11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6"/>
        <v>20.499999999999982</v>
      </c>
      <c r="X227" s="108">
        <f t="shared" si="7"/>
        <v>6636.762777777756</v>
      </c>
      <c r="Y227" s="147"/>
      <c r="Z227" s="11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6"/>
        <v>20.583333333333314</v>
      </c>
      <c r="X228" s="108">
        <f t="shared" si="7"/>
        <v>6738.587013888865</v>
      </c>
      <c r="Y228" s="147"/>
      <c r="Z228" s="11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6"/>
        <v>20.666666666666647</v>
      </c>
      <c r="X229" s="108">
        <f t="shared" si="7"/>
        <v>6841.268888888864</v>
      </c>
      <c r="Y229" s="147"/>
      <c r="Z229" s="11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6"/>
        <v>20.74999999999998</v>
      </c>
      <c r="X230" s="108">
        <f t="shared" si="7"/>
        <v>6944.811874999973</v>
      </c>
      <c r="Y230" s="147"/>
      <c r="Z230" s="11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6"/>
        <v>20.83333333333331</v>
      </c>
      <c r="X231" s="108">
        <f t="shared" si="7"/>
        <v>7049.219444444416</v>
      </c>
      <c r="Y231" s="147"/>
      <c r="Z231" s="11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6"/>
        <v>20.916666666666643</v>
      </c>
      <c r="X232" s="108">
        <f t="shared" si="7"/>
        <v>7154.495069444413</v>
      </c>
      <c r="Y232" s="147"/>
      <c r="Z232" s="11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6"/>
        <v>20.999999999999975</v>
      </c>
      <c r="X233" s="108">
        <f t="shared" si="7"/>
        <v>7260.642222222189</v>
      </c>
      <c r="Y233" s="147"/>
      <c r="Z233" s="11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6"/>
        <v>21.083333333333307</v>
      </c>
      <c r="X234" s="108">
        <f t="shared" si="7"/>
        <v>7367.664374999965</v>
      </c>
      <c r="Y234" s="147"/>
      <c r="Z234" s="11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6"/>
        <v>21.16666666666664</v>
      </c>
      <c r="X235" s="108">
        <f t="shared" si="7"/>
        <v>7475.564999999963</v>
      </c>
      <c r="Y235" s="147"/>
      <c r="Z235" s="11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6"/>
        <v>21.24999999999997</v>
      </c>
      <c r="X236" s="108">
        <f t="shared" si="7"/>
        <v>7584.347569444407</v>
      </c>
      <c r="Y236" s="147"/>
      <c r="Z236" s="11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6"/>
        <v>21.333333333333304</v>
      </c>
      <c r="X237" s="108">
        <f t="shared" si="7"/>
        <v>7694.015555555515</v>
      </c>
      <c r="Y237" s="147"/>
      <c r="Z237" s="11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6"/>
        <v>21.416666666666636</v>
      </c>
      <c r="X238" s="108">
        <f t="shared" si="7"/>
        <v>7804.572430555513</v>
      </c>
      <c r="Y238" s="147"/>
      <c r="Z238" s="11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6"/>
        <v>21.499999999999968</v>
      </c>
      <c r="X239" s="108">
        <f t="shared" si="7"/>
        <v>7916.021666666623</v>
      </c>
      <c r="Y239" s="147"/>
      <c r="Z239" s="11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6"/>
        <v>21.5833333333333</v>
      </c>
      <c r="X240" s="108">
        <f t="shared" si="7"/>
        <v>8028.3667361110665</v>
      </c>
      <c r="Y240" s="147"/>
      <c r="Z240" s="11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6"/>
        <v>21.666666666666632</v>
      </c>
      <c r="X241" s="108">
        <f t="shared" si="7"/>
        <v>8141.611111111063</v>
      </c>
      <c r="Y241" s="147"/>
      <c r="Z241" s="11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6"/>
        <v>21.749999999999964</v>
      </c>
      <c r="X242" s="108">
        <f t="shared" si="7"/>
        <v>8255.758263888838</v>
      </c>
      <c r="Y242" s="147"/>
      <c r="Z242" s="11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6"/>
        <v>21.833333333333297</v>
      </c>
      <c r="X243" s="108">
        <f t="shared" si="7"/>
        <v>8370.811666666614</v>
      </c>
      <c r="Y243" s="147"/>
      <c r="Z243" s="11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6"/>
        <v>21.91666666666663</v>
      </c>
      <c r="X244" s="108">
        <f t="shared" si="7"/>
        <v>8486.774791666612</v>
      </c>
      <c r="Y244" s="147"/>
      <c r="Z244" s="11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6"/>
        <v>21.99999999999996</v>
      </c>
      <c r="X245" s="108">
        <f t="shared" si="7"/>
        <v>8603.651111111054</v>
      </c>
      <c r="Y245" s="147"/>
      <c r="Z245" s="11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6"/>
        <v>22.083333333333293</v>
      </c>
      <c r="X246" s="108">
        <f t="shared" si="7"/>
        <v>8721.444097222164</v>
      </c>
      <c r="Y246" s="147"/>
      <c r="Z246" s="11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6"/>
        <v>22.166666666666625</v>
      </c>
      <c r="X247" s="108">
        <f t="shared" si="7"/>
        <v>8840.15722222216</v>
      </c>
      <c r="Y247" s="147"/>
      <c r="Z247" s="11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6"/>
        <v>22.249999999999957</v>
      </c>
      <c r="X248" s="108">
        <f t="shared" si="7"/>
        <v>8959.79395833327</v>
      </c>
      <c r="Y248" s="147"/>
      <c r="Z248" s="11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6"/>
        <v>22.33333333333329</v>
      </c>
      <c r="X249" s="108">
        <f t="shared" si="7"/>
        <v>9080.357777777712</v>
      </c>
      <c r="Y249" s="147"/>
      <c r="Z249" s="11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6"/>
        <v>22.41666666666662</v>
      </c>
      <c r="X250" s="108">
        <f t="shared" si="7"/>
        <v>9201.85215277771</v>
      </c>
      <c r="Y250" s="147"/>
      <c r="Z250" s="117"/>
      <c r="AC250" s="98"/>
    </row>
    <row r="251" spans="22:29" ht="12.75">
      <c r="V251" s="98">
        <v>247</v>
      </c>
      <c r="W251" s="58">
        <f t="shared" si="6"/>
        <v>22.499999999999954</v>
      </c>
      <c r="X251" s="108">
        <f t="shared" si="7"/>
        <v>9324.280555555484</v>
      </c>
      <c r="Y251" s="147"/>
      <c r="Z251" s="117"/>
      <c r="AC251" s="98"/>
    </row>
    <row r="252" spans="22:29" ht="12.75">
      <c r="V252" s="98">
        <v>248</v>
      </c>
      <c r="W252" s="58">
        <f t="shared" si="6"/>
        <v>22.583333333333286</v>
      </c>
      <c r="X252" s="108">
        <f t="shared" si="7"/>
        <v>9447.646458333262</v>
      </c>
      <c r="Y252" s="147"/>
      <c r="Z252" s="117"/>
      <c r="AC252" s="98"/>
    </row>
    <row r="253" spans="22:29" ht="12.75">
      <c r="V253" s="98">
        <v>249</v>
      </c>
      <c r="W253" s="58">
        <f t="shared" si="6"/>
        <v>22.666666666666618</v>
      </c>
      <c r="X253" s="108">
        <f t="shared" si="7"/>
        <v>9571.953333333258</v>
      </c>
      <c r="Y253" s="147"/>
      <c r="Z253" s="117"/>
      <c r="AC253" s="98"/>
    </row>
    <row r="254" spans="22:29" ht="12.75">
      <c r="V254" s="98">
        <v>250</v>
      </c>
      <c r="W254" s="58">
        <f t="shared" si="6"/>
        <v>22.74999999999995</v>
      </c>
      <c r="X254" s="108">
        <f t="shared" si="7"/>
        <v>9697.2046527777</v>
      </c>
      <c r="Y254" s="147"/>
      <c r="Z254" s="117"/>
      <c r="AC254" s="98"/>
    </row>
    <row r="255" spans="22:29" ht="12.75">
      <c r="V255" s="98">
        <v>251</v>
      </c>
      <c r="W255" s="58">
        <f t="shared" si="6"/>
        <v>22.833333333333282</v>
      </c>
      <c r="X255" s="108">
        <f t="shared" si="7"/>
        <v>9823.40388888881</v>
      </c>
      <c r="Y255" s="147"/>
      <c r="Z255" s="117"/>
      <c r="AC255" s="98"/>
    </row>
    <row r="256" spans="22:29" ht="12.75">
      <c r="V256" s="98">
        <v>252</v>
      </c>
      <c r="W256" s="58">
        <f t="shared" si="6"/>
        <v>22.916666666666615</v>
      </c>
      <c r="X256" s="108">
        <f t="shared" si="7"/>
        <v>9950.554513888806</v>
      </c>
      <c r="Y256" s="147"/>
      <c r="Z256" s="117"/>
      <c r="AC256" s="98"/>
    </row>
    <row r="257" spans="22:29" ht="12.75">
      <c r="V257" s="98">
        <v>253</v>
      </c>
      <c r="W257" s="58">
        <f t="shared" si="6"/>
        <v>22.999999999999947</v>
      </c>
      <c r="X257" s="108">
        <f t="shared" si="7"/>
        <v>10078.659999999914</v>
      </c>
      <c r="Y257" s="147"/>
      <c r="Z257" s="117"/>
      <c r="AC257" s="98"/>
    </row>
    <row r="258" spans="22:29" ht="12.75">
      <c r="V258" s="98">
        <v>254</v>
      </c>
      <c r="W258" s="58">
        <f t="shared" si="6"/>
        <v>23.08333333333328</v>
      </c>
      <c r="X258" s="108">
        <f t="shared" si="7"/>
        <v>10207.723819444356</v>
      </c>
      <c r="Y258" s="147"/>
      <c r="Z258" s="117"/>
      <c r="AC258" s="98"/>
    </row>
    <row r="259" spans="22:29" ht="12.75">
      <c r="V259" s="98">
        <v>255</v>
      </c>
      <c r="W259" s="58">
        <f t="shared" si="6"/>
        <v>23.16666666666661</v>
      </c>
      <c r="X259" s="108">
        <f t="shared" si="7"/>
        <v>10337.749444444355</v>
      </c>
      <c r="Y259" s="147"/>
      <c r="Z259" s="117"/>
      <c r="AC259" s="98"/>
    </row>
    <row r="260" spans="22:29" ht="12.75">
      <c r="V260" s="98">
        <v>256</v>
      </c>
      <c r="W260" s="58">
        <f t="shared" si="6"/>
        <v>23.249999999999943</v>
      </c>
      <c r="X260" s="108">
        <f t="shared" si="7"/>
        <v>10468.740347222132</v>
      </c>
      <c r="Y260" s="147"/>
      <c r="Z260" s="117"/>
      <c r="AC260" s="98"/>
    </row>
    <row r="261" spans="22:29" ht="12.75">
      <c r="V261" s="98">
        <v>257</v>
      </c>
      <c r="W261" s="58">
        <f t="shared" si="6"/>
        <v>23.333333333333275</v>
      </c>
      <c r="X261" s="108">
        <f t="shared" si="7"/>
        <v>10600.699999999904</v>
      </c>
      <c r="Y261" s="147"/>
      <c r="Z261" s="117"/>
      <c r="AC261" s="98"/>
    </row>
    <row r="262" spans="22:29" ht="12.75">
      <c r="V262" s="98">
        <v>258</v>
      </c>
      <c r="W262" s="58">
        <f aca="true" t="shared" si="8" ref="W262:W325">$W261+1/12</f>
        <v>23.416666666666607</v>
      </c>
      <c r="X262" s="108">
        <f aca="true" t="shared" si="9" ref="X262:X325">$W262^3-14.14*$N$4*$W262/$N$8-18.85*$N$5/$N$8</f>
        <v>10733.631874999903</v>
      </c>
      <c r="Y262" s="147"/>
      <c r="Z262" s="117"/>
      <c r="AC262" s="98"/>
    </row>
    <row r="263" spans="22:29" ht="12.75">
      <c r="V263" s="98">
        <v>259</v>
      </c>
      <c r="W263" s="58">
        <f t="shared" si="8"/>
        <v>23.49999999999994</v>
      </c>
      <c r="X263" s="108">
        <f t="shared" si="9"/>
        <v>10867.539444444345</v>
      </c>
      <c r="Y263" s="147"/>
      <c r="Z263" s="117"/>
      <c r="AC263" s="98"/>
    </row>
    <row r="264" spans="22:29" ht="12.75">
      <c r="V264" s="98">
        <v>260</v>
      </c>
      <c r="W264" s="58">
        <f t="shared" si="8"/>
        <v>23.58333333333327</v>
      </c>
      <c r="X264" s="108">
        <f t="shared" si="9"/>
        <v>11002.426180555454</v>
      </c>
      <c r="Y264" s="147"/>
      <c r="Z264" s="117"/>
      <c r="AC264" s="98"/>
    </row>
    <row r="265" spans="22:29" ht="12.75">
      <c r="V265" s="98">
        <v>261</v>
      </c>
      <c r="W265" s="58">
        <f t="shared" si="8"/>
        <v>23.666666666666604</v>
      </c>
      <c r="X265" s="108">
        <f t="shared" si="9"/>
        <v>11138.29555555545</v>
      </c>
      <c r="Y265" s="147"/>
      <c r="Z265" s="117"/>
      <c r="AC265" s="98"/>
    </row>
    <row r="266" spans="22:29" ht="12.75">
      <c r="V266" s="98">
        <v>262</v>
      </c>
      <c r="W266" s="58">
        <f t="shared" si="8"/>
        <v>23.749999999999936</v>
      </c>
      <c r="X266" s="108">
        <f t="shared" si="9"/>
        <v>11275.151041666559</v>
      </c>
      <c r="Y266" s="147"/>
      <c r="Z266" s="117"/>
      <c r="AC266" s="98"/>
    </row>
    <row r="267" spans="22:29" ht="12.75">
      <c r="V267" s="98">
        <v>263</v>
      </c>
      <c r="W267" s="58">
        <f t="shared" si="8"/>
        <v>23.833333333333268</v>
      </c>
      <c r="X267" s="108">
        <f t="shared" si="9"/>
        <v>11412.996111111</v>
      </c>
      <c r="Y267" s="147"/>
      <c r="Z267" s="117"/>
      <c r="AC267" s="98"/>
    </row>
    <row r="268" spans="22:29" ht="12.75">
      <c r="V268" s="98">
        <v>264</v>
      </c>
      <c r="W268" s="58">
        <f t="shared" si="8"/>
        <v>23.9166666666666</v>
      </c>
      <c r="X268" s="108">
        <f t="shared" si="9"/>
        <v>11551.834236110999</v>
      </c>
      <c r="Y268" s="147"/>
      <c r="Z268" s="117"/>
      <c r="AC268" s="98"/>
    </row>
    <row r="269" spans="22:29" ht="12.75">
      <c r="V269" s="98">
        <v>265</v>
      </c>
      <c r="W269" s="58">
        <f t="shared" si="8"/>
        <v>23.999999999999932</v>
      </c>
      <c r="X269" s="108">
        <f t="shared" si="9"/>
        <v>11691.668888888775</v>
      </c>
      <c r="Y269" s="147"/>
      <c r="Z269" s="117"/>
      <c r="AC269" s="98"/>
    </row>
    <row r="270" spans="22:29" ht="12.75">
      <c r="V270" s="98">
        <v>266</v>
      </c>
      <c r="W270" s="58">
        <f t="shared" si="8"/>
        <v>24.083333333333265</v>
      </c>
      <c r="X270" s="108">
        <f t="shared" si="9"/>
        <v>11832.503541666549</v>
      </c>
      <c r="Y270" s="147"/>
      <c r="Z270" s="117"/>
      <c r="AC270" s="98"/>
    </row>
    <row r="271" spans="22:29" ht="12.75">
      <c r="V271" s="98">
        <v>267</v>
      </c>
      <c r="W271" s="58">
        <f t="shared" si="8"/>
        <v>24.166666666666597</v>
      </c>
      <c r="X271" s="108">
        <f t="shared" si="9"/>
        <v>11974.341666666545</v>
      </c>
      <c r="Y271" s="147"/>
      <c r="Z271" s="117"/>
      <c r="AC271" s="98"/>
    </row>
    <row r="272" spans="22:29" ht="12.75">
      <c r="V272" s="98">
        <v>268</v>
      </c>
      <c r="W272" s="58">
        <f t="shared" si="8"/>
        <v>24.24999999999993</v>
      </c>
      <c r="X272" s="108">
        <f t="shared" si="9"/>
        <v>12117.186736110989</v>
      </c>
      <c r="Y272" s="147"/>
      <c r="Z272" s="117"/>
      <c r="AC272" s="98"/>
    </row>
    <row r="273" spans="22:29" ht="12.75">
      <c r="V273" s="98">
        <v>269</v>
      </c>
      <c r="W273" s="58">
        <f t="shared" si="8"/>
        <v>24.33333333333326</v>
      </c>
      <c r="X273" s="108">
        <f t="shared" si="9"/>
        <v>12261.042222222093</v>
      </c>
      <c r="Y273" s="147"/>
      <c r="Z273" s="117"/>
      <c r="AC273" s="98"/>
    </row>
    <row r="274" spans="22:29" ht="12.75">
      <c r="V274" s="98">
        <v>270</v>
      </c>
      <c r="W274" s="58">
        <f t="shared" si="8"/>
        <v>24.416666666666593</v>
      </c>
      <c r="X274" s="108">
        <f t="shared" si="9"/>
        <v>12405.911597222093</v>
      </c>
      <c r="Y274" s="147"/>
      <c r="Z274" s="117"/>
      <c r="AC274" s="98"/>
    </row>
    <row r="275" spans="22:29" ht="12.75">
      <c r="V275" s="98">
        <v>271</v>
      </c>
      <c r="W275" s="58">
        <f t="shared" si="8"/>
        <v>24.499999999999925</v>
      </c>
      <c r="X275" s="108">
        <f t="shared" si="9"/>
        <v>12551.7983333332</v>
      </c>
      <c r="Y275" s="147"/>
      <c r="Z275" s="117"/>
      <c r="AC275" s="98"/>
    </row>
    <row r="276" spans="22:29" ht="12.75">
      <c r="V276" s="98">
        <v>272</v>
      </c>
      <c r="W276" s="58">
        <f t="shared" si="8"/>
        <v>24.583333333333258</v>
      </c>
      <c r="X276" s="108">
        <f t="shared" si="9"/>
        <v>12698.705902777643</v>
      </c>
      <c r="Y276" s="147"/>
      <c r="Z276" s="117"/>
      <c r="AC276" s="98"/>
    </row>
    <row r="277" spans="22:29" ht="12.75">
      <c r="V277" s="98">
        <v>273</v>
      </c>
      <c r="W277" s="58">
        <f t="shared" si="8"/>
        <v>24.66666666666659</v>
      </c>
      <c r="X277" s="108">
        <f t="shared" si="9"/>
        <v>12846.637777777636</v>
      </c>
      <c r="Y277" s="147"/>
      <c r="Z277" s="117"/>
      <c r="AC277" s="98"/>
    </row>
    <row r="278" spans="22:29" ht="12.75">
      <c r="V278" s="98">
        <v>274</v>
      </c>
      <c r="W278" s="58">
        <f t="shared" si="8"/>
        <v>24.749999999999922</v>
      </c>
      <c r="X278" s="108">
        <f t="shared" si="9"/>
        <v>12995.597430555414</v>
      </c>
      <c r="Y278" s="147"/>
      <c r="Z278" s="117"/>
      <c r="AC278" s="98"/>
    </row>
    <row r="279" spans="22:29" ht="12.75">
      <c r="V279" s="98">
        <v>275</v>
      </c>
      <c r="W279" s="58">
        <f t="shared" si="8"/>
        <v>24.833333333333254</v>
      </c>
      <c r="X279" s="108">
        <f t="shared" si="9"/>
        <v>13145.588333333188</v>
      </c>
      <c r="Y279" s="147"/>
      <c r="Z279" s="117"/>
      <c r="AC279" s="98"/>
    </row>
    <row r="280" spans="22:29" ht="12.75">
      <c r="V280" s="98">
        <v>276</v>
      </c>
      <c r="W280" s="58">
        <f t="shared" si="8"/>
        <v>24.916666666666586</v>
      </c>
      <c r="X280" s="108">
        <f t="shared" si="9"/>
        <v>13296.613958333184</v>
      </c>
      <c r="Y280" s="147"/>
      <c r="Z280" s="117"/>
      <c r="AC280" s="98"/>
    </row>
    <row r="281" spans="22:29" ht="12.75">
      <c r="V281" s="98">
        <v>277</v>
      </c>
      <c r="W281" s="58">
        <f t="shared" si="8"/>
        <v>24.99999999999992</v>
      </c>
      <c r="X281" s="108">
        <f t="shared" si="9"/>
        <v>13448.677777777626</v>
      </c>
      <c r="Y281" s="147"/>
      <c r="Z281" s="117"/>
      <c r="AC281" s="98"/>
    </row>
    <row r="282" spans="22:29" ht="12.75">
      <c r="V282" s="98">
        <v>278</v>
      </c>
      <c r="W282" s="58">
        <f t="shared" si="8"/>
        <v>25.08333333333325</v>
      </c>
      <c r="X282" s="108">
        <f t="shared" si="9"/>
        <v>13601.783263888736</v>
      </c>
      <c r="Y282" s="147"/>
      <c r="Z282" s="117"/>
      <c r="AC282" s="98"/>
    </row>
    <row r="283" spans="22:29" ht="12.75">
      <c r="V283" s="98">
        <v>279</v>
      </c>
      <c r="W283" s="58">
        <f t="shared" si="8"/>
        <v>25.166666666666583</v>
      </c>
      <c r="X283" s="108">
        <f t="shared" si="9"/>
        <v>13755.93388888873</v>
      </c>
      <c r="Y283" s="147"/>
      <c r="Z283" s="117"/>
      <c r="AC283" s="98"/>
    </row>
    <row r="284" spans="22:29" ht="12.75">
      <c r="V284" s="98">
        <v>280</v>
      </c>
      <c r="W284" s="58">
        <f t="shared" si="8"/>
        <v>25.249999999999915</v>
      </c>
      <c r="X284" s="108">
        <f t="shared" si="9"/>
        <v>13911.133124999838</v>
      </c>
      <c r="Y284" s="147"/>
      <c r="Z284" s="117"/>
      <c r="AC284" s="98"/>
    </row>
    <row r="285" spans="22:29" ht="12.75">
      <c r="V285" s="98">
        <v>281</v>
      </c>
      <c r="W285" s="58">
        <f t="shared" si="8"/>
        <v>25.333333333333247</v>
      </c>
      <c r="X285" s="108">
        <f t="shared" si="9"/>
        <v>14067.384444444278</v>
      </c>
      <c r="Y285" s="147"/>
      <c r="Z285" s="117"/>
      <c r="AC285" s="98"/>
    </row>
    <row r="286" spans="22:29" ht="12.75">
      <c r="V286" s="98">
        <v>282</v>
      </c>
      <c r="W286" s="58">
        <f t="shared" si="8"/>
        <v>25.41666666666658</v>
      </c>
      <c r="X286" s="108">
        <f t="shared" si="9"/>
        <v>14224.691319444279</v>
      </c>
      <c r="Y286" s="147"/>
      <c r="Z286" s="117"/>
      <c r="AC286" s="98"/>
    </row>
    <row r="287" spans="22:29" ht="12.75">
      <c r="V287" s="98">
        <v>283</v>
      </c>
      <c r="W287" s="58">
        <f t="shared" si="8"/>
        <v>25.49999999999991</v>
      </c>
      <c r="X287" s="108">
        <f t="shared" si="9"/>
        <v>14383.057222222049</v>
      </c>
      <c r="Y287" s="147"/>
      <c r="Z287" s="117"/>
      <c r="AC287" s="98"/>
    </row>
    <row r="288" spans="22:29" ht="12.75">
      <c r="V288" s="98">
        <v>284</v>
      </c>
      <c r="W288" s="58">
        <f t="shared" si="8"/>
        <v>25.583333333333243</v>
      </c>
      <c r="X288" s="108">
        <f t="shared" si="9"/>
        <v>14542.485624999825</v>
      </c>
      <c r="Y288" s="147"/>
      <c r="Z288" s="117"/>
      <c r="AC288" s="98"/>
    </row>
    <row r="289" spans="22:29" ht="12.75">
      <c r="V289" s="98">
        <v>285</v>
      </c>
      <c r="W289" s="58">
        <f t="shared" si="8"/>
        <v>25.666666666666575</v>
      </c>
      <c r="X289" s="108">
        <f t="shared" si="9"/>
        <v>14702.979999999821</v>
      </c>
      <c r="Y289" s="147"/>
      <c r="Z289" s="117"/>
      <c r="AC289" s="98"/>
    </row>
    <row r="290" spans="22:29" ht="12.75">
      <c r="V290" s="98">
        <v>286</v>
      </c>
      <c r="W290" s="58">
        <f t="shared" si="8"/>
        <v>25.749999999999908</v>
      </c>
      <c r="X290" s="108">
        <f t="shared" si="9"/>
        <v>14864.543819444261</v>
      </c>
      <c r="Y290" s="147"/>
      <c r="Z290" s="117"/>
      <c r="AC290" s="98"/>
    </row>
    <row r="291" spans="22:29" ht="12.75">
      <c r="V291" s="98">
        <v>287</v>
      </c>
      <c r="W291" s="58">
        <f t="shared" si="8"/>
        <v>25.83333333333324</v>
      </c>
      <c r="X291" s="108">
        <f t="shared" si="9"/>
        <v>15027.180555555371</v>
      </c>
      <c r="Y291" s="147"/>
      <c r="Z291" s="117"/>
      <c r="AC291" s="98"/>
    </row>
    <row r="292" spans="22:29" ht="12.75">
      <c r="V292" s="98">
        <v>288</v>
      </c>
      <c r="W292" s="58">
        <f t="shared" si="8"/>
        <v>25.916666666666572</v>
      </c>
      <c r="X292" s="108">
        <f t="shared" si="9"/>
        <v>15190.893680555366</v>
      </c>
      <c r="Y292" s="147"/>
      <c r="Z292" s="117"/>
      <c r="AC292" s="98"/>
    </row>
    <row r="293" spans="22:29" ht="12.75">
      <c r="V293" s="98">
        <v>289</v>
      </c>
      <c r="W293" s="58">
        <f t="shared" si="8"/>
        <v>25.999999999999904</v>
      </c>
      <c r="X293" s="108">
        <f t="shared" si="9"/>
        <v>15355.686666666474</v>
      </c>
      <c r="Y293" s="147"/>
      <c r="Z293" s="117"/>
      <c r="AC293" s="98"/>
    </row>
    <row r="294" spans="22:29" ht="12.75">
      <c r="V294" s="98">
        <v>290</v>
      </c>
      <c r="W294" s="58">
        <f t="shared" si="8"/>
        <v>26.083333333333236</v>
      </c>
      <c r="X294" s="108">
        <f t="shared" si="9"/>
        <v>15521.562986110914</v>
      </c>
      <c r="Y294" s="147"/>
      <c r="Z294" s="117"/>
      <c r="AC294" s="98"/>
    </row>
    <row r="295" spans="22:29" ht="12.75">
      <c r="V295" s="98">
        <v>291</v>
      </c>
      <c r="W295" s="58">
        <f t="shared" si="8"/>
        <v>26.16666666666657</v>
      </c>
      <c r="X295" s="108">
        <f t="shared" si="9"/>
        <v>15688.526111110912</v>
      </c>
      <c r="Y295" s="147"/>
      <c r="Z295" s="117"/>
      <c r="AC295" s="98"/>
    </row>
    <row r="296" spans="22:29" ht="12.75">
      <c r="V296" s="98">
        <v>292</v>
      </c>
      <c r="W296" s="58">
        <f t="shared" si="8"/>
        <v>26.2499999999999</v>
      </c>
      <c r="X296" s="108">
        <f t="shared" si="9"/>
        <v>15856.579513888684</v>
      </c>
      <c r="Y296" s="147"/>
      <c r="Z296" s="117"/>
      <c r="AC296" s="98"/>
    </row>
    <row r="297" spans="22:29" ht="12.75">
      <c r="V297" s="98">
        <v>293</v>
      </c>
      <c r="W297" s="58">
        <f t="shared" si="8"/>
        <v>26.333333333333233</v>
      </c>
      <c r="X297" s="108">
        <f t="shared" si="9"/>
        <v>16025.72666666646</v>
      </c>
      <c r="Y297" s="147"/>
      <c r="Z297" s="117"/>
      <c r="AC297" s="98"/>
    </row>
    <row r="298" spans="22:29" ht="12.75">
      <c r="V298" s="98">
        <v>294</v>
      </c>
      <c r="W298" s="58">
        <f t="shared" si="8"/>
        <v>26.416666666666565</v>
      </c>
      <c r="X298" s="108">
        <f t="shared" si="9"/>
        <v>16195.971041666455</v>
      </c>
      <c r="Y298" s="147"/>
      <c r="Z298" s="117"/>
      <c r="AC298" s="98"/>
    </row>
    <row r="299" spans="22:29" ht="12.75">
      <c r="V299" s="98">
        <v>295</v>
      </c>
      <c r="W299" s="58">
        <f t="shared" si="8"/>
        <v>26.499999999999897</v>
      </c>
      <c r="X299" s="108">
        <f t="shared" si="9"/>
        <v>16367.316111110895</v>
      </c>
      <c r="Y299" s="147"/>
      <c r="Z299" s="117"/>
      <c r="AC299" s="98"/>
    </row>
    <row r="300" spans="22:29" ht="12.75">
      <c r="V300" s="98">
        <v>296</v>
      </c>
      <c r="W300" s="58">
        <f t="shared" si="8"/>
        <v>26.58333333333323</v>
      </c>
      <c r="X300" s="108">
        <f t="shared" si="9"/>
        <v>16539.765347222004</v>
      </c>
      <c r="Y300" s="147"/>
      <c r="Z300" s="117"/>
      <c r="AC300" s="98"/>
    </row>
    <row r="301" spans="22:29" ht="12.75">
      <c r="V301" s="98">
        <v>297</v>
      </c>
      <c r="W301" s="58">
        <f t="shared" si="8"/>
        <v>26.66666666666656</v>
      </c>
      <c r="X301" s="108">
        <f t="shared" si="9"/>
        <v>16713.322222222003</v>
      </c>
      <c r="Y301" s="147"/>
      <c r="Z301" s="117"/>
      <c r="AC301" s="98"/>
    </row>
    <row r="302" spans="22:29" ht="12.75">
      <c r="V302" s="98">
        <v>298</v>
      </c>
      <c r="W302" s="58">
        <f t="shared" si="8"/>
        <v>26.749999999999893</v>
      </c>
      <c r="X302" s="108">
        <f t="shared" si="9"/>
        <v>16887.99020833311</v>
      </c>
      <c r="Y302" s="147"/>
      <c r="Z302" s="117"/>
      <c r="AC302" s="98"/>
    </row>
    <row r="303" spans="22:29" ht="12.75">
      <c r="V303" s="98">
        <v>299</v>
      </c>
      <c r="W303" s="58">
        <f t="shared" si="8"/>
        <v>26.833333333333226</v>
      </c>
      <c r="X303" s="108">
        <f t="shared" si="9"/>
        <v>17063.77277777755</v>
      </c>
      <c r="Y303" s="147"/>
      <c r="Z303" s="117"/>
      <c r="AC303" s="98"/>
    </row>
    <row r="304" spans="22:29" ht="12.75">
      <c r="V304" s="98">
        <v>300</v>
      </c>
      <c r="W304" s="58">
        <f t="shared" si="8"/>
        <v>26.916666666666558</v>
      </c>
      <c r="X304" s="108">
        <f t="shared" si="9"/>
        <v>17240.673402777546</v>
      </c>
      <c r="Y304" s="147"/>
      <c r="Z304" s="117"/>
      <c r="AC304" s="98"/>
    </row>
    <row r="305" spans="22:29" ht="12.75">
      <c r="V305" s="98">
        <v>301</v>
      </c>
      <c r="W305" s="58">
        <f t="shared" si="8"/>
        <v>26.99999999999989</v>
      </c>
      <c r="X305" s="108">
        <f t="shared" si="9"/>
        <v>17418.69555555532</v>
      </c>
      <c r="Y305" s="147"/>
      <c r="Z305" s="117"/>
      <c r="AC305" s="98"/>
    </row>
    <row r="306" spans="22:29" ht="12.75">
      <c r="V306" s="98">
        <v>302</v>
      </c>
      <c r="W306" s="58">
        <f t="shared" si="8"/>
        <v>27.083333333333222</v>
      </c>
      <c r="X306" s="108">
        <f t="shared" si="9"/>
        <v>17597.842708333097</v>
      </c>
      <c r="Y306" s="147"/>
      <c r="Z306" s="117"/>
      <c r="AC306" s="98"/>
    </row>
    <row r="307" spans="22:29" ht="12.75">
      <c r="V307" s="98">
        <v>303</v>
      </c>
      <c r="W307" s="58">
        <f t="shared" si="8"/>
        <v>27.166666666666554</v>
      </c>
      <c r="X307" s="108">
        <f t="shared" si="9"/>
        <v>17778.11833333309</v>
      </c>
      <c r="Y307" s="147"/>
      <c r="Z307" s="117"/>
      <c r="AC307" s="98"/>
    </row>
    <row r="308" spans="22:29" ht="12.75">
      <c r="V308" s="98">
        <v>304</v>
      </c>
      <c r="W308" s="58">
        <f t="shared" si="8"/>
        <v>27.249999999999886</v>
      </c>
      <c r="X308" s="108">
        <f t="shared" si="9"/>
        <v>17959.525902777532</v>
      </c>
      <c r="Y308" s="147"/>
      <c r="Z308" s="117"/>
      <c r="AC308" s="98"/>
    </row>
    <row r="309" spans="22:29" ht="12.75">
      <c r="V309" s="98">
        <v>305</v>
      </c>
      <c r="W309" s="58">
        <f t="shared" si="8"/>
        <v>27.33333333333322</v>
      </c>
      <c r="X309" s="108">
        <f t="shared" si="9"/>
        <v>18142.068888888636</v>
      </c>
      <c r="Y309" s="147"/>
      <c r="Z309" s="117"/>
      <c r="AC309" s="98"/>
    </row>
    <row r="310" spans="22:29" ht="12.75">
      <c r="V310" s="98">
        <v>306</v>
      </c>
      <c r="W310" s="58">
        <f t="shared" si="8"/>
        <v>27.41666666666655</v>
      </c>
      <c r="X310" s="108">
        <f t="shared" si="9"/>
        <v>18325.75076388863</v>
      </c>
      <c r="Y310" s="147"/>
      <c r="Z310" s="117"/>
      <c r="AC310" s="98"/>
    </row>
    <row r="311" spans="22:29" ht="12.75">
      <c r="V311" s="98">
        <v>307</v>
      </c>
      <c r="W311" s="58">
        <f t="shared" si="8"/>
        <v>27.499999999999883</v>
      </c>
      <c r="X311" s="108">
        <f t="shared" si="9"/>
        <v>18510.57499999974</v>
      </c>
      <c r="Y311" s="147"/>
      <c r="Z311" s="117"/>
      <c r="AC311" s="98"/>
    </row>
    <row r="312" spans="22:29" ht="12.75">
      <c r="V312" s="98">
        <v>308</v>
      </c>
      <c r="W312" s="58">
        <f t="shared" si="8"/>
        <v>27.583333333333215</v>
      </c>
      <c r="X312" s="108">
        <f t="shared" si="9"/>
        <v>18696.54506944418</v>
      </c>
      <c r="Y312" s="147"/>
      <c r="Z312" s="117"/>
      <c r="AC312" s="98"/>
    </row>
    <row r="313" spans="22:29" ht="12.75">
      <c r="V313" s="98">
        <v>309</v>
      </c>
      <c r="W313" s="58">
        <f t="shared" si="8"/>
        <v>27.666666666666547</v>
      </c>
      <c r="X313" s="108">
        <f t="shared" si="9"/>
        <v>18883.664444444177</v>
      </c>
      <c r="Y313" s="147"/>
      <c r="Z313" s="117"/>
      <c r="AC313" s="98"/>
    </row>
    <row r="314" spans="22:29" ht="12.75">
      <c r="V314" s="98">
        <v>310</v>
      </c>
      <c r="W314" s="58">
        <f t="shared" si="8"/>
        <v>27.74999999999988</v>
      </c>
      <c r="X314" s="108">
        <f t="shared" si="9"/>
        <v>19071.936597221946</v>
      </c>
      <c r="Y314" s="147"/>
      <c r="Z314" s="117"/>
      <c r="AC314" s="98"/>
    </row>
    <row r="315" spans="22:29" ht="12.75">
      <c r="V315" s="98">
        <v>311</v>
      </c>
      <c r="W315" s="58">
        <f t="shared" si="8"/>
        <v>27.83333333333321</v>
      </c>
      <c r="X315" s="108">
        <f t="shared" si="9"/>
        <v>19261.36499999972</v>
      </c>
      <c r="Y315" s="147"/>
      <c r="Z315" s="117"/>
      <c r="AC315" s="98"/>
    </row>
    <row r="316" spans="22:29" ht="12.75">
      <c r="V316" s="98">
        <v>312</v>
      </c>
      <c r="W316" s="58">
        <f t="shared" si="8"/>
        <v>27.916666666666544</v>
      </c>
      <c r="X316" s="108">
        <f t="shared" si="9"/>
        <v>19451.953124999716</v>
      </c>
      <c r="Y316" s="147"/>
      <c r="Z316" s="117"/>
      <c r="AC316" s="98"/>
    </row>
    <row r="317" spans="22:29" ht="12.75">
      <c r="V317" s="98">
        <v>313</v>
      </c>
      <c r="W317" s="58">
        <f t="shared" si="8"/>
        <v>27.999999999999876</v>
      </c>
      <c r="X317" s="108">
        <f t="shared" si="9"/>
        <v>19643.70444444416</v>
      </c>
      <c r="Y317" s="147"/>
      <c r="Z317" s="117"/>
      <c r="AC317" s="98"/>
    </row>
    <row r="318" spans="22:29" ht="12.75">
      <c r="V318" s="98">
        <v>314</v>
      </c>
      <c r="W318" s="58">
        <f t="shared" si="8"/>
        <v>28.083333333333208</v>
      </c>
      <c r="X318" s="108">
        <f t="shared" si="9"/>
        <v>19836.62243055526</v>
      </c>
      <c r="Y318" s="147"/>
      <c r="Z318" s="117"/>
      <c r="AC318" s="98"/>
    </row>
    <row r="319" spans="22:29" ht="12.75">
      <c r="V319" s="98">
        <v>315</v>
      </c>
      <c r="W319" s="58">
        <f t="shared" si="8"/>
        <v>28.16666666666654</v>
      </c>
      <c r="X319" s="108">
        <f t="shared" si="9"/>
        <v>20030.71055555526</v>
      </c>
      <c r="Y319" s="147"/>
      <c r="Z319" s="117"/>
      <c r="AC319" s="98"/>
    </row>
    <row r="320" spans="22:29" ht="12.75">
      <c r="V320" s="98">
        <v>316</v>
      </c>
      <c r="W320" s="58">
        <f t="shared" si="8"/>
        <v>28.249999999999872</v>
      </c>
      <c r="X320" s="108">
        <f t="shared" si="9"/>
        <v>20225.972291666363</v>
      </c>
      <c r="Y320" s="147"/>
      <c r="Z320" s="117"/>
      <c r="AC320" s="98"/>
    </row>
    <row r="321" spans="22:29" ht="12.75">
      <c r="V321" s="98">
        <v>317</v>
      </c>
      <c r="W321" s="58">
        <f t="shared" si="8"/>
        <v>28.333333333333204</v>
      </c>
      <c r="X321" s="108">
        <f t="shared" si="9"/>
        <v>20422.411111110807</v>
      </c>
      <c r="Y321" s="147"/>
      <c r="Z321" s="117"/>
      <c r="AC321" s="98"/>
    </row>
    <row r="322" spans="22:29" ht="12.75">
      <c r="V322" s="98">
        <v>318</v>
      </c>
      <c r="W322" s="58">
        <f t="shared" si="8"/>
        <v>28.416666666666536</v>
      </c>
      <c r="X322" s="108">
        <f t="shared" si="9"/>
        <v>20620.0304861108</v>
      </c>
      <c r="Y322" s="147"/>
      <c r="Z322" s="117"/>
      <c r="AC322" s="98"/>
    </row>
    <row r="323" spans="22:29" ht="12.75">
      <c r="V323" s="98">
        <v>319</v>
      </c>
      <c r="W323" s="58">
        <f t="shared" si="8"/>
        <v>28.49999999999987</v>
      </c>
      <c r="X323" s="108">
        <f t="shared" si="9"/>
        <v>20818.833888888574</v>
      </c>
      <c r="Y323" s="147"/>
      <c r="Z323" s="117"/>
      <c r="AC323" s="98"/>
    </row>
    <row r="324" spans="22:29" ht="12.75">
      <c r="V324" s="98">
        <v>320</v>
      </c>
      <c r="W324" s="58">
        <f t="shared" si="8"/>
        <v>28.5833333333332</v>
      </c>
      <c r="X324" s="108">
        <f t="shared" si="9"/>
        <v>21018.824791666346</v>
      </c>
      <c r="Y324" s="147"/>
      <c r="Z324" s="117"/>
      <c r="AC324" s="98"/>
    </row>
    <row r="325" spans="22:29" ht="12.75">
      <c r="V325" s="98">
        <v>321</v>
      </c>
      <c r="W325" s="58">
        <f t="shared" si="8"/>
        <v>28.666666666666533</v>
      </c>
      <c r="X325" s="108">
        <f t="shared" si="9"/>
        <v>21220.006666666344</v>
      </c>
      <c r="Y325" s="147"/>
      <c r="Z325" s="117"/>
      <c r="AC325" s="98"/>
    </row>
    <row r="326" spans="22:29" ht="12.75">
      <c r="V326" s="98">
        <v>322</v>
      </c>
      <c r="W326" s="58">
        <f aca="true" t="shared" si="10" ref="W326:W389">$W325+1/12</f>
        <v>28.749999999999865</v>
      </c>
      <c r="X326" s="108">
        <f aca="true" t="shared" si="11" ref="X326:X389">$W326^3-14.14*$N$4*$W326/$N$8-18.85*$N$5/$N$8</f>
        <v>21422.38298611078</v>
      </c>
      <c r="Y326" s="147"/>
      <c r="Z326" s="117"/>
      <c r="AC326" s="98"/>
    </row>
    <row r="327" spans="22:29" ht="12.75">
      <c r="V327" s="98">
        <v>323</v>
      </c>
      <c r="W327" s="58">
        <f t="shared" si="10"/>
        <v>28.833333333333197</v>
      </c>
      <c r="X327" s="108">
        <f t="shared" si="11"/>
        <v>21625.95722222189</v>
      </c>
      <c r="Y327" s="147"/>
      <c r="Z327" s="117"/>
      <c r="AC327" s="98"/>
    </row>
    <row r="328" spans="22:29" ht="12.75">
      <c r="V328" s="98">
        <v>324</v>
      </c>
      <c r="W328" s="58">
        <f t="shared" si="10"/>
        <v>28.91666666666653</v>
      </c>
      <c r="X328" s="108">
        <f t="shared" si="11"/>
        <v>21830.732847221883</v>
      </c>
      <c r="Y328" s="147"/>
      <c r="Z328" s="117"/>
      <c r="AC328" s="98"/>
    </row>
    <row r="329" spans="22:29" ht="12.75">
      <c r="V329" s="98">
        <v>325</v>
      </c>
      <c r="W329" s="58">
        <f t="shared" si="10"/>
        <v>28.99999999999986</v>
      </c>
      <c r="X329" s="108">
        <f t="shared" si="11"/>
        <v>22036.71333333299</v>
      </c>
      <c r="Y329" s="147"/>
      <c r="Z329" s="117"/>
      <c r="AC329" s="98"/>
    </row>
    <row r="330" spans="22:29" ht="12.75">
      <c r="V330" s="98">
        <v>326</v>
      </c>
      <c r="W330" s="58">
        <f t="shared" si="10"/>
        <v>29.083333333333194</v>
      </c>
      <c r="X330" s="108">
        <f t="shared" si="11"/>
        <v>22243.90215277743</v>
      </c>
      <c r="Y330" s="147"/>
      <c r="Z330" s="117"/>
      <c r="AC330" s="98"/>
    </row>
    <row r="331" spans="22:29" ht="12.75">
      <c r="V331" s="98">
        <v>327</v>
      </c>
      <c r="W331" s="58">
        <f t="shared" si="10"/>
        <v>29.166666666666526</v>
      </c>
      <c r="X331" s="108">
        <f t="shared" si="11"/>
        <v>22452.302777777426</v>
      </c>
      <c r="Y331" s="147"/>
      <c r="Z331" s="117"/>
      <c r="AC331" s="98"/>
    </row>
    <row r="332" spans="22:29" ht="12.75">
      <c r="V332" s="98">
        <v>328</v>
      </c>
      <c r="W332" s="58">
        <f t="shared" si="10"/>
        <v>29.249999999999858</v>
      </c>
      <c r="X332" s="108">
        <f t="shared" si="11"/>
        <v>22661.918680555198</v>
      </c>
      <c r="Y332" s="147"/>
      <c r="Z332" s="117"/>
      <c r="AC332" s="98"/>
    </row>
    <row r="333" spans="22:29" ht="12.75">
      <c r="V333" s="98">
        <v>329</v>
      </c>
      <c r="W333" s="58">
        <f t="shared" si="10"/>
        <v>29.33333333333319</v>
      </c>
      <c r="X333" s="108">
        <f t="shared" si="11"/>
        <v>22872.75333333297</v>
      </c>
      <c r="Y333" s="147"/>
      <c r="Z333" s="117"/>
      <c r="AC333" s="98"/>
    </row>
    <row r="334" spans="22:29" ht="12.75">
      <c r="V334" s="98">
        <v>330</v>
      </c>
      <c r="W334" s="58">
        <f t="shared" si="10"/>
        <v>29.416666666666522</v>
      </c>
      <c r="X334" s="108">
        <f t="shared" si="11"/>
        <v>23084.810208332965</v>
      </c>
      <c r="Y334" s="147"/>
      <c r="Z334" s="117"/>
      <c r="AC334" s="98"/>
    </row>
    <row r="335" spans="22:29" ht="12.75">
      <c r="V335" s="98">
        <v>331</v>
      </c>
      <c r="W335" s="58">
        <f t="shared" si="10"/>
        <v>29.499999999999854</v>
      </c>
      <c r="X335" s="108">
        <f t="shared" si="11"/>
        <v>23298.0927777774</v>
      </c>
      <c r="Y335" s="147"/>
      <c r="Z335" s="117"/>
      <c r="AC335" s="98"/>
    </row>
    <row r="336" spans="22:29" ht="12.75">
      <c r="V336" s="98">
        <v>332</v>
      </c>
      <c r="W336" s="58">
        <f t="shared" si="10"/>
        <v>29.583333333333186</v>
      </c>
      <c r="X336" s="108">
        <f t="shared" si="11"/>
        <v>23512.60451388851</v>
      </c>
      <c r="Y336" s="147"/>
      <c r="Z336" s="117"/>
      <c r="AC336" s="98"/>
    </row>
    <row r="337" spans="22:29" ht="12.75">
      <c r="V337" s="98">
        <v>333</v>
      </c>
      <c r="W337" s="58">
        <f t="shared" si="10"/>
        <v>29.66666666666652</v>
      </c>
      <c r="X337" s="108">
        <f t="shared" si="11"/>
        <v>23728.348888888504</v>
      </c>
      <c r="Y337" s="147"/>
      <c r="Z337" s="117"/>
      <c r="AC337" s="98"/>
    </row>
    <row r="338" spans="22:29" ht="12.75">
      <c r="V338" s="98">
        <v>334</v>
      </c>
      <c r="W338" s="58">
        <f t="shared" si="10"/>
        <v>29.74999999999985</v>
      </c>
      <c r="X338" s="108">
        <f t="shared" si="11"/>
        <v>23945.32937499961</v>
      </c>
      <c r="Y338" s="147"/>
      <c r="Z338" s="117"/>
      <c r="AC338" s="98"/>
    </row>
    <row r="339" spans="22:29" ht="12.75">
      <c r="V339" s="98">
        <v>335</v>
      </c>
      <c r="W339" s="58">
        <f t="shared" si="10"/>
        <v>29.833333333333183</v>
      </c>
      <c r="X339" s="108">
        <f t="shared" si="11"/>
        <v>24163.54944444405</v>
      </c>
      <c r="Y339" s="147"/>
      <c r="Z339" s="117"/>
      <c r="AC339" s="98"/>
    </row>
    <row r="340" spans="22:29" ht="12.75">
      <c r="V340" s="98">
        <v>336</v>
      </c>
      <c r="W340" s="58">
        <f t="shared" si="10"/>
        <v>29.916666666666515</v>
      </c>
      <c r="X340" s="108">
        <f t="shared" si="11"/>
        <v>24383.012569444043</v>
      </c>
      <c r="Y340" s="147"/>
      <c r="Z340" s="117"/>
      <c r="AC340" s="98"/>
    </row>
    <row r="341" spans="22:29" ht="12.75">
      <c r="V341" s="98">
        <v>337</v>
      </c>
      <c r="W341" s="58">
        <f t="shared" si="10"/>
        <v>29.999999999999847</v>
      </c>
      <c r="X341" s="108">
        <f t="shared" si="11"/>
        <v>24603.722222221815</v>
      </c>
      <c r="Y341" s="147"/>
      <c r="Z341" s="117"/>
      <c r="AC341" s="98"/>
    </row>
    <row r="342" spans="22:29" ht="12.75">
      <c r="V342" s="98">
        <v>338</v>
      </c>
      <c r="W342" s="58">
        <f t="shared" si="10"/>
        <v>30.08333333333318</v>
      </c>
      <c r="X342" s="108">
        <f t="shared" si="11"/>
        <v>24825.681874999587</v>
      </c>
      <c r="Y342" s="147"/>
      <c r="Z342" s="117"/>
      <c r="AC342" s="98"/>
    </row>
    <row r="343" spans="22:29" ht="12.75">
      <c r="V343" s="98">
        <v>339</v>
      </c>
      <c r="W343" s="58">
        <f t="shared" si="10"/>
        <v>30.16666666666651</v>
      </c>
      <c r="X343" s="108">
        <f t="shared" si="11"/>
        <v>25048.894999999582</v>
      </c>
      <c r="Y343" s="147"/>
      <c r="Z343" s="117"/>
      <c r="AC343" s="98"/>
    </row>
    <row r="344" spans="22:29" ht="12.75">
      <c r="V344" s="98">
        <v>340</v>
      </c>
      <c r="W344" s="58">
        <f t="shared" si="10"/>
        <v>30.249999999999844</v>
      </c>
      <c r="X344" s="108">
        <f t="shared" si="11"/>
        <v>25273.365069444022</v>
      </c>
      <c r="Y344" s="147"/>
      <c r="Z344" s="117"/>
      <c r="AC344" s="98"/>
    </row>
    <row r="345" spans="22:29" ht="12.75">
      <c r="V345" s="98">
        <v>341</v>
      </c>
      <c r="W345" s="58">
        <f t="shared" si="10"/>
        <v>30.333333333333176</v>
      </c>
      <c r="X345" s="108">
        <f t="shared" si="11"/>
        <v>25499.095555555126</v>
      </c>
      <c r="Y345" s="147"/>
      <c r="Z345" s="117"/>
      <c r="AC345" s="98"/>
    </row>
    <row r="346" spans="22:29" ht="12.75">
      <c r="V346" s="98">
        <v>342</v>
      </c>
      <c r="W346" s="58">
        <f t="shared" si="10"/>
        <v>30.416666666666508</v>
      </c>
      <c r="X346" s="108">
        <f t="shared" si="11"/>
        <v>25726.089930555117</v>
      </c>
      <c r="Y346" s="147"/>
      <c r="Z346" s="117"/>
      <c r="AC346" s="98"/>
    </row>
    <row r="347" spans="22:29" ht="12.75">
      <c r="V347" s="98">
        <v>343</v>
      </c>
      <c r="W347" s="58">
        <f t="shared" si="10"/>
        <v>30.49999999999984</v>
      </c>
      <c r="X347" s="108">
        <f t="shared" si="11"/>
        <v>25954.351666666225</v>
      </c>
      <c r="Y347" s="147"/>
      <c r="Z347" s="117"/>
      <c r="AC347" s="98"/>
    </row>
    <row r="348" spans="22:29" ht="12.75">
      <c r="V348" s="98">
        <v>344</v>
      </c>
      <c r="W348" s="58">
        <f t="shared" si="10"/>
        <v>30.583333333333172</v>
      </c>
      <c r="X348" s="108">
        <f t="shared" si="11"/>
        <v>26183.884236110665</v>
      </c>
      <c r="Y348" s="147"/>
      <c r="Z348" s="117"/>
      <c r="AC348" s="98"/>
    </row>
    <row r="349" spans="22:29" ht="12.75">
      <c r="V349" s="98">
        <v>345</v>
      </c>
      <c r="W349" s="58">
        <f t="shared" si="10"/>
        <v>30.666666666666504</v>
      </c>
      <c r="X349" s="108">
        <f t="shared" si="11"/>
        <v>26414.69111111066</v>
      </c>
      <c r="Y349" s="147"/>
      <c r="Z349" s="117"/>
      <c r="AC349" s="98"/>
    </row>
    <row r="350" spans="22:29" ht="12.75">
      <c r="V350" s="98">
        <v>346</v>
      </c>
      <c r="W350" s="58">
        <f t="shared" si="10"/>
        <v>30.749999999999837</v>
      </c>
      <c r="X350" s="108">
        <f t="shared" si="11"/>
        <v>26646.775763888432</v>
      </c>
      <c r="Y350" s="147"/>
      <c r="Z350" s="117"/>
      <c r="AC350" s="98"/>
    </row>
    <row r="351" spans="22:29" ht="12.75">
      <c r="V351" s="98">
        <v>347</v>
      </c>
      <c r="W351" s="58">
        <f t="shared" si="10"/>
        <v>30.83333333333317</v>
      </c>
      <c r="X351" s="108">
        <f t="shared" si="11"/>
        <v>26880.141666666204</v>
      </c>
      <c r="Y351" s="147"/>
      <c r="Z351" s="117"/>
      <c r="AC351" s="98"/>
    </row>
    <row r="352" spans="22:29" ht="12.75">
      <c r="V352" s="98">
        <v>348</v>
      </c>
      <c r="W352" s="58">
        <f t="shared" si="10"/>
        <v>30.9166666666665</v>
      </c>
      <c r="X352" s="108">
        <f t="shared" si="11"/>
        <v>27114.792291666196</v>
      </c>
      <c r="Y352" s="147"/>
      <c r="Z352" s="117"/>
      <c r="AC352" s="98"/>
    </row>
    <row r="353" spans="22:29" ht="12.75">
      <c r="V353" s="98">
        <v>349</v>
      </c>
      <c r="W353" s="58">
        <f t="shared" si="10"/>
        <v>30.999999999999833</v>
      </c>
      <c r="X353" s="108">
        <f t="shared" si="11"/>
        <v>27350.73111111064</v>
      </c>
      <c r="Y353" s="147"/>
      <c r="Z353" s="117"/>
      <c r="AC353" s="98"/>
    </row>
    <row r="354" spans="22:29" ht="12.75">
      <c r="V354" s="98">
        <v>350</v>
      </c>
      <c r="W354" s="58">
        <f t="shared" si="10"/>
        <v>31.083333333333165</v>
      </c>
      <c r="X354" s="108">
        <f t="shared" si="11"/>
        <v>27587.961597221743</v>
      </c>
      <c r="Y354" s="147"/>
      <c r="Z354" s="117"/>
      <c r="AC354" s="98"/>
    </row>
    <row r="355" spans="22:29" ht="12.75">
      <c r="V355" s="98">
        <v>351</v>
      </c>
      <c r="W355" s="58">
        <f t="shared" si="10"/>
        <v>31.166666666666497</v>
      </c>
      <c r="X355" s="108">
        <f t="shared" si="11"/>
        <v>27826.487222221735</v>
      </c>
      <c r="Y355" s="147"/>
      <c r="Z355" s="117"/>
      <c r="AC355" s="98"/>
    </row>
    <row r="356" spans="22:29" ht="12.75">
      <c r="V356" s="98">
        <v>352</v>
      </c>
      <c r="W356" s="58">
        <f t="shared" si="10"/>
        <v>31.24999999999983</v>
      </c>
      <c r="X356" s="108">
        <f t="shared" si="11"/>
        <v>28066.31145833284</v>
      </c>
      <c r="Y356" s="147"/>
      <c r="Z356" s="117"/>
      <c r="AC356" s="98"/>
    </row>
    <row r="357" spans="22:29" ht="12.75">
      <c r="V357" s="98">
        <v>353</v>
      </c>
      <c r="W357" s="58">
        <f t="shared" si="10"/>
        <v>31.33333333333316</v>
      </c>
      <c r="X357" s="108">
        <f t="shared" si="11"/>
        <v>28307.437777777282</v>
      </c>
      <c r="Y357" s="147"/>
      <c r="Z357" s="117"/>
      <c r="AC357" s="98"/>
    </row>
    <row r="358" spans="22:29" ht="12.75">
      <c r="V358" s="98">
        <v>354</v>
      </c>
      <c r="W358" s="58">
        <f t="shared" si="10"/>
        <v>31.416666666666494</v>
      </c>
      <c r="X358" s="108">
        <f t="shared" si="11"/>
        <v>28549.86965277727</v>
      </c>
      <c r="Y358" s="147"/>
      <c r="Z358" s="117"/>
      <c r="AC358" s="98"/>
    </row>
    <row r="359" spans="22:29" ht="12.75">
      <c r="V359" s="98">
        <v>355</v>
      </c>
      <c r="W359" s="58">
        <f t="shared" si="10"/>
        <v>31.499999999999826</v>
      </c>
      <c r="X359" s="108">
        <f t="shared" si="11"/>
        <v>28793.610555555046</v>
      </c>
      <c r="Y359" s="147"/>
      <c r="Z359" s="117"/>
      <c r="AC359" s="98"/>
    </row>
    <row r="360" spans="22:29" ht="12.75">
      <c r="V360" s="98">
        <v>356</v>
      </c>
      <c r="W360" s="58">
        <f t="shared" si="10"/>
        <v>31.583333333333158</v>
      </c>
      <c r="X360" s="108">
        <f t="shared" si="11"/>
        <v>29038.663958332818</v>
      </c>
      <c r="Y360" s="147"/>
      <c r="Z360" s="117"/>
      <c r="AC360" s="98"/>
    </row>
    <row r="361" spans="22:29" ht="12.75">
      <c r="V361" s="98">
        <v>357</v>
      </c>
      <c r="W361" s="58">
        <f t="shared" si="10"/>
        <v>31.66666666666649</v>
      </c>
      <c r="X361" s="108">
        <f t="shared" si="11"/>
        <v>29285.03333333281</v>
      </c>
      <c r="Y361" s="147"/>
      <c r="Z361" s="117"/>
      <c r="AC361" s="98"/>
    </row>
    <row r="362" spans="22:29" ht="12.75">
      <c r="V362" s="98">
        <v>358</v>
      </c>
      <c r="W362" s="58">
        <f t="shared" si="10"/>
        <v>31.749999999999822</v>
      </c>
      <c r="X362" s="108">
        <f t="shared" si="11"/>
        <v>29532.72215277725</v>
      </c>
      <c r="Y362" s="147"/>
      <c r="Z362" s="117"/>
      <c r="AC362" s="98"/>
    </row>
    <row r="363" spans="22:29" ht="12.75">
      <c r="V363" s="98">
        <v>359</v>
      </c>
      <c r="W363" s="58">
        <f t="shared" si="10"/>
        <v>31.833333333333155</v>
      </c>
      <c r="X363" s="108">
        <f t="shared" si="11"/>
        <v>29781.733888888353</v>
      </c>
      <c r="Y363" s="147"/>
      <c r="Z363" s="117"/>
      <c r="AC363" s="98"/>
    </row>
    <row r="364" spans="22:29" ht="12.75">
      <c r="V364" s="98">
        <v>360</v>
      </c>
      <c r="W364" s="58">
        <f t="shared" si="10"/>
        <v>31.916666666666487</v>
      </c>
      <c r="X364" s="108">
        <f t="shared" si="11"/>
        <v>30032.072013888344</v>
      </c>
      <c r="Y364" s="147"/>
      <c r="Z364" s="117"/>
      <c r="AC364" s="98"/>
    </row>
    <row r="365" spans="22:29" ht="12.75">
      <c r="V365" s="98">
        <v>361</v>
      </c>
      <c r="W365" s="58">
        <f t="shared" si="10"/>
        <v>31.99999999999982</v>
      </c>
      <c r="X365" s="108">
        <f t="shared" si="11"/>
        <v>30283.739999999452</v>
      </c>
      <c r="Y365" s="147"/>
      <c r="Z365" s="117"/>
      <c r="AC365" s="98"/>
    </row>
    <row r="366" spans="22:29" ht="12.75">
      <c r="V366" s="98">
        <v>362</v>
      </c>
      <c r="W366" s="58">
        <f t="shared" si="10"/>
        <v>32.08333333333315</v>
      </c>
      <c r="X366" s="108">
        <f t="shared" si="11"/>
        <v>30536.741319443885</v>
      </c>
      <c r="Y366" s="147"/>
      <c r="Z366" s="117"/>
      <c r="AC366" s="98"/>
    </row>
    <row r="367" spans="22:29" ht="12.75">
      <c r="V367" s="98">
        <v>363</v>
      </c>
      <c r="W367" s="58">
        <f t="shared" si="10"/>
        <v>32.16666666666649</v>
      </c>
      <c r="X367" s="108">
        <f t="shared" si="11"/>
        <v>30791.079444443894</v>
      </c>
      <c r="Y367" s="147"/>
      <c r="Z367" s="117"/>
      <c r="AC367" s="98"/>
    </row>
    <row r="368" spans="22:29" ht="12.75">
      <c r="V368" s="98">
        <v>364</v>
      </c>
      <c r="W368" s="58">
        <f t="shared" si="10"/>
        <v>32.24999999999982</v>
      </c>
      <c r="X368" s="108">
        <f t="shared" si="11"/>
        <v>31046.757847221677</v>
      </c>
      <c r="Y368" s="147"/>
      <c r="Z368" s="117"/>
      <c r="AC368" s="98"/>
    </row>
    <row r="369" spans="22:29" ht="12.75">
      <c r="V369" s="98">
        <v>365</v>
      </c>
      <c r="W369" s="58">
        <f t="shared" si="10"/>
        <v>32.33333333333316</v>
      </c>
      <c r="X369" s="108">
        <f t="shared" si="11"/>
        <v>31303.77999999946</v>
      </c>
      <c r="Y369" s="147"/>
      <c r="Z369" s="117"/>
      <c r="AC369" s="98"/>
    </row>
    <row r="370" spans="22:29" ht="12.75">
      <c r="V370" s="98">
        <v>366</v>
      </c>
      <c r="W370" s="58">
        <f t="shared" si="10"/>
        <v>32.416666666666494</v>
      </c>
      <c r="X370" s="108">
        <f t="shared" si="11"/>
        <v>31562.14937499946</v>
      </c>
      <c r="Y370" s="147"/>
      <c r="Z370" s="117"/>
      <c r="AC370" s="98"/>
    </row>
    <row r="371" spans="22:29" ht="12.75">
      <c r="V371" s="98">
        <v>367</v>
      </c>
      <c r="W371" s="58">
        <f t="shared" si="10"/>
        <v>32.49999999999983</v>
      </c>
      <c r="X371" s="108">
        <f t="shared" si="11"/>
        <v>31821.869444443902</v>
      </c>
      <c r="Y371" s="147"/>
      <c r="Z371" s="117"/>
      <c r="AC371" s="98"/>
    </row>
    <row r="372" spans="22:29" ht="12.75">
      <c r="V372" s="98">
        <v>368</v>
      </c>
      <c r="W372" s="58">
        <f t="shared" si="10"/>
        <v>32.583333333333165</v>
      </c>
      <c r="X372" s="108">
        <f t="shared" si="11"/>
        <v>32082.94368055503</v>
      </c>
      <c r="Y372" s="147"/>
      <c r="Z372" s="117"/>
      <c r="AC372" s="98"/>
    </row>
    <row r="373" spans="22:29" ht="12.75">
      <c r="V373" s="98">
        <v>369</v>
      </c>
      <c r="W373" s="58">
        <f t="shared" si="10"/>
        <v>32.6666666666665</v>
      </c>
      <c r="X373" s="108">
        <f t="shared" si="11"/>
        <v>32345.375555555023</v>
      </c>
      <c r="Y373" s="147"/>
      <c r="Z373" s="117"/>
      <c r="AC373" s="98"/>
    </row>
    <row r="374" spans="22:29" ht="12.75">
      <c r="V374" s="98">
        <v>370</v>
      </c>
      <c r="W374" s="58">
        <f t="shared" si="10"/>
        <v>32.74999999999984</v>
      </c>
      <c r="X374" s="108">
        <f t="shared" si="11"/>
        <v>32609.16854166615</v>
      </c>
      <c r="Y374" s="147"/>
      <c r="Z374" s="117"/>
      <c r="AC374" s="98"/>
    </row>
    <row r="375" spans="22:29" ht="12.75">
      <c r="V375" s="98">
        <v>371</v>
      </c>
      <c r="W375" s="58">
        <f t="shared" si="10"/>
        <v>32.83333333333317</v>
      </c>
      <c r="X375" s="108">
        <f t="shared" si="11"/>
        <v>32874.3261111106</v>
      </c>
      <c r="Y375" s="147"/>
      <c r="Z375" s="117"/>
      <c r="AC375" s="98"/>
    </row>
    <row r="376" spans="22:29" ht="12.75">
      <c r="V376" s="98">
        <v>372</v>
      </c>
      <c r="W376" s="58">
        <f t="shared" si="10"/>
        <v>32.91666666666651</v>
      </c>
      <c r="X376" s="108">
        <f t="shared" si="11"/>
        <v>33140.8517361106</v>
      </c>
      <c r="Y376" s="147"/>
      <c r="Z376" s="117"/>
      <c r="AC376" s="98"/>
    </row>
    <row r="377" spans="22:29" ht="12.75">
      <c r="V377" s="98">
        <v>373</v>
      </c>
      <c r="W377" s="58">
        <f t="shared" si="10"/>
        <v>32.999999999999844</v>
      </c>
      <c r="X377" s="108">
        <f t="shared" si="11"/>
        <v>33408.74888888839</v>
      </c>
      <c r="Y377" s="147"/>
      <c r="Z377" s="117"/>
      <c r="AC377" s="98"/>
    </row>
    <row r="378" spans="22:29" ht="12.75">
      <c r="V378" s="98">
        <v>374</v>
      </c>
      <c r="W378" s="58">
        <f t="shared" si="10"/>
        <v>33.08333333333318</v>
      </c>
      <c r="X378" s="108">
        <f t="shared" si="11"/>
        <v>33678.021041666165</v>
      </c>
      <c r="Y378" s="147"/>
      <c r="Z378" s="117"/>
      <c r="AC378" s="98"/>
    </row>
    <row r="379" spans="22:29" ht="12.75">
      <c r="V379" s="98">
        <v>375</v>
      </c>
      <c r="W379" s="58">
        <f t="shared" si="10"/>
        <v>33.166666666666515</v>
      </c>
      <c r="X379" s="108">
        <f t="shared" si="11"/>
        <v>33948.671666666174</v>
      </c>
      <c r="Y379" s="147"/>
      <c r="Z379" s="117"/>
      <c r="AC379" s="98"/>
    </row>
    <row r="380" spans="22:29" ht="12.75">
      <c r="V380" s="98">
        <v>376</v>
      </c>
      <c r="W380" s="58">
        <f t="shared" si="10"/>
        <v>33.24999999999985</v>
      </c>
      <c r="X380" s="108">
        <f t="shared" si="11"/>
        <v>34220.70423611062</v>
      </c>
      <c r="Y380" s="147"/>
      <c r="Z380" s="117"/>
      <c r="AC380" s="98"/>
    </row>
    <row r="381" spans="22:29" ht="12.75">
      <c r="V381" s="98">
        <v>377</v>
      </c>
      <c r="W381" s="58">
        <f t="shared" si="10"/>
        <v>33.33333333333319</v>
      </c>
      <c r="X381" s="108">
        <f t="shared" si="11"/>
        <v>34494.12222222174</v>
      </c>
      <c r="Y381" s="147"/>
      <c r="Z381" s="117"/>
      <c r="AC381" s="98"/>
    </row>
    <row r="382" spans="22:29" ht="12.75">
      <c r="V382" s="98">
        <v>378</v>
      </c>
      <c r="W382" s="58">
        <f t="shared" si="10"/>
        <v>33.41666666666652</v>
      </c>
      <c r="X382" s="108">
        <f t="shared" si="11"/>
        <v>34768.92909722175</v>
      </c>
      <c r="Y382" s="147"/>
      <c r="Z382" s="117"/>
      <c r="AC382" s="98"/>
    </row>
    <row r="383" spans="22:29" ht="12.75">
      <c r="V383" s="98">
        <v>379</v>
      </c>
      <c r="W383" s="58">
        <f t="shared" si="10"/>
        <v>33.49999999999986</v>
      </c>
      <c r="X383" s="108">
        <f t="shared" si="11"/>
        <v>35045.12833333286</v>
      </c>
      <c r="Y383" s="147"/>
      <c r="Z383" s="117"/>
      <c r="AC383" s="98"/>
    </row>
    <row r="384" spans="22:29" ht="12.75">
      <c r="V384" s="98">
        <v>380</v>
      </c>
      <c r="W384" s="58">
        <f t="shared" si="10"/>
        <v>33.583333333333194</v>
      </c>
      <c r="X384" s="108">
        <f t="shared" si="11"/>
        <v>35322.72340277731</v>
      </c>
      <c r="Y384" s="147"/>
      <c r="Z384" s="117"/>
      <c r="AC384" s="98"/>
    </row>
    <row r="385" spans="22:29" ht="12.75">
      <c r="V385" s="98">
        <v>381</v>
      </c>
      <c r="W385" s="58">
        <f t="shared" si="10"/>
        <v>33.66666666666653</v>
      </c>
      <c r="X385" s="108">
        <f t="shared" si="11"/>
        <v>35601.71777777732</v>
      </c>
      <c r="Y385" s="147"/>
      <c r="Z385" s="117"/>
      <c r="AC385" s="98"/>
    </row>
    <row r="386" spans="22:29" ht="12.75">
      <c r="V386" s="98">
        <v>382</v>
      </c>
      <c r="W386" s="58">
        <f t="shared" si="10"/>
        <v>33.749999999999865</v>
      </c>
      <c r="X386" s="108">
        <f t="shared" si="11"/>
        <v>35882.1149305551</v>
      </c>
      <c r="Y386" s="147"/>
      <c r="Z386" s="117"/>
      <c r="AC386" s="98"/>
    </row>
    <row r="387" spans="22:29" ht="12.75">
      <c r="V387" s="98">
        <v>383</v>
      </c>
      <c r="W387" s="58">
        <f t="shared" si="10"/>
        <v>33.8333333333332</v>
      </c>
      <c r="X387" s="108">
        <f t="shared" si="11"/>
        <v>36163.918333332884</v>
      </c>
      <c r="Y387" s="147"/>
      <c r="Z387" s="117"/>
      <c r="AC387" s="98"/>
    </row>
    <row r="388" spans="22:29" ht="12.75">
      <c r="V388" s="98">
        <v>384</v>
      </c>
      <c r="W388" s="58">
        <f t="shared" si="10"/>
        <v>33.916666666666536</v>
      </c>
      <c r="X388" s="108">
        <f t="shared" si="11"/>
        <v>36447.13145833289</v>
      </c>
      <c r="Y388" s="147"/>
      <c r="Z388" s="117"/>
      <c r="AC388" s="98"/>
    </row>
    <row r="389" spans="22:29" ht="12.75">
      <c r="V389" s="98">
        <v>385</v>
      </c>
      <c r="W389" s="58">
        <f t="shared" si="10"/>
        <v>33.99999999999987</v>
      </c>
      <c r="X389" s="108">
        <f t="shared" si="11"/>
        <v>36731.75777777734</v>
      </c>
      <c r="Y389" s="147"/>
      <c r="Z389" s="117"/>
      <c r="AC389" s="98"/>
    </row>
    <row r="390" spans="22:29" ht="12.75">
      <c r="V390" s="98">
        <v>386</v>
      </c>
      <c r="W390" s="58">
        <f aca="true" t="shared" si="12" ref="W390:W453">$W389+1/12</f>
        <v>34.08333333333321</v>
      </c>
      <c r="X390" s="108">
        <f aca="true" t="shared" si="13" ref="X390:X453">$W390^3-14.14*$N$4*$W390/$N$8-18.85*$N$5/$N$8</f>
        <v>37017.80076388845</v>
      </c>
      <c r="Y390" s="147"/>
      <c r="Z390" s="117"/>
      <c r="AC390" s="98"/>
    </row>
    <row r="391" spans="22:29" ht="12.75">
      <c r="V391" s="98">
        <v>387</v>
      </c>
      <c r="W391" s="58">
        <f t="shared" si="12"/>
        <v>34.16666666666654</v>
      </c>
      <c r="X391" s="108">
        <f t="shared" si="13"/>
        <v>37305.26388888847</v>
      </c>
      <c r="Y391" s="147"/>
      <c r="Z391" s="117"/>
      <c r="AC391" s="98"/>
    </row>
    <row r="392" spans="22:29" ht="12.75">
      <c r="V392" s="98">
        <v>388</v>
      </c>
      <c r="W392" s="58">
        <f t="shared" si="12"/>
        <v>34.24999999999988</v>
      </c>
      <c r="X392" s="108">
        <f t="shared" si="13"/>
        <v>37594.15062499958</v>
      </c>
      <c r="Y392" s="147"/>
      <c r="Z392" s="117"/>
      <c r="AC392" s="98"/>
    </row>
    <row r="393" spans="22:29" ht="12.75">
      <c r="V393" s="98">
        <v>389</v>
      </c>
      <c r="W393" s="58">
        <f t="shared" si="12"/>
        <v>34.333333333333215</v>
      </c>
      <c r="X393" s="108">
        <f t="shared" si="13"/>
        <v>37884.46444444403</v>
      </c>
      <c r="Y393" s="147"/>
      <c r="Z393" s="117"/>
      <c r="AC393" s="98"/>
    </row>
    <row r="394" spans="22:29" ht="12.75">
      <c r="V394" s="98">
        <v>390</v>
      </c>
      <c r="W394" s="58">
        <f t="shared" si="12"/>
        <v>34.41666666666655</v>
      </c>
      <c r="X394" s="108">
        <f t="shared" si="13"/>
        <v>38176.20881944404</v>
      </c>
      <c r="Y394" s="147"/>
      <c r="Z394" s="117"/>
      <c r="AC394" s="98"/>
    </row>
    <row r="395" spans="22:29" ht="12.75">
      <c r="V395" s="98">
        <v>391</v>
      </c>
      <c r="W395" s="58">
        <f t="shared" si="12"/>
        <v>34.499999999999886</v>
      </c>
      <c r="X395" s="108">
        <f t="shared" si="13"/>
        <v>38469.38722222183</v>
      </c>
      <c r="Y395" s="147"/>
      <c r="Z395" s="117"/>
      <c r="AC395" s="98"/>
    </row>
    <row r="396" spans="22:29" ht="12.75">
      <c r="V396" s="98">
        <v>392</v>
      </c>
      <c r="W396" s="58">
        <f t="shared" si="12"/>
        <v>34.58333333333322</v>
      </c>
      <c r="X396" s="108">
        <f t="shared" si="13"/>
        <v>38764.00312499961</v>
      </c>
      <c r="Y396" s="147"/>
      <c r="Z396" s="117"/>
      <c r="AC396" s="98"/>
    </row>
    <row r="397" spans="22:29" ht="12.75">
      <c r="V397" s="98">
        <v>393</v>
      </c>
      <c r="W397" s="58">
        <f t="shared" si="12"/>
        <v>34.66666666666656</v>
      </c>
      <c r="X397" s="108">
        <f t="shared" si="13"/>
        <v>39060.05999999962</v>
      </c>
      <c r="Y397" s="147"/>
      <c r="Z397" s="117"/>
      <c r="AC397" s="98"/>
    </row>
    <row r="398" spans="22:29" ht="12.75">
      <c r="V398" s="98">
        <v>394</v>
      </c>
      <c r="W398" s="58">
        <f t="shared" si="12"/>
        <v>34.74999999999989</v>
      </c>
      <c r="X398" s="108">
        <f t="shared" si="13"/>
        <v>39357.56131944406</v>
      </c>
      <c r="Y398" s="147"/>
      <c r="Z398" s="117"/>
      <c r="AC398" s="98"/>
    </row>
    <row r="399" spans="22:29" ht="12.75">
      <c r="V399" s="98">
        <v>395</v>
      </c>
      <c r="W399" s="58">
        <f t="shared" si="12"/>
        <v>34.83333333333323</v>
      </c>
      <c r="X399" s="108">
        <f t="shared" si="13"/>
        <v>39656.51055555518</v>
      </c>
      <c r="Y399" s="147"/>
      <c r="Z399" s="117"/>
      <c r="AC399" s="98"/>
    </row>
    <row r="400" spans="22:29" ht="12.75">
      <c r="V400" s="98">
        <v>396</v>
      </c>
      <c r="W400" s="58">
        <f t="shared" si="12"/>
        <v>34.916666666666565</v>
      </c>
      <c r="X400" s="108">
        <f t="shared" si="13"/>
        <v>39956.91118055519</v>
      </c>
      <c r="Y400" s="147"/>
      <c r="Z400" s="117"/>
      <c r="AC400" s="98"/>
    </row>
    <row r="401" spans="22:29" ht="12.75">
      <c r="V401" s="98">
        <v>397</v>
      </c>
      <c r="W401" s="58">
        <f t="shared" si="12"/>
        <v>34.9999999999999</v>
      </c>
      <c r="X401" s="108">
        <f t="shared" si="13"/>
        <v>40258.7666666663</v>
      </c>
      <c r="Y401" s="147"/>
      <c r="Z401" s="117"/>
      <c r="AC401" s="98"/>
    </row>
    <row r="402" spans="22:29" ht="12.75">
      <c r="V402" s="98">
        <v>398</v>
      </c>
      <c r="W402" s="58">
        <f t="shared" si="12"/>
        <v>35.083333333333236</v>
      </c>
      <c r="X402" s="108">
        <f t="shared" si="13"/>
        <v>40562.08048611076</v>
      </c>
      <c r="Y402" s="147"/>
      <c r="Z402" s="117"/>
      <c r="AC402" s="98"/>
    </row>
    <row r="403" spans="22:29" ht="12.75">
      <c r="V403" s="98">
        <v>399</v>
      </c>
      <c r="W403" s="58">
        <f t="shared" si="12"/>
        <v>35.16666666666657</v>
      </c>
      <c r="X403" s="108">
        <f t="shared" si="13"/>
        <v>40866.85611111076</v>
      </c>
      <c r="Y403" s="147"/>
      <c r="Z403" s="117"/>
      <c r="AC403" s="98"/>
    </row>
    <row r="404" spans="22:29" ht="12.75">
      <c r="V404" s="98">
        <v>400</v>
      </c>
      <c r="W404" s="58">
        <f t="shared" si="12"/>
        <v>35.24999999999991</v>
      </c>
      <c r="X404" s="108">
        <f t="shared" si="13"/>
        <v>41173.097013888546</v>
      </c>
      <c r="Y404" s="147"/>
      <c r="Z404" s="117"/>
      <c r="AC404" s="98"/>
    </row>
    <row r="405" spans="22:29" ht="12.75">
      <c r="V405" s="98">
        <v>401</v>
      </c>
      <c r="W405" s="58">
        <f t="shared" si="12"/>
        <v>35.33333333333324</v>
      </c>
      <c r="X405" s="108">
        <f t="shared" si="13"/>
        <v>41480.806666666336</v>
      </c>
      <c r="Y405" s="147"/>
      <c r="Z405" s="117"/>
      <c r="AC405" s="98"/>
    </row>
    <row r="406" spans="22:29" ht="12.75">
      <c r="V406" s="98">
        <v>402</v>
      </c>
      <c r="W406" s="58">
        <f t="shared" si="12"/>
        <v>35.41666666666658</v>
      </c>
      <c r="X406" s="108">
        <f t="shared" si="13"/>
        <v>41789.98854166633</v>
      </c>
      <c r="Y406" s="147"/>
      <c r="Z406" s="117"/>
      <c r="AC406" s="98"/>
    </row>
    <row r="407" spans="22:29" ht="12.75">
      <c r="V407" s="98">
        <v>403</v>
      </c>
      <c r="W407" s="58">
        <f t="shared" si="12"/>
        <v>35.499999999999915</v>
      </c>
      <c r="X407" s="108">
        <f t="shared" si="13"/>
        <v>42100.646111110786</v>
      </c>
      <c r="Y407" s="147"/>
      <c r="Z407" s="117"/>
      <c r="AC407" s="98"/>
    </row>
    <row r="408" spans="22:29" ht="12.75">
      <c r="V408" s="98">
        <v>404</v>
      </c>
      <c r="W408" s="58">
        <f t="shared" si="12"/>
        <v>35.58333333333325</v>
      </c>
      <c r="X408" s="108">
        <f t="shared" si="13"/>
        <v>42412.78284722191</v>
      </c>
      <c r="Y408" s="147"/>
      <c r="Z408" s="117"/>
      <c r="AC408" s="98"/>
    </row>
    <row r="409" spans="22:29" ht="12.75">
      <c r="V409" s="98">
        <v>405</v>
      </c>
      <c r="W409" s="58">
        <f t="shared" si="12"/>
        <v>35.666666666666586</v>
      </c>
      <c r="X409" s="108">
        <f t="shared" si="13"/>
        <v>42726.40222222192</v>
      </c>
      <c r="Y409" s="147"/>
      <c r="Z409" s="117"/>
      <c r="AC409" s="98"/>
    </row>
    <row r="410" spans="22:29" ht="12.75">
      <c r="V410" s="98">
        <v>406</v>
      </c>
      <c r="W410" s="58">
        <f t="shared" si="12"/>
        <v>35.74999999999992</v>
      </c>
      <c r="X410" s="108">
        <f t="shared" si="13"/>
        <v>43041.50770833303</v>
      </c>
      <c r="Y410" s="147"/>
      <c r="Z410" s="117"/>
      <c r="AC410" s="98"/>
    </row>
    <row r="411" spans="22:29" ht="12.75">
      <c r="V411" s="98">
        <v>407</v>
      </c>
      <c r="W411" s="58">
        <f t="shared" si="12"/>
        <v>35.83333333333326</v>
      </c>
      <c r="X411" s="108">
        <f t="shared" si="13"/>
        <v>43358.102777777494</v>
      </c>
      <c r="Y411" s="147"/>
      <c r="Z411" s="117"/>
      <c r="AC411" s="98"/>
    </row>
    <row r="412" spans="22:29" ht="12.75">
      <c r="V412" s="98">
        <v>408</v>
      </c>
      <c r="W412" s="58">
        <f t="shared" si="12"/>
        <v>35.91666666666659</v>
      </c>
      <c r="X412" s="108">
        <f t="shared" si="13"/>
        <v>43676.1909027775</v>
      </c>
      <c r="Y412" s="147"/>
      <c r="Z412" s="117"/>
      <c r="AC412" s="98"/>
    </row>
    <row r="413" spans="22:29" ht="12.75">
      <c r="V413" s="98">
        <v>409</v>
      </c>
      <c r="W413" s="58">
        <f t="shared" si="12"/>
        <v>35.99999999999993</v>
      </c>
      <c r="X413" s="108">
        <f t="shared" si="13"/>
        <v>43995.77555555529</v>
      </c>
      <c r="Y413" s="147"/>
      <c r="Z413" s="117"/>
      <c r="AC413" s="98"/>
    </row>
    <row r="414" spans="22:29" ht="12.75">
      <c r="V414" s="98">
        <v>410</v>
      </c>
      <c r="W414" s="58">
        <f t="shared" si="12"/>
        <v>36.083333333333265</v>
      </c>
      <c r="X414" s="108">
        <f t="shared" si="13"/>
        <v>44316.86020833307</v>
      </c>
      <c r="Y414" s="147"/>
      <c r="Z414" s="117"/>
      <c r="AC414" s="98"/>
    </row>
    <row r="415" spans="22:29" ht="12.75">
      <c r="V415" s="98">
        <v>411</v>
      </c>
      <c r="W415" s="58">
        <f t="shared" si="12"/>
        <v>36.1666666666666</v>
      </c>
      <c r="X415" s="108">
        <f t="shared" si="13"/>
        <v>44639.44833333308</v>
      </c>
      <c r="Y415" s="147"/>
      <c r="Z415" s="117"/>
      <c r="AC415" s="98"/>
    </row>
    <row r="416" spans="22:29" ht="12.75">
      <c r="V416" s="98">
        <v>412</v>
      </c>
      <c r="W416" s="58">
        <f t="shared" si="12"/>
        <v>36.249999999999936</v>
      </c>
      <c r="X416" s="108">
        <f t="shared" si="13"/>
        <v>44963.54340277753</v>
      </c>
      <c r="Y416" s="147"/>
      <c r="Z416" s="117"/>
      <c r="AC416" s="98"/>
    </row>
    <row r="417" spans="22:29" ht="12.75">
      <c r="V417" s="98">
        <v>413</v>
      </c>
      <c r="W417" s="58">
        <f t="shared" si="12"/>
        <v>36.33333333333327</v>
      </c>
      <c r="X417" s="108">
        <f t="shared" si="13"/>
        <v>45289.148888888645</v>
      </c>
      <c r="Y417" s="147"/>
      <c r="Z417" s="117"/>
      <c r="AC417" s="98"/>
    </row>
    <row r="418" spans="22:29" ht="12.75">
      <c r="V418" s="98">
        <v>414</v>
      </c>
      <c r="W418" s="58">
        <f t="shared" si="12"/>
        <v>36.41666666666661</v>
      </c>
      <c r="X418" s="108">
        <f t="shared" si="13"/>
        <v>45616.268263888654</v>
      </c>
      <c r="Y418" s="147"/>
      <c r="Z418" s="117"/>
      <c r="AC418" s="98"/>
    </row>
    <row r="419" spans="22:29" ht="12.75">
      <c r="V419" s="98">
        <v>415</v>
      </c>
      <c r="W419" s="58">
        <f t="shared" si="12"/>
        <v>36.49999999999994</v>
      </c>
      <c r="X419" s="108">
        <f t="shared" si="13"/>
        <v>45944.90499999977</v>
      </c>
      <c r="Y419" s="147"/>
      <c r="Z419" s="117"/>
      <c r="AC419" s="98"/>
    </row>
    <row r="420" spans="22:29" ht="12.75">
      <c r="V420" s="98">
        <v>416</v>
      </c>
      <c r="W420" s="58">
        <f t="shared" si="12"/>
        <v>36.58333333333328</v>
      </c>
      <c r="X420" s="108">
        <f t="shared" si="13"/>
        <v>46275.06256944422</v>
      </c>
      <c r="Y420" s="147"/>
      <c r="Z420" s="117"/>
      <c r="AC420" s="98"/>
    </row>
    <row r="421" spans="22:29" ht="12.75">
      <c r="V421" s="98">
        <v>417</v>
      </c>
      <c r="W421" s="58">
        <f t="shared" si="12"/>
        <v>36.666666666666615</v>
      </c>
      <c r="X421" s="108">
        <f t="shared" si="13"/>
        <v>46606.74444444424</v>
      </c>
      <c r="Y421" s="147"/>
      <c r="Z421" s="117"/>
      <c r="AC421" s="98"/>
    </row>
    <row r="422" spans="22:29" ht="12.75">
      <c r="V422" s="98">
        <v>418</v>
      </c>
      <c r="W422" s="58">
        <f t="shared" si="12"/>
        <v>36.74999999999995</v>
      </c>
      <c r="X422" s="108">
        <f t="shared" si="13"/>
        <v>46939.95409722202</v>
      </c>
      <c r="Y422" s="147"/>
      <c r="Z422" s="117"/>
      <c r="AC422" s="98"/>
    </row>
    <row r="423" spans="22:29" ht="12.75">
      <c r="V423" s="98">
        <v>419</v>
      </c>
      <c r="W423" s="58">
        <f t="shared" si="12"/>
        <v>36.833333333333286</v>
      </c>
      <c r="X423" s="108">
        <f t="shared" si="13"/>
        <v>47274.69499999981</v>
      </c>
      <c r="Y423" s="147"/>
      <c r="Z423" s="117"/>
      <c r="AC423" s="98"/>
    </row>
    <row r="424" spans="22:29" ht="12.75">
      <c r="V424" s="98">
        <v>420</v>
      </c>
      <c r="W424" s="58">
        <f t="shared" si="12"/>
        <v>36.91666666666662</v>
      </c>
      <c r="X424" s="108">
        <f t="shared" si="13"/>
        <v>47610.97062499982</v>
      </c>
      <c r="Y424" s="147"/>
      <c r="Z424" s="117"/>
      <c r="AC424" s="98"/>
    </row>
    <row r="425" spans="22:29" ht="12.75">
      <c r="V425" s="98">
        <v>421</v>
      </c>
      <c r="W425" s="58">
        <f t="shared" si="12"/>
        <v>36.99999999999996</v>
      </c>
      <c r="X425" s="108">
        <f t="shared" si="13"/>
        <v>47948.784444444274</v>
      </c>
      <c r="Y425" s="147"/>
      <c r="Z425" s="117"/>
      <c r="AC425" s="98"/>
    </row>
    <row r="426" spans="22:29" ht="12.75">
      <c r="V426" s="98">
        <v>422</v>
      </c>
      <c r="W426" s="58">
        <f t="shared" si="12"/>
        <v>37.08333333333329</v>
      </c>
      <c r="X426" s="108">
        <f t="shared" si="13"/>
        <v>48288.139930555386</v>
      </c>
      <c r="Y426" s="147"/>
      <c r="Z426" s="117"/>
      <c r="AC426" s="98"/>
    </row>
    <row r="427" spans="22:29" ht="12.75">
      <c r="V427" s="98">
        <v>423</v>
      </c>
      <c r="W427" s="58">
        <f t="shared" si="12"/>
        <v>37.16666666666663</v>
      </c>
      <c r="X427" s="108">
        <f t="shared" si="13"/>
        <v>48629.0405555554</v>
      </c>
      <c r="Y427" s="147"/>
      <c r="Z427" s="117"/>
      <c r="AC427" s="98"/>
    </row>
    <row r="428" spans="22:29" ht="12.75">
      <c r="V428" s="98">
        <v>424</v>
      </c>
      <c r="W428" s="58">
        <f t="shared" si="12"/>
        <v>37.249999999999964</v>
      </c>
      <c r="X428" s="108">
        <f t="shared" si="13"/>
        <v>48971.489791666514</v>
      </c>
      <c r="Y428" s="147"/>
      <c r="Z428" s="117"/>
      <c r="AC428" s="98"/>
    </row>
    <row r="429" spans="22:29" ht="12.75">
      <c r="V429" s="98">
        <v>425</v>
      </c>
      <c r="W429" s="58">
        <f t="shared" si="12"/>
        <v>37.3333333333333</v>
      </c>
      <c r="X429" s="108">
        <f t="shared" si="13"/>
        <v>49315.491111110976</v>
      </c>
      <c r="Y429" s="147"/>
      <c r="Z429" s="117"/>
      <c r="AC429" s="98"/>
    </row>
    <row r="430" spans="22:29" ht="12.75">
      <c r="V430" s="98">
        <v>426</v>
      </c>
      <c r="W430" s="58">
        <f t="shared" si="12"/>
        <v>37.416666666666636</v>
      </c>
      <c r="X430" s="108">
        <f t="shared" si="13"/>
        <v>49661.04798611098</v>
      </c>
      <c r="Y430" s="147"/>
      <c r="Z430" s="117"/>
      <c r="AC430" s="98"/>
    </row>
    <row r="431" spans="22:29" ht="12.75">
      <c r="V431" s="98">
        <v>427</v>
      </c>
      <c r="W431" s="58">
        <f t="shared" si="12"/>
        <v>37.49999999999997</v>
      </c>
      <c r="X431" s="108">
        <f t="shared" si="13"/>
        <v>50008.163888888776</v>
      </c>
      <c r="Y431" s="147"/>
      <c r="Z431" s="117"/>
      <c r="AC431" s="98"/>
    </row>
    <row r="432" spans="22:29" ht="12.75">
      <c r="V432" s="98">
        <v>428</v>
      </c>
      <c r="W432" s="58">
        <f t="shared" si="12"/>
        <v>37.58333333333331</v>
      </c>
      <c r="X432" s="108">
        <f t="shared" si="13"/>
        <v>50356.84229166656</v>
      </c>
      <c r="Y432" s="147"/>
      <c r="Z432" s="117"/>
      <c r="AC432" s="98"/>
    </row>
    <row r="433" spans="22:29" ht="12.75">
      <c r="V433" s="98">
        <v>429</v>
      </c>
      <c r="W433" s="58">
        <f t="shared" si="12"/>
        <v>37.66666666666664</v>
      </c>
      <c r="X433" s="108">
        <f t="shared" si="13"/>
        <v>50707.08666666656</v>
      </c>
      <c r="Y433" s="147"/>
      <c r="Z433" s="117"/>
      <c r="AC433" s="98"/>
    </row>
    <row r="434" spans="22:29" ht="12.75">
      <c r="V434" s="98">
        <v>430</v>
      </c>
      <c r="W434" s="58">
        <f t="shared" si="12"/>
        <v>37.74999999999998</v>
      </c>
      <c r="X434" s="108">
        <f t="shared" si="13"/>
        <v>51058.90048611102</v>
      </c>
      <c r="Y434" s="147"/>
      <c r="Z434" s="117"/>
      <c r="AC434" s="98"/>
    </row>
    <row r="435" spans="22:29" ht="12.75">
      <c r="V435" s="98">
        <v>431</v>
      </c>
      <c r="W435" s="58">
        <f t="shared" si="12"/>
        <v>37.833333333333314</v>
      </c>
      <c r="X435" s="108">
        <f t="shared" si="13"/>
        <v>51412.28722222214</v>
      </c>
      <c r="Y435" s="147"/>
      <c r="Z435" s="117"/>
      <c r="AC435" s="98"/>
    </row>
    <row r="436" spans="22:29" ht="12.75">
      <c r="V436" s="98">
        <v>432</v>
      </c>
      <c r="W436" s="58">
        <f t="shared" si="12"/>
        <v>37.91666666666665</v>
      </c>
      <c r="X436" s="108">
        <f t="shared" si="13"/>
        <v>51767.25034722216</v>
      </c>
      <c r="Y436" s="147"/>
      <c r="Z436" s="117"/>
      <c r="AC436" s="98"/>
    </row>
    <row r="437" spans="22:29" ht="12.75">
      <c r="V437" s="98">
        <v>433</v>
      </c>
      <c r="W437" s="58">
        <f t="shared" si="12"/>
        <v>37.999999999999986</v>
      </c>
      <c r="X437" s="108">
        <f t="shared" si="13"/>
        <v>52123.79333333327</v>
      </c>
      <c r="Y437" s="147"/>
      <c r="Z437" s="117"/>
      <c r="AC437" s="98"/>
    </row>
    <row r="438" spans="22:29" ht="12.75">
      <c r="V438" s="98">
        <v>434</v>
      </c>
      <c r="W438" s="58">
        <f t="shared" si="12"/>
        <v>38.08333333333332</v>
      </c>
      <c r="X438" s="108">
        <f t="shared" si="13"/>
        <v>52481.91965277773</v>
      </c>
      <c r="Y438" s="147"/>
      <c r="Z438" s="117"/>
      <c r="AC438" s="98"/>
    </row>
    <row r="439" spans="22:29" ht="12.75">
      <c r="V439" s="98">
        <v>435</v>
      </c>
      <c r="W439" s="58">
        <f t="shared" si="12"/>
        <v>38.16666666666666</v>
      </c>
      <c r="X439" s="108">
        <f t="shared" si="13"/>
        <v>52841.63277777774</v>
      </c>
      <c r="Y439" s="147"/>
      <c r="Z439" s="117"/>
      <c r="AC439" s="98"/>
    </row>
    <row r="440" spans="22:29" ht="12.75">
      <c r="V440" s="98">
        <v>436</v>
      </c>
      <c r="W440" s="58">
        <f t="shared" si="12"/>
        <v>38.24999999999999</v>
      </c>
      <c r="X440" s="108">
        <f t="shared" si="13"/>
        <v>53202.93618055552</v>
      </c>
      <c r="Y440" s="147"/>
      <c r="Z440" s="117"/>
      <c r="AC440" s="98"/>
    </row>
    <row r="441" spans="22:29" ht="12.75">
      <c r="V441" s="98">
        <v>437</v>
      </c>
      <c r="W441" s="58">
        <f t="shared" si="12"/>
        <v>38.33333333333333</v>
      </c>
      <c r="X441" s="108">
        <f t="shared" si="13"/>
        <v>53565.833333333314</v>
      </c>
      <c r="Y441" s="147"/>
      <c r="Z441" s="117"/>
      <c r="AC441" s="98"/>
    </row>
    <row r="442" spans="22:29" ht="12.75">
      <c r="V442" s="98">
        <v>438</v>
      </c>
      <c r="W442" s="58">
        <f t="shared" si="12"/>
        <v>38.416666666666664</v>
      </c>
      <c r="X442" s="108">
        <f t="shared" si="13"/>
        <v>53930.32770833332</v>
      </c>
      <c r="Y442" s="147"/>
      <c r="Z442" s="117"/>
      <c r="AC442" s="98"/>
    </row>
    <row r="443" spans="22:29" ht="12.75">
      <c r="V443" s="98">
        <v>439</v>
      </c>
      <c r="W443" s="58">
        <f t="shared" si="12"/>
        <v>38.5</v>
      </c>
      <c r="X443" s="108">
        <f t="shared" si="13"/>
        <v>54296.42277777778</v>
      </c>
      <c r="Y443" s="147"/>
      <c r="Z443" s="117"/>
      <c r="AC443" s="98"/>
    </row>
    <row r="444" spans="22:29" ht="12.75">
      <c r="V444" s="98">
        <v>440</v>
      </c>
      <c r="W444" s="58">
        <f t="shared" si="12"/>
        <v>38.583333333333336</v>
      </c>
      <c r="X444" s="108">
        <f t="shared" si="13"/>
        <v>54664.122013888904</v>
      </c>
      <c r="Y444" s="147"/>
      <c r="Z444" s="117"/>
      <c r="AC444" s="98"/>
    </row>
    <row r="445" spans="22:29" ht="12.75">
      <c r="V445" s="98">
        <v>441</v>
      </c>
      <c r="W445" s="58">
        <f t="shared" si="12"/>
        <v>38.66666666666667</v>
      </c>
      <c r="X445" s="108">
        <f t="shared" si="13"/>
        <v>55033.42888888891</v>
      </c>
      <c r="Y445" s="147"/>
      <c r="Z445" s="117"/>
      <c r="AC445" s="98"/>
    </row>
    <row r="446" spans="22:29" ht="12.75">
      <c r="V446" s="98">
        <v>442</v>
      </c>
      <c r="W446" s="58">
        <f t="shared" si="12"/>
        <v>38.75000000000001</v>
      </c>
      <c r="X446" s="108">
        <f t="shared" si="13"/>
        <v>55404.34687500003</v>
      </c>
      <c r="Y446" s="147"/>
      <c r="Z446" s="117"/>
      <c r="AC446" s="98"/>
    </row>
    <row r="447" spans="22:29" ht="12.75">
      <c r="V447" s="98">
        <v>443</v>
      </c>
      <c r="W447" s="58">
        <f t="shared" si="12"/>
        <v>38.83333333333334</v>
      </c>
      <c r="X447" s="108">
        <f t="shared" si="13"/>
        <v>55776.87944444449</v>
      </c>
      <c r="Y447" s="147"/>
      <c r="Z447" s="117"/>
      <c r="AC447" s="98"/>
    </row>
    <row r="448" spans="22:29" ht="12.75">
      <c r="V448" s="98">
        <v>444</v>
      </c>
      <c r="W448" s="58">
        <f t="shared" si="12"/>
        <v>38.91666666666668</v>
      </c>
      <c r="X448" s="108">
        <f t="shared" si="13"/>
        <v>56151.03006944449</v>
      </c>
      <c r="Y448" s="147"/>
      <c r="Z448" s="117"/>
      <c r="AC448" s="98"/>
    </row>
    <row r="449" spans="22:29" ht="12.75">
      <c r="V449" s="98">
        <v>445</v>
      </c>
      <c r="W449" s="58">
        <f t="shared" si="12"/>
        <v>39.000000000000014</v>
      </c>
      <c r="X449" s="108">
        <f t="shared" si="13"/>
        <v>56526.802222222286</v>
      </c>
      <c r="Y449" s="147"/>
      <c r="Z449" s="117"/>
      <c r="AC449" s="98"/>
    </row>
    <row r="450" spans="22:29" ht="12.75">
      <c r="V450" s="98">
        <v>446</v>
      </c>
      <c r="W450" s="58">
        <f t="shared" si="12"/>
        <v>39.08333333333335</v>
      </c>
      <c r="X450" s="108">
        <f t="shared" si="13"/>
        <v>56904.19937500008</v>
      </c>
      <c r="Y450" s="147"/>
      <c r="Z450" s="117"/>
      <c r="AC450" s="98"/>
    </row>
    <row r="451" spans="22:29" ht="12.75">
      <c r="V451" s="98">
        <v>447</v>
      </c>
      <c r="W451" s="58">
        <f t="shared" si="12"/>
        <v>39.166666666666686</v>
      </c>
      <c r="X451" s="108">
        <f t="shared" si="13"/>
        <v>57283.225000000086</v>
      </c>
      <c r="Y451" s="147"/>
      <c r="Z451" s="117"/>
      <c r="AC451" s="98"/>
    </row>
    <row r="452" spans="22:29" ht="12.75">
      <c r="V452" s="98">
        <v>448</v>
      </c>
      <c r="W452" s="58">
        <f t="shared" si="12"/>
        <v>39.25000000000002</v>
      </c>
      <c r="X452" s="108">
        <f t="shared" si="13"/>
        <v>57663.88256944454</v>
      </c>
      <c r="Y452" s="147"/>
      <c r="Z452" s="117"/>
      <c r="AC452" s="98"/>
    </row>
    <row r="453" spans="22:29" ht="12.75">
      <c r="V453" s="98">
        <v>449</v>
      </c>
      <c r="W453" s="58">
        <f t="shared" si="12"/>
        <v>39.33333333333336</v>
      </c>
      <c r="X453" s="108">
        <f t="shared" si="13"/>
        <v>58046.17555555566</v>
      </c>
      <c r="Y453" s="147"/>
      <c r="Z453" s="117"/>
      <c r="AC453" s="98"/>
    </row>
    <row r="454" spans="22:29" ht="12.75">
      <c r="V454" s="98">
        <v>450</v>
      </c>
      <c r="W454" s="58">
        <f aca="true" t="shared" si="14" ref="W454:W461">$W453+1/12</f>
        <v>39.41666666666669</v>
      </c>
      <c r="X454" s="108">
        <f aca="true" t="shared" si="15" ref="X454:X461">$W454^3-14.14*$N$4*$W454/$N$8-18.85*$N$5/$N$8</f>
        <v>58430.10743055567</v>
      </c>
      <c r="Y454" s="147"/>
      <c r="Z454" s="117"/>
      <c r="AC454" s="98"/>
    </row>
    <row r="455" spans="22:29" ht="12.75">
      <c r="V455" s="98">
        <v>451</v>
      </c>
      <c r="W455" s="58">
        <f t="shared" si="14"/>
        <v>39.50000000000003</v>
      </c>
      <c r="X455" s="108">
        <f t="shared" si="15"/>
        <v>58815.681666666795</v>
      </c>
      <c r="Y455" s="147"/>
      <c r="Z455" s="117"/>
      <c r="AC455" s="98"/>
    </row>
    <row r="456" spans="22:29" ht="12.75">
      <c r="V456" s="98">
        <v>452</v>
      </c>
      <c r="W456" s="58">
        <f t="shared" si="14"/>
        <v>39.583333333333364</v>
      </c>
      <c r="X456" s="108">
        <f t="shared" si="15"/>
        <v>59202.90173611125</v>
      </c>
      <c r="Y456" s="147"/>
      <c r="Z456" s="117"/>
      <c r="AC456" s="98"/>
    </row>
    <row r="457" spans="22:29" ht="12.75">
      <c r="V457" s="98">
        <v>453</v>
      </c>
      <c r="W457" s="58">
        <f t="shared" si="14"/>
        <v>39.6666666666667</v>
      </c>
      <c r="X457" s="108">
        <f t="shared" si="15"/>
        <v>59591.771111111266</v>
      </c>
      <c r="Y457" s="147"/>
      <c r="Z457" s="117"/>
      <c r="AC457" s="98"/>
    </row>
    <row r="458" spans="22:26" ht="12.75">
      <c r="V458" s="98">
        <v>454</v>
      </c>
      <c r="W458" s="58">
        <f t="shared" si="14"/>
        <v>39.750000000000036</v>
      </c>
      <c r="X458" s="108">
        <f t="shared" si="15"/>
        <v>59982.293263889056</v>
      </c>
      <c r="Y458" s="147"/>
      <c r="Z458" s="117"/>
    </row>
    <row r="459" spans="22:24" ht="12.75">
      <c r="V459" s="98">
        <v>455</v>
      </c>
      <c r="W459" s="58">
        <f t="shared" si="14"/>
        <v>39.83333333333337</v>
      </c>
      <c r="X459" s="108">
        <f t="shared" si="15"/>
        <v>60374.471666666854</v>
      </c>
    </row>
    <row r="460" spans="22:24" ht="12.75">
      <c r="V460" s="98">
        <v>456</v>
      </c>
      <c r="W460" s="58">
        <f t="shared" si="14"/>
        <v>39.91666666666671</v>
      </c>
      <c r="X460" s="108">
        <f t="shared" si="15"/>
        <v>60768.309791666856</v>
      </c>
    </row>
    <row r="461" spans="22:24" ht="12.75">
      <c r="V461" s="98">
        <v>457</v>
      </c>
      <c r="W461" s="58">
        <f t="shared" si="14"/>
        <v>40.00000000000004</v>
      </c>
      <c r="X461" s="108">
        <f t="shared" si="15"/>
        <v>61163.81111111131</v>
      </c>
    </row>
    <row r="462" spans="22:26" ht="12.75">
      <c r="V462" s="104" t="s">
        <v>23</v>
      </c>
      <c r="W462" s="100" t="str">
        <f>"Trial 'L'"</f>
        <v>Trial 'L'</v>
      </c>
      <c r="X462" s="101" t="s">
        <v>24</v>
      </c>
      <c r="Y462" s="62"/>
      <c r="Z462" s="62"/>
    </row>
    <row r="463" spans="22:26" ht="12.75">
      <c r="V463" s="133">
        <f>LOOKUP($W$463,$W$5:$W$461,$V$5:$V$461)</f>
        <v>117</v>
      </c>
      <c r="W463" s="102">
        <f>LOOKUP(0,$X$5:$X$461,$W$5:$W$461)</f>
        <v>11.666666666666682</v>
      </c>
      <c r="X463" s="199">
        <f>LOOKUP($V$463,$V$5:$V$461,$X$5:$X$461)</f>
        <v>-1.811111111106129</v>
      </c>
      <c r="Y463" s="98" t="s">
        <v>28</v>
      </c>
      <c r="Z463" s="62"/>
    </row>
    <row r="464" spans="22:26" ht="12.75">
      <c r="V464" s="133">
        <f>$V$463+1</f>
        <v>118</v>
      </c>
      <c r="W464" s="102">
        <f>LOOKUP($V$464,$V$5:$V$461,$W$5:$W$461)</f>
        <v>11.750000000000016</v>
      </c>
      <c r="X464" s="199">
        <f>LOOKUP($V$464,$V$5:$V$461,$X$5:$X$461)</f>
        <v>28.794375000005175</v>
      </c>
      <c r="Y464" s="98" t="s">
        <v>29</v>
      </c>
      <c r="Z464" s="62"/>
    </row>
    <row r="465" spans="22:26" ht="12.75">
      <c r="V465" s="106" t="str">
        <f>"Interpolating between L("&amp;$V$463&amp;") and L("&amp;$V$464&amp;") to find where value = 0:"</f>
        <v>Interpolating between L(117) and L(118) to find where value = 0:</v>
      </c>
      <c r="Z465" s="62"/>
    </row>
    <row r="466" spans="22:26" ht="12.75">
      <c r="V466" s="69" t="s">
        <v>18</v>
      </c>
      <c r="W466" s="102">
        <f>($W$464-$W$463)*(0-$X$463)/($X$464-$X$463)+$W$463</f>
        <v>11.671598002355244</v>
      </c>
      <c r="X466" s="70" t="s">
        <v>3</v>
      </c>
      <c r="Y466" s="62"/>
      <c r="Z466" s="62"/>
    </row>
    <row r="467" spans="22:24" ht="12.75">
      <c r="V467" s="98"/>
      <c r="W467" s="58"/>
      <c r="X467" s="108"/>
    </row>
    <row r="468" spans="22:24" ht="12.75">
      <c r="V468" s="98"/>
      <c r="W468" s="58"/>
      <c r="X468" s="108"/>
    </row>
    <row r="469" spans="22:24" ht="12.75">
      <c r="V469" s="98"/>
      <c r="W469" s="58"/>
      <c r="X469" s="108"/>
    </row>
    <row r="470" spans="22:26" ht="12.75">
      <c r="V470" s="98"/>
      <c r="W470" s="58"/>
      <c r="X470" s="108"/>
      <c r="Y470" s="98"/>
      <c r="Z470" s="62"/>
    </row>
    <row r="471" spans="22:26" ht="12.75">
      <c r="V471" s="98"/>
      <c r="W471" s="58"/>
      <c r="X471" s="108"/>
      <c r="Y471" s="98"/>
      <c r="Z471" s="62"/>
    </row>
    <row r="472" spans="22:26" ht="12.75">
      <c r="V472" s="98"/>
      <c r="W472" s="58"/>
      <c r="X472" s="108"/>
      <c r="Z472" s="62"/>
    </row>
    <row r="473" spans="22:26" ht="12.75">
      <c r="V473" s="98"/>
      <c r="W473" s="58"/>
      <c r="X473" s="108"/>
      <c r="Y473" s="62"/>
      <c r="Z473" s="62"/>
    </row>
    <row r="474" spans="22:24" ht="12.75">
      <c r="V474" s="98"/>
      <c r="W474" s="58"/>
      <c r="X474" s="108"/>
    </row>
    <row r="475" spans="22:26" ht="12.75">
      <c r="V475" s="98"/>
      <c r="W475" s="58"/>
      <c r="X475" s="108"/>
      <c r="Y475" s="62"/>
      <c r="Z475" s="62"/>
    </row>
    <row r="476" spans="22:26" ht="12.75">
      <c r="V476" s="98"/>
      <c r="W476" s="58"/>
      <c r="X476" s="108"/>
      <c r="Y476" s="98"/>
      <c r="Z476" s="62"/>
    </row>
    <row r="477" spans="22:26" ht="12.75">
      <c r="V477" s="98"/>
      <c r="W477" s="58"/>
      <c r="X477" s="108"/>
      <c r="Y477" s="98"/>
      <c r="Z477" s="62"/>
    </row>
    <row r="478" spans="22:26" ht="12.75">
      <c r="V478" s="98"/>
      <c r="W478" s="58"/>
      <c r="X478" s="108"/>
      <c r="Z478" s="62"/>
    </row>
    <row r="479" spans="22:26" ht="12.75">
      <c r="V479" s="98"/>
      <c r="W479" s="58"/>
      <c r="X479" s="108"/>
      <c r="Y479" s="62"/>
      <c r="Z479" s="62"/>
    </row>
    <row r="480" spans="22:24" ht="12.75">
      <c r="V480" s="98"/>
      <c r="W480" s="58"/>
      <c r="X480" s="108"/>
    </row>
    <row r="481" spans="22:24" ht="12.75">
      <c r="V481" s="98"/>
      <c r="W481" s="58"/>
      <c r="X481" s="108"/>
    </row>
    <row r="482" spans="22:24" ht="12.75">
      <c r="V482" s="98"/>
      <c r="W482" s="58"/>
      <c r="X482" s="108"/>
    </row>
    <row r="483" spans="22:24" ht="12.75">
      <c r="V483" s="98"/>
      <c r="W483" s="58"/>
      <c r="X483" s="108"/>
    </row>
    <row r="484" spans="22:24" ht="12.75">
      <c r="V484" s="98"/>
      <c r="W484" s="58"/>
      <c r="X484" s="108"/>
    </row>
    <row r="485" spans="22:24" ht="12.75">
      <c r="V485" s="98"/>
      <c r="W485" s="58"/>
      <c r="X485" s="108"/>
    </row>
    <row r="486" spans="22:24" ht="12.75">
      <c r="V486" s="98"/>
      <c r="W486" s="58"/>
      <c r="X486" s="108"/>
    </row>
    <row r="487" spans="22:24" ht="12.75">
      <c r="V487" s="98"/>
      <c r="W487" s="58"/>
      <c r="X487" s="108"/>
    </row>
    <row r="488" spans="22:24" ht="12.75">
      <c r="V488" s="98"/>
      <c r="W488" s="58"/>
      <c r="X488" s="108"/>
    </row>
    <row r="489" spans="22:24" ht="12.75">
      <c r="V489" s="98"/>
      <c r="W489" s="58"/>
      <c r="X489" s="108"/>
    </row>
    <row r="490" spans="22:24" ht="12.75">
      <c r="V490" s="98"/>
      <c r="W490" s="58"/>
      <c r="X490" s="108"/>
    </row>
    <row r="491" spans="22:24" ht="12.75">
      <c r="V491" s="98"/>
      <c r="W491" s="58"/>
      <c r="X491" s="108"/>
    </row>
    <row r="492" spans="22:24" ht="12.75">
      <c r="V492" s="98"/>
      <c r="W492" s="58"/>
      <c r="X492" s="108"/>
    </row>
    <row r="493" spans="22:24" ht="12.75">
      <c r="V493" s="98"/>
      <c r="W493" s="58"/>
      <c r="X493" s="108"/>
    </row>
    <row r="494" spans="22:24" ht="12.75">
      <c r="V494" s="98"/>
      <c r="W494" s="58"/>
      <c r="X494" s="108"/>
    </row>
    <row r="495" spans="22:24" ht="12.75">
      <c r="V495" s="98"/>
      <c r="W495" s="58"/>
      <c r="X495" s="108"/>
    </row>
    <row r="496" spans="22:24" ht="12.75">
      <c r="V496" s="98"/>
      <c r="W496" s="58"/>
      <c r="X496" s="108"/>
    </row>
    <row r="497" spans="22:24" ht="12.75">
      <c r="V497" s="98"/>
      <c r="W497" s="58"/>
      <c r="X497" s="108"/>
    </row>
    <row r="498" spans="22:24" ht="12.75">
      <c r="V498" s="98"/>
      <c r="W498" s="58"/>
      <c r="X498" s="108"/>
    </row>
    <row r="499" spans="22:24" ht="12.75">
      <c r="V499" s="98"/>
      <c r="W499" s="58"/>
      <c r="X499" s="108"/>
    </row>
    <row r="500" spans="22:24" ht="12.75">
      <c r="V500" s="98"/>
      <c r="W500" s="58"/>
      <c r="X500" s="108"/>
    </row>
    <row r="501" spans="22:24" ht="12.75">
      <c r="V501" s="98"/>
      <c r="W501" s="58"/>
      <c r="X501" s="108"/>
    </row>
    <row r="502" spans="22:24" ht="12.75">
      <c r="V502" s="98"/>
      <c r="W502" s="58"/>
      <c r="X502" s="108"/>
    </row>
    <row r="503" spans="22:24" ht="12.75">
      <c r="V503" s="98"/>
      <c r="W503" s="58"/>
      <c r="X503" s="108"/>
    </row>
    <row r="504" spans="22:24" ht="12.75">
      <c r="V504" s="98"/>
      <c r="W504" s="58"/>
      <c r="X504" s="108"/>
    </row>
  </sheetData>
  <sheetProtection sheet="1" objects="1" scenarios="1"/>
  <dataValidations count="1">
    <dataValidation type="list" allowBlank="1" showInputMessage="1" showErrorMessage="1" errorTitle="Warning!" error="Invalid concrete compressive strength" sqref="D12">
      <formula1>$K$3:$K$9</formula1>
    </dataValidation>
  </dataValidations>
  <printOptions/>
  <pageMargins left="1" right="0.5" top="1" bottom="1" header="0.5" footer="0.5"/>
  <pageSetup horizontalDpi="300" verticalDpi="300" orientation="portrait" scale="97" r:id="rId4"/>
  <headerFooter alignWithMargins="0">
    <oddHeader>&amp;R"POLEFDN.xls" Program
Version 2.4</oddHeader>
    <oddFooter>&amp;C&amp;P of &amp;N&amp;R&amp;D  &amp;T</oddFooter>
  </headerFooter>
  <rowBreaks count="3" manualBreakCount="3">
    <brk id="52" max="8" man="1"/>
    <brk id="150" max="8" man="1"/>
    <brk id="200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79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4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97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338</v>
      </c>
      <c r="AB1" s="98"/>
      <c r="AC1" s="98"/>
      <c r="AD1" s="62"/>
      <c r="AE1" s="123"/>
      <c r="AF1" s="123"/>
    </row>
    <row r="2" spans="1:32" ht="12.75">
      <c r="A2" s="77" t="s">
        <v>325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M3" s="138" t="s">
        <v>59</v>
      </c>
      <c r="N3" s="98"/>
      <c r="O3" s="101"/>
      <c r="P3" s="144"/>
      <c r="V3" s="70" t="s">
        <v>148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133</v>
      </c>
      <c r="G4" s="156"/>
      <c r="H4" s="157"/>
      <c r="I4" s="158"/>
      <c r="J4" s="50"/>
      <c r="K4" s="102"/>
      <c r="L4" s="70"/>
      <c r="M4" s="69" t="s">
        <v>86</v>
      </c>
      <c r="N4" s="101">
        <f>$D$21+($D$23/($D$22+$D$11+$D$16))</f>
        <v>10.133</v>
      </c>
      <c r="O4" s="70" t="s">
        <v>7</v>
      </c>
      <c r="P4" s="51" t="s">
        <v>95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132</v>
      </c>
      <c r="G5" s="191"/>
      <c r="H5" s="155" t="s">
        <v>131</v>
      </c>
      <c r="I5" s="191"/>
      <c r="J5" s="50"/>
      <c r="K5" s="102"/>
      <c r="L5" s="70"/>
      <c r="M5" s="69" t="s">
        <v>308</v>
      </c>
      <c r="N5" s="102">
        <f>VLOOKUP($D$17,$N$20:$Q$24,4,FALSE)</f>
        <v>0.4</v>
      </c>
      <c r="O5" s="70" t="s">
        <v>13</v>
      </c>
      <c r="P5" s="51" t="s">
        <v>309</v>
      </c>
      <c r="V5" s="98">
        <v>1</v>
      </c>
      <c r="W5" s="58">
        <f>2</f>
        <v>2</v>
      </c>
      <c r="X5" s="41">
        <f aca="true" t="shared" si="0" ref="X5:X68">$W5-0.5*(2.34*$N$4/($N$5*$W5/3*$D$10))*(1+SQRT(1+(4.36*($D$22+$D$11+$D$16)/(2.34*$N$4/($N$5*$W5/3*$D$10)))))</f>
        <v>-53.5455574656987</v>
      </c>
      <c r="Z5" s="11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69" t="s">
        <v>88</v>
      </c>
      <c r="N6" s="102">
        <f>$N$5*$N$8/3</f>
        <v>1.9802370071729243</v>
      </c>
      <c r="O6" s="70" t="s">
        <v>13</v>
      </c>
      <c r="P6" s="51" t="s">
        <v>318</v>
      </c>
      <c r="V6" s="98">
        <v>2</v>
      </c>
      <c r="W6" s="58">
        <f aca="true" t="shared" si="1" ref="W6:W69">$W5+1/12</f>
        <v>2.0833333333333335</v>
      </c>
      <c r="X6" s="41">
        <f t="shared" si="0"/>
        <v>-51.82346012259923</v>
      </c>
      <c r="Z6" s="11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69" t="s">
        <v>85</v>
      </c>
      <c r="N7" s="102">
        <f>(2.34*$N$4/($N$6*$D$10))</f>
        <v>4.789572139923029</v>
      </c>
      <c r="O7" s="70"/>
      <c r="P7" s="51" t="s">
        <v>87</v>
      </c>
      <c r="V7" s="98">
        <v>3</v>
      </c>
      <c r="W7" s="58">
        <f t="shared" si="1"/>
        <v>2.166666666666667</v>
      </c>
      <c r="X7" s="41">
        <f t="shared" si="0"/>
        <v>-50.21868448776414</v>
      </c>
      <c r="Z7" s="11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/>
      <c r="L8" s="70"/>
      <c r="M8" s="69" t="s">
        <v>18</v>
      </c>
      <c r="N8" s="73">
        <f>$W$467</f>
        <v>14.85177755379693</v>
      </c>
      <c r="O8" s="70" t="s">
        <v>3</v>
      </c>
      <c r="P8" s="51" t="s">
        <v>305</v>
      </c>
      <c r="V8" s="98">
        <v>4</v>
      </c>
      <c r="W8" s="58">
        <f t="shared" si="1"/>
        <v>2.2500000000000004</v>
      </c>
      <c r="X8" s="41">
        <f t="shared" si="0"/>
        <v>-48.71857632321493</v>
      </c>
      <c r="Z8" s="117"/>
      <c r="AB8" s="125"/>
      <c r="AC8" s="98"/>
      <c r="AD8" s="46"/>
      <c r="AE8" s="46"/>
      <c r="AF8" s="46"/>
    </row>
    <row r="9" spans="1:32" ht="12.75">
      <c r="A9" s="151" t="s">
        <v>109</v>
      </c>
      <c r="B9" s="10"/>
      <c r="C9" s="10"/>
      <c r="D9" s="10"/>
      <c r="E9" s="10"/>
      <c r="F9" s="13"/>
      <c r="G9" s="81" t="str">
        <f>"Pv="&amp;$D$20&amp;" k"</f>
        <v>Pv=3 k</v>
      </c>
      <c r="H9" s="6"/>
      <c r="I9" s="14"/>
      <c r="J9" s="46"/>
      <c r="K9" s="108"/>
      <c r="L9" s="70"/>
      <c r="M9" s="104" t="s">
        <v>31</v>
      </c>
      <c r="N9" s="105">
        <f>$D$11+$D$16+$N$8</f>
        <v>14.85177755379693</v>
      </c>
      <c r="O9" s="106" t="s">
        <v>3</v>
      </c>
      <c r="P9" s="51" t="s">
        <v>84</v>
      </c>
      <c r="V9" s="98">
        <v>5</v>
      </c>
      <c r="W9" s="58">
        <f t="shared" si="1"/>
        <v>2.333333333333334</v>
      </c>
      <c r="X9" s="41">
        <f t="shared" si="0"/>
        <v>-47.31226214956094</v>
      </c>
      <c r="Z9" s="11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13"/>
      <c r="G10" s="6"/>
      <c r="H10" s="6"/>
      <c r="I10" s="14"/>
      <c r="J10" s="36"/>
      <c r="L10" s="70"/>
      <c r="M10" s="138" t="s">
        <v>62</v>
      </c>
      <c r="N10" s="108"/>
      <c r="O10" s="106"/>
      <c r="P10" s="106"/>
      <c r="V10" s="98">
        <v>6</v>
      </c>
      <c r="W10" s="58">
        <f t="shared" si="1"/>
        <v>2.4166666666666674</v>
      </c>
      <c r="X10" s="41">
        <f t="shared" si="0"/>
        <v>-45.99034481916355</v>
      </c>
      <c r="Z10" s="11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14</v>
      </c>
      <c r="N11" s="105">
        <f>PI()*$D$10^2/4</f>
        <v>4.908738521234052</v>
      </c>
      <c r="O11" s="106" t="s">
        <v>15</v>
      </c>
      <c r="P11" s="96" t="s">
        <v>51</v>
      </c>
      <c r="T11" s="102"/>
      <c r="V11" s="98">
        <v>7</v>
      </c>
      <c r="W11" s="58">
        <f t="shared" si="1"/>
        <v>2.500000000000001</v>
      </c>
      <c r="X11" s="41">
        <f t="shared" si="0"/>
        <v>-44.744659661042306</v>
      </c>
      <c r="Z11" s="117"/>
      <c r="AB11" s="125"/>
      <c r="AC11" s="98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69" t="s">
        <v>57</v>
      </c>
      <c r="N12" s="73">
        <f>$N$11*$N$9*0.15</f>
        <v>10.935523888068333</v>
      </c>
      <c r="O12" s="70" t="s">
        <v>7</v>
      </c>
      <c r="P12" s="70" t="s">
        <v>81</v>
      </c>
      <c r="Q12" s="98"/>
      <c r="T12" s="98"/>
      <c r="V12" s="98">
        <v>8</v>
      </c>
      <c r="W12" s="58">
        <f t="shared" si="1"/>
        <v>2.5833333333333344</v>
      </c>
      <c r="X12" s="41">
        <f t="shared" si="0"/>
        <v>-43.568077565068336</v>
      </c>
      <c r="Z12" s="117"/>
      <c r="AB12" s="125"/>
      <c r="AC12" s="98"/>
      <c r="AD12" s="46"/>
      <c r="AE12" s="46"/>
      <c r="AF12" s="46"/>
    </row>
    <row r="13" spans="1:32" ht="12.75">
      <c r="A13" s="151" t="s">
        <v>110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28" t="s">
        <v>65</v>
      </c>
      <c r="N13" s="38">
        <f>$D$20+$N$12</f>
        <v>13.935523888068333</v>
      </c>
      <c r="O13" s="51" t="s">
        <v>7</v>
      </c>
      <c r="P13" s="135" t="s">
        <v>162</v>
      </c>
      <c r="V13" s="98">
        <v>9</v>
      </c>
      <c r="W13" s="58">
        <f t="shared" si="1"/>
        <v>2.666666666666668</v>
      </c>
      <c r="X13" s="41">
        <f t="shared" si="0"/>
        <v>-42.45434477365448</v>
      </c>
      <c r="Z13" s="117"/>
      <c r="AB13" s="125"/>
      <c r="AC13" s="98"/>
      <c r="AD13" s="46"/>
      <c r="AE13" s="46"/>
      <c r="AF13" s="46"/>
    </row>
    <row r="14" spans="1:32" ht="12.75">
      <c r="A14" s="7"/>
      <c r="B14" s="12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104" t="s">
        <v>50</v>
      </c>
      <c r="N14" s="108">
        <f>$N$13/$N$11</f>
        <v>2.8389216145424174</v>
      </c>
      <c r="O14" s="106" t="s">
        <v>13</v>
      </c>
      <c r="P14" s="106" t="s">
        <v>66</v>
      </c>
      <c r="T14" s="102"/>
      <c r="V14" s="98">
        <v>10</v>
      </c>
      <c r="W14" s="58">
        <f t="shared" si="1"/>
        <v>2.7500000000000013</v>
      </c>
      <c r="X14" s="41">
        <f t="shared" si="0"/>
        <v>-41.397951623747716</v>
      </c>
      <c r="Z14" s="117"/>
      <c r="AB14" s="125"/>
      <c r="AC14" s="98"/>
      <c r="AD14" s="46"/>
      <c r="AE14" s="46"/>
      <c r="AF14" s="46"/>
    </row>
    <row r="15" spans="1:32" ht="12.75">
      <c r="A15" s="63"/>
      <c r="B15" s="10"/>
      <c r="C15" s="48" t="s">
        <v>99</v>
      </c>
      <c r="D15" s="167">
        <v>30</v>
      </c>
      <c r="E15" s="67" t="s">
        <v>98</v>
      </c>
      <c r="F15" s="82" t="str">
        <f>"           H="&amp;$D$22&amp;"'"</f>
        <v>           H=28.625'</v>
      </c>
      <c r="G15" s="82"/>
      <c r="H15" s="6"/>
      <c r="I15" s="252" t="s">
        <v>252</v>
      </c>
      <c r="K15" s="109"/>
      <c r="L15" s="69"/>
      <c r="V15" s="98">
        <v>11</v>
      </c>
      <c r="W15" s="58">
        <f t="shared" si="1"/>
        <v>2.833333333333335</v>
      </c>
      <c r="X15" s="41">
        <f t="shared" si="0"/>
        <v>-40.394024302546555</v>
      </c>
      <c r="Z15" s="117"/>
      <c r="AB15" s="46"/>
      <c r="AC15" s="98"/>
      <c r="AD15" s="46"/>
      <c r="AE15" s="46"/>
      <c r="AF15" s="46"/>
    </row>
    <row r="16" spans="1:32" ht="12.75">
      <c r="A16" s="9"/>
      <c r="B16" s="12"/>
      <c r="C16" s="12" t="s">
        <v>127</v>
      </c>
      <c r="D16" s="165">
        <v>0</v>
      </c>
      <c r="E16" s="64" t="s">
        <v>3</v>
      </c>
      <c r="F16" s="6"/>
      <c r="G16" s="6"/>
      <c r="H16" s="6"/>
      <c r="I16" s="252" t="s">
        <v>253</v>
      </c>
      <c r="K16" s="103"/>
      <c r="M16" s="104"/>
      <c r="N16" s="108"/>
      <c r="O16" s="106"/>
      <c r="P16" s="106"/>
      <c r="V16" s="98">
        <v>12</v>
      </c>
      <c r="W16" s="58">
        <f t="shared" si="1"/>
        <v>2.9166666666666683</v>
      </c>
      <c r="X16" s="41">
        <f t="shared" si="0"/>
        <v>-39.43823503364188</v>
      </c>
      <c r="Z16" s="117"/>
      <c r="AB16" s="125"/>
      <c r="AC16" s="98"/>
      <c r="AD16" s="61"/>
      <c r="AE16" s="46"/>
      <c r="AF16" s="46"/>
    </row>
    <row r="17" spans="1:38" ht="12.75">
      <c r="A17" s="7"/>
      <c r="B17" s="12"/>
      <c r="C17" s="48" t="s">
        <v>328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325" t="s">
        <v>319</v>
      </c>
      <c r="N17" s="326"/>
      <c r="O17" s="326"/>
      <c r="P17" s="326"/>
      <c r="Q17" s="326"/>
      <c r="R17" s="327"/>
      <c r="V17" s="98">
        <v>13</v>
      </c>
      <c r="W17" s="58">
        <f t="shared" si="1"/>
        <v>3.0000000000000018</v>
      </c>
      <c r="X17" s="41">
        <f t="shared" si="0"/>
        <v>-38.526727125870046</v>
      </c>
      <c r="Z17" s="117"/>
      <c r="AB17" s="370" t="s">
        <v>319</v>
      </c>
      <c r="AC17" s="371"/>
      <c r="AD17" s="372"/>
      <c r="AE17" s="371"/>
      <c r="AF17" s="371"/>
      <c r="AG17" s="371"/>
      <c r="AH17" s="371"/>
      <c r="AI17" s="371"/>
      <c r="AJ17" s="371"/>
      <c r="AK17" s="371"/>
      <c r="AL17" s="373"/>
    </row>
    <row r="18" spans="1:38" ht="12.75">
      <c r="A18" s="63"/>
      <c r="B18" s="10"/>
      <c r="C18" s="10"/>
      <c r="D18" s="10"/>
      <c r="E18" s="10"/>
      <c r="F18" s="6"/>
      <c r="G18" s="6"/>
      <c r="H18" s="6"/>
      <c r="I18" s="85" t="str">
        <f>"  h2="&amp;$D$16&amp;"'"</f>
        <v>  h2=0'</v>
      </c>
      <c r="K18" s="100"/>
      <c r="L18" s="69"/>
      <c r="M18" s="316" t="s">
        <v>326</v>
      </c>
      <c r="N18" s="317"/>
      <c r="O18" s="318"/>
      <c r="P18" s="321" t="s">
        <v>327</v>
      </c>
      <c r="Q18" s="317"/>
      <c r="R18" s="318"/>
      <c r="V18" s="98">
        <v>14</v>
      </c>
      <c r="W18" s="58">
        <f t="shared" si="1"/>
        <v>3.0833333333333353</v>
      </c>
      <c r="X18" s="41">
        <f t="shared" si="0"/>
        <v>-37.65605208621707</v>
      </c>
      <c r="Z18" s="117"/>
      <c r="AB18" s="377" t="s">
        <v>310</v>
      </c>
      <c r="AC18" s="378"/>
      <c r="AD18" s="378"/>
      <c r="AE18" s="378"/>
      <c r="AF18" s="379"/>
      <c r="AG18" s="350" t="s">
        <v>326</v>
      </c>
      <c r="AH18" s="350"/>
      <c r="AI18" s="364"/>
      <c r="AJ18" s="365" t="s">
        <v>327</v>
      </c>
      <c r="AK18" s="350"/>
      <c r="AL18" s="364"/>
    </row>
    <row r="19" spans="1:38" ht="12.75">
      <c r="A19" s="152" t="s">
        <v>111</v>
      </c>
      <c r="B19" s="12"/>
      <c r="C19" s="12"/>
      <c r="D19" s="41"/>
      <c r="E19" s="66"/>
      <c r="F19" s="6"/>
      <c r="G19" s="6"/>
      <c r="H19" s="6"/>
      <c r="I19" s="14"/>
      <c r="K19" s="100"/>
      <c r="L19" s="69"/>
      <c r="M19" s="313"/>
      <c r="N19" s="319" t="s">
        <v>306</v>
      </c>
      <c r="O19" s="320"/>
      <c r="P19" s="322" t="s">
        <v>307</v>
      </c>
      <c r="Q19" s="323"/>
      <c r="R19" s="324"/>
      <c r="V19" s="98">
        <v>15</v>
      </c>
      <c r="W19" s="58">
        <f t="shared" si="1"/>
        <v>3.1666666666666687</v>
      </c>
      <c r="X19" s="41">
        <f t="shared" si="0"/>
        <v>-36.82311658540827</v>
      </c>
      <c r="Z19" s="117"/>
      <c r="AB19" s="380"/>
      <c r="AC19" s="381"/>
      <c r="AD19" s="381"/>
      <c r="AE19" s="381"/>
      <c r="AF19" s="382"/>
      <c r="AG19" s="351"/>
      <c r="AH19" s="374" t="s">
        <v>306</v>
      </c>
      <c r="AI19" s="366"/>
      <c r="AJ19" s="367" t="s">
        <v>316</v>
      </c>
      <c r="AK19" s="368"/>
      <c r="AL19" s="369"/>
    </row>
    <row r="20" spans="1:38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69"/>
      <c r="M20" s="300"/>
      <c r="N20" s="309">
        <v>12</v>
      </c>
      <c r="O20" s="301"/>
      <c r="P20" s="308"/>
      <c r="Q20" s="309">
        <v>1.2</v>
      </c>
      <c r="R20" s="310"/>
      <c r="V20" s="98">
        <v>16</v>
      </c>
      <c r="W20" s="58">
        <f t="shared" si="1"/>
        <v>3.250000000000002</v>
      </c>
      <c r="X20" s="41">
        <f t="shared" si="0"/>
        <v>-36.025137516890965</v>
      </c>
      <c r="Z20" s="117"/>
      <c r="AB20" s="352" t="s">
        <v>311</v>
      </c>
      <c r="AC20" s="353"/>
      <c r="AD20" s="354"/>
      <c r="AE20" s="353"/>
      <c r="AF20" s="355"/>
      <c r="AG20" s="334"/>
      <c r="AH20" s="335">
        <v>12</v>
      </c>
      <c r="AI20" s="337"/>
      <c r="AJ20" s="338"/>
      <c r="AK20" s="335">
        <v>1.2</v>
      </c>
      <c r="AL20" s="339"/>
    </row>
    <row r="21" spans="1:38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91</v>
      </c>
      <c r="G21" s="6"/>
      <c r="H21" s="6"/>
      <c r="I21" s="14"/>
      <c r="K21" s="100"/>
      <c r="L21" s="69"/>
      <c r="M21" s="302"/>
      <c r="N21" s="60">
        <v>4</v>
      </c>
      <c r="O21" s="303"/>
      <c r="P21" s="311"/>
      <c r="Q21" s="60">
        <v>0.4</v>
      </c>
      <c r="R21" s="312"/>
      <c r="V21" s="98">
        <v>17</v>
      </c>
      <c r="W21" s="58">
        <f t="shared" si="1"/>
        <v>3.3333333333333357</v>
      </c>
      <c r="X21" s="41">
        <f t="shared" si="0"/>
        <v>-35.25960374051926</v>
      </c>
      <c r="Z21" s="117"/>
      <c r="AB21" s="356" t="s">
        <v>312</v>
      </c>
      <c r="AC21" s="357"/>
      <c r="AD21" s="358"/>
      <c r="AE21" s="357"/>
      <c r="AF21" s="359"/>
      <c r="AG21" s="94"/>
      <c r="AH21" s="340">
        <v>4</v>
      </c>
      <c r="AI21" s="341"/>
      <c r="AJ21" s="342"/>
      <c r="AK21" s="340">
        <v>0.4</v>
      </c>
      <c r="AL21" s="343"/>
    </row>
    <row r="22" spans="1:38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92</v>
      </c>
      <c r="G22" s="18"/>
      <c r="H22" s="82" t="str">
        <f>"  L="&amp;ROUND($N$8,2)&amp;"'"</f>
        <v>  L=14.85'</v>
      </c>
      <c r="I22" s="14"/>
      <c r="K22" s="103"/>
      <c r="L22" s="69"/>
      <c r="M22" s="304"/>
      <c r="N22" s="60">
        <v>3</v>
      </c>
      <c r="O22" s="303"/>
      <c r="P22" s="311"/>
      <c r="Q22" s="60">
        <v>0.2</v>
      </c>
      <c r="R22" s="312"/>
      <c r="V22" s="98">
        <v>18</v>
      </c>
      <c r="W22" s="58">
        <f t="shared" si="1"/>
        <v>3.416666666666669</v>
      </c>
      <c r="X22" s="41">
        <f t="shared" si="0"/>
        <v>-34.52424337608544</v>
      </c>
      <c r="Z22" s="117"/>
      <c r="AB22" s="360" t="s">
        <v>313</v>
      </c>
      <c r="AC22" s="357"/>
      <c r="AD22" s="357"/>
      <c r="AE22" s="357"/>
      <c r="AF22" s="359"/>
      <c r="AG22" s="344"/>
      <c r="AH22" s="340">
        <v>3</v>
      </c>
      <c r="AI22" s="341"/>
      <c r="AJ22" s="342"/>
      <c r="AK22" s="340">
        <v>0.2</v>
      </c>
      <c r="AL22" s="343"/>
    </row>
    <row r="23" spans="1:38" ht="12.75">
      <c r="A23" s="7"/>
      <c r="B23" s="6"/>
      <c r="C23" s="48" t="s">
        <v>10</v>
      </c>
      <c r="D23" s="166">
        <v>0</v>
      </c>
      <c r="E23" s="67" t="s">
        <v>9</v>
      </c>
      <c r="F23" s="6"/>
      <c r="G23" s="6"/>
      <c r="H23" s="6"/>
      <c r="I23" s="14"/>
      <c r="K23" s="100"/>
      <c r="L23" s="69"/>
      <c r="M23" s="305"/>
      <c r="N23" s="60">
        <v>2</v>
      </c>
      <c r="O23" s="303"/>
      <c r="P23" s="311"/>
      <c r="Q23" s="60">
        <v>0.15</v>
      </c>
      <c r="R23" s="312"/>
      <c r="V23" s="98">
        <v>19</v>
      </c>
      <c r="W23" s="58">
        <f t="shared" si="1"/>
        <v>3.5000000000000027</v>
      </c>
      <c r="X23" s="41">
        <f t="shared" si="0"/>
        <v>-33.816995727155664</v>
      </c>
      <c r="Z23" s="117"/>
      <c r="AB23" s="356" t="s">
        <v>315</v>
      </c>
      <c r="AC23" s="357"/>
      <c r="AD23" s="357"/>
      <c r="AE23" s="357"/>
      <c r="AF23" s="359"/>
      <c r="AG23" s="336"/>
      <c r="AH23" s="340">
        <v>2</v>
      </c>
      <c r="AI23" s="341"/>
      <c r="AJ23" s="342"/>
      <c r="AK23" s="340">
        <v>0.15</v>
      </c>
      <c r="AL23" s="343"/>
    </row>
    <row r="24" spans="1:38" ht="12.75">
      <c r="A24" s="63"/>
      <c r="B24" s="10"/>
      <c r="C24" s="10"/>
      <c r="D24" s="10"/>
      <c r="E24" s="10"/>
      <c r="F24" s="143" t="s">
        <v>93</v>
      </c>
      <c r="G24" s="6"/>
      <c r="H24" s="6"/>
      <c r="I24" s="14"/>
      <c r="J24" s="46"/>
      <c r="K24" s="100"/>
      <c r="L24" s="69"/>
      <c r="M24" s="306"/>
      <c r="N24" s="314">
        <v>1.5</v>
      </c>
      <c r="O24" s="307"/>
      <c r="P24" s="313"/>
      <c r="Q24" s="314">
        <v>0.1</v>
      </c>
      <c r="R24" s="315"/>
      <c r="V24" s="98">
        <v>20</v>
      </c>
      <c r="W24" s="58">
        <f t="shared" si="1"/>
        <v>3.583333333333336</v>
      </c>
      <c r="X24" s="41">
        <f t="shared" si="0"/>
        <v>-33.135987086043016</v>
      </c>
      <c r="Z24" s="117"/>
      <c r="AB24" s="361" t="s">
        <v>314</v>
      </c>
      <c r="AC24" s="362"/>
      <c r="AD24" s="362"/>
      <c r="AE24" s="362"/>
      <c r="AF24" s="363"/>
      <c r="AG24" s="345"/>
      <c r="AH24" s="346">
        <v>1.5</v>
      </c>
      <c r="AI24" s="347"/>
      <c r="AJ24" s="348"/>
      <c r="AK24" s="346">
        <v>0.1</v>
      </c>
      <c r="AL24" s="349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V25" s="98">
        <v>21</v>
      </c>
      <c r="W25" s="58">
        <f t="shared" si="1"/>
        <v>3.6666666666666696</v>
      </c>
      <c r="X25" s="41">
        <f t="shared" si="0"/>
        <v>-32.47950980637851</v>
      </c>
      <c r="Z25" s="117"/>
      <c r="AB25" s="62"/>
      <c r="AC25" s="98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V26" s="98">
        <v>22</v>
      </c>
      <c r="W26" s="58">
        <f t="shared" si="1"/>
        <v>3.750000000000003</v>
      </c>
      <c r="X26" s="41">
        <f t="shared" si="0"/>
        <v>-31.846004138327597</v>
      </c>
      <c r="Z26" s="117"/>
      <c r="AB26" s="62"/>
      <c r="AC26" s="98"/>
      <c r="AD26" s="62"/>
      <c r="AE26" s="123"/>
      <c r="AF26" s="123"/>
    </row>
    <row r="27" spans="1:32" ht="12.75">
      <c r="A27" s="31" t="s">
        <v>179</v>
      </c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U27" s="111"/>
      <c r="V27" s="98">
        <v>23</v>
      </c>
      <c r="W27" s="58">
        <f t="shared" si="1"/>
        <v>3.8333333333333366</v>
      </c>
      <c r="X27" s="41">
        <f t="shared" si="0"/>
        <v>-31.23404240890943</v>
      </c>
      <c r="Z27" s="117"/>
      <c r="AB27" s="62"/>
      <c r="AC27" s="98"/>
      <c r="AD27" s="62"/>
      <c r="AE27" s="123"/>
      <c r="AF27" s="123"/>
    </row>
    <row r="28" spans="1:32" ht="12.75">
      <c r="A28" s="63"/>
      <c r="B28" s="10"/>
      <c r="C28" s="10"/>
      <c r="D28" s="10"/>
      <c r="E28" s="10"/>
      <c r="F28" s="86" t="s">
        <v>279</v>
      </c>
      <c r="G28" s="8"/>
      <c r="H28" s="8"/>
      <c r="I28" s="11"/>
      <c r="J28" s="46"/>
      <c r="K28" s="100"/>
      <c r="L28" s="71"/>
      <c r="U28" s="107"/>
      <c r="V28" s="98">
        <v>24</v>
      </c>
      <c r="W28" s="58">
        <f t="shared" si="1"/>
        <v>3.91666666666667</v>
      </c>
      <c r="X28" s="41">
        <f t="shared" si="0"/>
        <v>-30.642315200604408</v>
      </c>
      <c r="Z28" s="117"/>
      <c r="AB28" s="62"/>
      <c r="AC28" s="98"/>
      <c r="AD28" s="62"/>
      <c r="AE28" s="123"/>
      <c r="AF28" s="123"/>
    </row>
    <row r="29" spans="1:32" ht="12.75">
      <c r="A29" s="153" t="s">
        <v>114</v>
      </c>
      <c r="B29" s="17"/>
      <c r="C29" s="18"/>
      <c r="D29" s="18"/>
      <c r="E29" s="10"/>
      <c r="F29" s="6"/>
      <c r="G29" s="6"/>
      <c r="H29" s="6"/>
      <c r="I29" s="14"/>
      <c r="J29" s="46"/>
      <c r="K29" s="100"/>
      <c r="L29" s="71"/>
      <c r="V29" s="98">
        <v>25</v>
      </c>
      <c r="W29" s="58">
        <f t="shared" si="1"/>
        <v>4.0000000000000036</v>
      </c>
      <c r="X29" s="41">
        <f t="shared" si="0"/>
        <v>-30.069619238948984</v>
      </c>
      <c r="Z29" s="117"/>
      <c r="AB29" s="62"/>
      <c r="AC29" s="98"/>
      <c r="AD29" s="62"/>
      <c r="AE29" s="123"/>
      <c r="AF29" s="123"/>
    </row>
    <row r="30" spans="1:32" ht="13.5" customHeight="1">
      <c r="A30" s="21" t="s">
        <v>86</v>
      </c>
      <c r="B30" s="168">
        <f>$N$4</f>
        <v>10.133</v>
      </c>
      <c r="C30" s="66" t="s">
        <v>7</v>
      </c>
      <c r="D30" s="18" t="s">
        <v>95</v>
      </c>
      <c r="E30" s="6"/>
      <c r="F30" s="10"/>
      <c r="G30" s="10"/>
      <c r="H30" s="10"/>
      <c r="I30" s="11"/>
      <c r="J30" s="46"/>
      <c r="K30" s="100"/>
      <c r="L30" s="69"/>
      <c r="T30" s="98"/>
      <c r="U30" s="106"/>
      <c r="V30" s="98">
        <v>26</v>
      </c>
      <c r="W30" s="58">
        <f t="shared" si="1"/>
        <v>4.083333333333337</v>
      </c>
      <c r="X30" s="41">
        <f t="shared" si="0"/>
        <v>-29.514846746804643</v>
      </c>
      <c r="Z30" s="117"/>
      <c r="AB30" s="62"/>
      <c r="AC30" s="98"/>
      <c r="AD30" s="62"/>
      <c r="AE30" s="123"/>
      <c r="AF30" s="123"/>
    </row>
    <row r="31" spans="1:32" ht="13.5" customHeight="1">
      <c r="A31" s="21" t="s">
        <v>308</v>
      </c>
      <c r="B31" s="169">
        <f>$N$5</f>
        <v>0.4</v>
      </c>
      <c r="C31" s="66" t="s">
        <v>13</v>
      </c>
      <c r="D31" s="18" t="s">
        <v>322</v>
      </c>
      <c r="E31" s="28"/>
      <c r="F31" s="10"/>
      <c r="G31" s="10"/>
      <c r="H31" s="10"/>
      <c r="I31" s="11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41">
        <f t="shared" si="0"/>
        <v>-28.976976061550694</v>
      </c>
      <c r="Z31" s="117"/>
      <c r="AB31" s="62"/>
      <c r="AC31" s="98"/>
      <c r="AD31" s="62"/>
      <c r="AE31" s="123"/>
      <c r="AF31" s="123"/>
    </row>
    <row r="32" spans="1:32" ht="12.75">
      <c r="A32" s="21" t="s">
        <v>88</v>
      </c>
      <c r="B32" s="169">
        <f>$N$6</f>
        <v>1.9802370071729243</v>
      </c>
      <c r="C32" s="66" t="s">
        <v>13</v>
      </c>
      <c r="D32" s="18" t="s">
        <v>318</v>
      </c>
      <c r="E32" s="28"/>
      <c r="F32" s="19"/>
      <c r="G32" s="19"/>
      <c r="H32" s="19"/>
      <c r="I32" s="14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41">
        <f t="shared" si="0"/>
        <v>-28.455063343234176</v>
      </c>
      <c r="Z32" s="117"/>
      <c r="AB32" s="62"/>
      <c r="AC32" s="98"/>
      <c r="AD32" s="62"/>
      <c r="AE32" s="123"/>
      <c r="AF32" s="123"/>
    </row>
    <row r="33" spans="1:32" ht="12.75">
      <c r="A33" s="21" t="s">
        <v>85</v>
      </c>
      <c r="B33" s="169">
        <f>$N$7</f>
        <v>4.789572139923029</v>
      </c>
      <c r="C33" s="66"/>
      <c r="D33" s="18" t="s">
        <v>87</v>
      </c>
      <c r="E33" s="28"/>
      <c r="F33" s="19"/>
      <c r="G33" s="19"/>
      <c r="H33" s="19"/>
      <c r="I33" s="14"/>
      <c r="J33" s="46"/>
      <c r="K33" s="100"/>
      <c r="L33" s="69"/>
      <c r="M33" s="112"/>
      <c r="N33" s="283"/>
      <c r="U33" s="98"/>
      <c r="V33" s="98">
        <v>29</v>
      </c>
      <c r="W33" s="58">
        <f t="shared" si="1"/>
        <v>4.333333333333336</v>
      </c>
      <c r="X33" s="41">
        <f t="shared" si="0"/>
        <v>-27.948235228015783</v>
      </c>
      <c r="Z33" s="117"/>
      <c r="AB33" s="62"/>
      <c r="AC33" s="98"/>
      <c r="AD33" s="62"/>
      <c r="AE33" s="123"/>
      <c r="AF33" s="123"/>
    </row>
    <row r="34" spans="1:32" ht="12.75">
      <c r="A34" s="21" t="s">
        <v>18</v>
      </c>
      <c r="B34" s="228">
        <f>$N$8</f>
        <v>14.85177755379693</v>
      </c>
      <c r="C34" s="66" t="s">
        <v>3</v>
      </c>
      <c r="D34" s="18" t="s">
        <v>304</v>
      </c>
      <c r="E34" s="28"/>
      <c r="F34" s="10"/>
      <c r="G34" s="20"/>
      <c r="H34" s="149" t="s">
        <v>324</v>
      </c>
      <c r="I34" s="14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41">
        <f t="shared" si="0"/>
        <v>-27.455682303107793</v>
      </c>
      <c r="Z34" s="117"/>
      <c r="AB34" s="62"/>
      <c r="AC34" s="98"/>
      <c r="AD34" s="62"/>
      <c r="AE34" s="123"/>
      <c r="AF34" s="123"/>
    </row>
    <row r="35" spans="1:32" ht="12.75">
      <c r="A35" s="21" t="s">
        <v>31</v>
      </c>
      <c r="B35" s="173">
        <f>$N$9</f>
        <v>14.85177755379693</v>
      </c>
      <c r="C35" s="66" t="s">
        <v>3</v>
      </c>
      <c r="D35" s="18" t="s">
        <v>84</v>
      </c>
      <c r="E35" s="6"/>
      <c r="F35" s="10"/>
      <c r="G35" s="10"/>
      <c r="H35" s="149"/>
      <c r="I35" s="11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41">
        <f t="shared" si="0"/>
        <v>-26.976653297630385</v>
      </c>
      <c r="Z35" s="117"/>
      <c r="AB35" s="62"/>
      <c r="AC35" s="98"/>
      <c r="AD35" s="62"/>
      <c r="AE35" s="123"/>
      <c r="AF35" s="123"/>
    </row>
    <row r="36" spans="1:32" ht="12.75" customHeight="1">
      <c r="A36" s="63"/>
      <c r="B36" s="10"/>
      <c r="C36" s="10"/>
      <c r="D36" s="10"/>
      <c r="E36" s="10"/>
      <c r="F36" s="19"/>
      <c r="G36" s="19"/>
      <c r="H36" s="10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41">
        <f t="shared" si="0"/>
        <v>-26.510449899072714</v>
      </c>
      <c r="Z36" s="117"/>
      <c r="AB36" s="62"/>
      <c r="AC36" s="98"/>
      <c r="AD36" s="62"/>
      <c r="AE36" s="123"/>
      <c r="AF36" s="123"/>
    </row>
    <row r="37" spans="1:32" ht="12.75" customHeight="1">
      <c r="A37" s="153" t="s">
        <v>116</v>
      </c>
      <c r="B37" s="113"/>
      <c r="C37" s="26"/>
      <c r="D37" s="26"/>
      <c r="E37" s="19"/>
      <c r="F37" s="134"/>
      <c r="G37" s="20"/>
      <c r="H37" s="19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41">
        <f t="shared" si="0"/>
        <v>-26.056422117865075</v>
      </c>
      <c r="Z37" s="117"/>
      <c r="AB37" s="62"/>
      <c r="AC37" s="98"/>
      <c r="AD37" s="62"/>
      <c r="AE37" s="123"/>
      <c r="AF37" s="123"/>
    </row>
    <row r="38" spans="1:32" ht="12.75" customHeight="1">
      <c r="A38" s="91" t="s">
        <v>14</v>
      </c>
      <c r="B38" s="172">
        <f>$N$11</f>
        <v>4.908738521234052</v>
      </c>
      <c r="C38" s="66" t="s">
        <v>15</v>
      </c>
      <c r="D38" s="28" t="s">
        <v>60</v>
      </c>
      <c r="E38" s="19"/>
      <c r="F38" s="19"/>
      <c r="G38" s="134"/>
      <c r="H38" s="19"/>
      <c r="I38" s="14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41">
        <f t="shared" si="0"/>
        <v>-25.61396413337267</v>
      </c>
      <c r="Z38" s="117"/>
      <c r="AB38" s="62"/>
      <c r="AC38" s="98"/>
      <c r="AD38" s="62"/>
      <c r="AE38" s="123"/>
      <c r="AF38" s="123"/>
    </row>
    <row r="39" spans="1:32" ht="12.75" customHeight="1">
      <c r="A39" s="91" t="s">
        <v>57</v>
      </c>
      <c r="B39" s="170">
        <f>$N$12</f>
        <v>10.935523888068333</v>
      </c>
      <c r="C39" s="66" t="s">
        <v>7</v>
      </c>
      <c r="D39" s="18" t="s">
        <v>81</v>
      </c>
      <c r="E39" s="19"/>
      <c r="F39" s="19"/>
      <c r="G39" s="19"/>
      <c r="H39" s="19"/>
      <c r="I39" s="14"/>
      <c r="K39" s="100"/>
      <c r="L39" s="71"/>
      <c r="V39" s="98">
        <v>35</v>
      </c>
      <c r="W39" s="58">
        <f t="shared" si="1"/>
        <v>4.833333333333334</v>
      </c>
      <c r="X39" s="41">
        <f t="shared" si="0"/>
        <v>-25.18251056375839</v>
      </c>
      <c r="Z39" s="117"/>
      <c r="AB39" s="62"/>
      <c r="AC39" s="98"/>
      <c r="AD39" s="62"/>
      <c r="AE39" s="123"/>
      <c r="AF39" s="123"/>
    </row>
    <row r="40" spans="1:32" ht="12.75" customHeight="1">
      <c r="A40" s="93" t="s">
        <v>64</v>
      </c>
      <c r="B40" s="170">
        <f>$N$13</f>
        <v>13.935523888068333</v>
      </c>
      <c r="C40" s="66" t="s">
        <v>7</v>
      </c>
      <c r="D40" s="136" t="s">
        <v>161</v>
      </c>
      <c r="E40" s="19"/>
      <c r="F40" s="19"/>
      <c r="G40" s="19"/>
      <c r="H40" s="19"/>
      <c r="I40" s="14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41">
        <f t="shared" si="0"/>
        <v>-24.761533109911376</v>
      </c>
      <c r="Z40" s="117"/>
      <c r="AB40" s="62"/>
      <c r="AC40" s="98"/>
      <c r="AD40" s="62"/>
      <c r="AE40" s="123"/>
      <c r="AF40" s="123"/>
    </row>
    <row r="41" spans="1:32" ht="12.75" customHeight="1">
      <c r="A41" s="91" t="s">
        <v>50</v>
      </c>
      <c r="B41" s="171">
        <f>$N$14</f>
        <v>2.8389216145424174</v>
      </c>
      <c r="C41" s="66" t="s">
        <v>13</v>
      </c>
      <c r="D41" s="26" t="s">
        <v>67</v>
      </c>
      <c r="E41" s="19"/>
      <c r="F41" s="19"/>
      <c r="G41" s="19"/>
      <c r="H41" s="43" t="str">
        <f>IF($D$17&gt;=$B$41,"Pa&gt;=P(bot), O.K.","Pa&lt;P(bot)")</f>
        <v>Pa&gt;=P(bot), O.K.</v>
      </c>
      <c r="I41" s="23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41">
        <f t="shared" si="0"/>
        <v>-24.3505375302319</v>
      </c>
      <c r="Z41" s="117"/>
      <c r="AB41" s="62"/>
      <c r="AC41" s="98"/>
      <c r="AD41" s="62"/>
      <c r="AE41" s="123"/>
      <c r="AF41" s="123"/>
    </row>
    <row r="42" spans="1:32" ht="12.75">
      <c r="A42" s="63"/>
      <c r="B42" s="10"/>
      <c r="C42" s="10"/>
      <c r="D42" s="10"/>
      <c r="E42" s="132"/>
      <c r="F42" s="19"/>
      <c r="G42" s="20"/>
      <c r="H42" s="19"/>
      <c r="I42" s="14"/>
      <c r="J42" s="46"/>
      <c r="K42" s="100"/>
      <c r="V42" s="98">
        <v>38</v>
      </c>
      <c r="W42" s="58">
        <f t="shared" si="1"/>
        <v>5.083333333333333</v>
      </c>
      <c r="X42" s="41">
        <f t="shared" si="0"/>
        <v>-23.949060908688555</v>
      </c>
      <c r="Z42" s="117"/>
      <c r="AB42" s="62"/>
      <c r="AC42" s="98"/>
      <c r="AD42" s="62"/>
      <c r="AE42" s="123"/>
      <c r="AF42" s="123"/>
    </row>
    <row r="43" spans="1:32" ht="12.75">
      <c r="A43" s="63"/>
      <c r="B43" s="10"/>
      <c r="C43" s="10"/>
      <c r="D43" s="10"/>
      <c r="E43" s="10"/>
      <c r="F43" s="10"/>
      <c r="G43" s="10"/>
      <c r="H43" s="10"/>
      <c r="I43" s="11"/>
      <c r="J43" s="46"/>
      <c r="K43" s="100"/>
      <c r="L43" s="69"/>
      <c r="V43" s="98">
        <v>39</v>
      </c>
      <c r="W43" s="58">
        <f t="shared" si="1"/>
        <v>5.166666666666666</v>
      </c>
      <c r="X43" s="41">
        <f t="shared" si="0"/>
        <v>-23.556669183377288</v>
      </c>
      <c r="Z43" s="117"/>
      <c r="AB43" s="62"/>
      <c r="AC43" s="98"/>
      <c r="AD43" s="62"/>
      <c r="AE43" s="123"/>
      <c r="AF43" s="123"/>
    </row>
    <row r="44" spans="1:32" ht="12.75" customHeight="1">
      <c r="A44" s="9" t="s">
        <v>166</v>
      </c>
      <c r="B44" s="10" t="s">
        <v>321</v>
      </c>
      <c r="C44" s="10"/>
      <c r="D44" s="10"/>
      <c r="E44" s="10"/>
      <c r="F44" s="10"/>
      <c r="G44" s="10"/>
      <c r="H44" s="10"/>
      <c r="I44" s="11"/>
      <c r="J44" s="46"/>
      <c r="K44" s="100"/>
      <c r="L44" s="69"/>
      <c r="V44" s="98">
        <v>40</v>
      </c>
      <c r="W44" s="58">
        <f t="shared" si="1"/>
        <v>5.249999999999999</v>
      </c>
      <c r="X44" s="41">
        <f t="shared" si="0"/>
        <v>-23.172954906941733</v>
      </c>
      <c r="Z44" s="117"/>
      <c r="AB44" s="62"/>
      <c r="AC44" s="98"/>
      <c r="AD44" s="62"/>
      <c r="AE44" s="123"/>
      <c r="AF44" s="123"/>
    </row>
    <row r="45" spans="1:32" ht="12.75">
      <c r="A45" s="63"/>
      <c r="B45" s="10"/>
      <c r="C45" s="10"/>
      <c r="D45" s="10"/>
      <c r="E45" s="10"/>
      <c r="F45" s="10"/>
      <c r="G45" s="10"/>
      <c r="H45" s="10"/>
      <c r="I45" s="11"/>
      <c r="J45" s="46"/>
      <c r="K45" s="100"/>
      <c r="L45" s="69"/>
      <c r="V45" s="98">
        <v>41</v>
      </c>
      <c r="W45" s="58">
        <f t="shared" si="1"/>
        <v>5.333333333333332</v>
      </c>
      <c r="X45" s="41">
        <f t="shared" si="0"/>
        <v>-22.79753521376637</v>
      </c>
      <c r="Z45" s="117"/>
      <c r="AB45" s="62"/>
      <c r="AC45" s="98"/>
      <c r="AD45" s="62"/>
      <c r="AE45" s="123"/>
      <c r="AF45" s="123"/>
    </row>
    <row r="46" spans="1:32" ht="12.75">
      <c r="A46" s="211"/>
      <c r="B46" s="28"/>
      <c r="C46" s="28"/>
      <c r="D46" s="28"/>
      <c r="E46" s="28"/>
      <c r="F46" s="28"/>
      <c r="G46" s="28"/>
      <c r="H46" s="28"/>
      <c r="I46" s="90"/>
      <c r="J46" s="46"/>
      <c r="K46" s="100"/>
      <c r="L46" s="69"/>
      <c r="V46" s="98">
        <v>42</v>
      </c>
      <c r="W46" s="58">
        <f t="shared" si="1"/>
        <v>5.416666666666665</v>
      </c>
      <c r="X46" s="41">
        <f t="shared" si="0"/>
        <v>-22.430049971917743</v>
      </c>
      <c r="Z46" s="117"/>
      <c r="AB46" s="62"/>
      <c r="AC46" s="98"/>
      <c r="AD46" s="62"/>
      <c r="AE46" s="123"/>
      <c r="AF46" s="123"/>
    </row>
    <row r="47" spans="1:32" ht="12.75">
      <c r="A47" s="5" t="s">
        <v>178</v>
      </c>
      <c r="B47" s="289"/>
      <c r="C47" s="289"/>
      <c r="D47" s="289"/>
      <c r="E47" s="289"/>
      <c r="F47" s="289"/>
      <c r="G47" s="289"/>
      <c r="H47" s="289"/>
      <c r="I47" s="290"/>
      <c r="J47" s="46"/>
      <c r="K47" s="100"/>
      <c r="L47" s="69"/>
      <c r="V47" s="98">
        <v>43</v>
      </c>
      <c r="W47" s="58">
        <f t="shared" si="1"/>
        <v>5.499999999999998</v>
      </c>
      <c r="X47" s="41">
        <f t="shared" si="0"/>
        <v>-22.07016010045659</v>
      </c>
      <c r="Z47" s="117"/>
      <c r="AB47" s="62"/>
      <c r="AC47" s="98"/>
      <c r="AD47" s="62"/>
      <c r="AE47" s="123"/>
      <c r="AF47" s="123"/>
    </row>
    <row r="48" spans="1:32" ht="12.75" customHeight="1">
      <c r="A48" s="332"/>
      <c r="B48" s="289"/>
      <c r="C48" s="289"/>
      <c r="D48" s="289"/>
      <c r="E48" s="289"/>
      <c r="F48" s="289"/>
      <c r="G48" s="289"/>
      <c r="H48" s="289"/>
      <c r="I48" s="290"/>
      <c r="J48" s="46"/>
      <c r="K48" s="100"/>
      <c r="L48" s="71"/>
      <c r="V48" s="98">
        <v>44</v>
      </c>
      <c r="W48" s="58">
        <f t="shared" si="1"/>
        <v>5.583333333333331</v>
      </c>
      <c r="X48" s="41">
        <f t="shared" si="0"/>
        <v>-21.717546035038914</v>
      </c>
      <c r="Z48" s="117"/>
      <c r="AB48" s="62"/>
      <c r="AC48" s="98"/>
      <c r="AD48" s="62"/>
      <c r="AE48" s="123"/>
      <c r="AF48" s="123"/>
    </row>
    <row r="49" spans="1:32" ht="12.75">
      <c r="A49" s="332"/>
      <c r="B49" s="289"/>
      <c r="C49" s="289"/>
      <c r="D49" s="289"/>
      <c r="E49" s="289"/>
      <c r="F49" s="289"/>
      <c r="G49" s="289"/>
      <c r="H49" s="289"/>
      <c r="I49" s="290"/>
      <c r="K49" s="100"/>
      <c r="L49" s="69"/>
      <c r="M49" s="148"/>
      <c r="N49" s="70"/>
      <c r="O49" s="145"/>
      <c r="P49" s="145"/>
      <c r="V49" s="98">
        <v>45</v>
      </c>
      <c r="W49" s="58">
        <f t="shared" si="1"/>
        <v>5.666666666666664</v>
      </c>
      <c r="X49" s="41">
        <f t="shared" si="0"/>
        <v>-21.37190632671628</v>
      </c>
      <c r="Z49" s="117"/>
      <c r="AB49" s="62"/>
      <c r="AC49" s="98"/>
      <c r="AD49" s="62"/>
      <c r="AE49" s="123"/>
      <c r="AF49" s="123"/>
    </row>
    <row r="50" spans="1:32" ht="12.75">
      <c r="A50" s="332"/>
      <c r="B50" s="289"/>
      <c r="C50" s="289"/>
      <c r="D50" s="289"/>
      <c r="E50" s="289"/>
      <c r="F50" s="289"/>
      <c r="G50" s="289"/>
      <c r="H50" s="289"/>
      <c r="I50" s="290"/>
      <c r="K50" s="100"/>
      <c r="M50" s="69"/>
      <c r="N50" s="101"/>
      <c r="O50" s="70"/>
      <c r="P50" s="51"/>
      <c r="V50" s="98">
        <v>46</v>
      </c>
      <c r="W50" s="58">
        <f t="shared" si="1"/>
        <v>5.749999999999997</v>
      </c>
      <c r="X50" s="41">
        <f t="shared" si="0"/>
        <v>-21.032956360580528</v>
      </c>
      <c r="Z50" s="117"/>
      <c r="AB50" s="62"/>
      <c r="AC50" s="98"/>
      <c r="AD50" s="62"/>
      <c r="AE50" s="123"/>
      <c r="AF50" s="123"/>
    </row>
    <row r="51" spans="1:32" ht="12.75">
      <c r="A51" s="332"/>
      <c r="B51" s="328"/>
      <c r="C51" s="289"/>
      <c r="D51" s="289"/>
      <c r="E51" s="289"/>
      <c r="F51" s="289"/>
      <c r="G51" s="289"/>
      <c r="H51" s="329"/>
      <c r="I51" s="330"/>
      <c r="J51" s="46"/>
      <c r="K51" s="100"/>
      <c r="M51" s="69"/>
      <c r="N51" s="102"/>
      <c r="O51" s="70"/>
      <c r="P51" s="51"/>
      <c r="V51" s="98">
        <v>47</v>
      </c>
      <c r="W51" s="58">
        <f t="shared" si="1"/>
        <v>5.83333333333333</v>
      </c>
      <c r="X51" s="41">
        <f t="shared" si="0"/>
        <v>-20.700427182410827</v>
      </c>
      <c r="Z51" s="117"/>
      <c r="AB51" s="62"/>
      <c r="AC51" s="98"/>
      <c r="AD51" s="62"/>
      <c r="AE51" s="123"/>
      <c r="AF51" s="123"/>
    </row>
    <row r="52" spans="1:32" ht="12.75">
      <c r="A52" s="333"/>
      <c r="B52" s="297"/>
      <c r="C52" s="297"/>
      <c r="D52" s="297"/>
      <c r="E52" s="297"/>
      <c r="F52" s="297"/>
      <c r="G52" s="297"/>
      <c r="H52" s="297"/>
      <c r="I52" s="331"/>
      <c r="K52" s="100"/>
      <c r="M52" s="69"/>
      <c r="N52" s="102"/>
      <c r="O52" s="70"/>
      <c r="P52" s="51"/>
      <c r="V52" s="98">
        <v>48</v>
      </c>
      <c r="W52" s="58">
        <f t="shared" si="1"/>
        <v>5.916666666666663</v>
      </c>
      <c r="X52" s="41">
        <f t="shared" si="0"/>
        <v>-20.37406442280367</v>
      </c>
      <c r="Z52" s="117"/>
      <c r="AB52" s="62"/>
      <c r="AC52" s="98"/>
      <c r="AD52" s="62"/>
      <c r="AE52" s="123"/>
      <c r="AF52" s="123"/>
    </row>
    <row r="53" spans="1:32" ht="12.75">
      <c r="A53" s="19"/>
      <c r="B53" s="19"/>
      <c r="C53" s="19"/>
      <c r="D53" s="19"/>
      <c r="E53" s="19"/>
      <c r="F53" s="19"/>
      <c r="G53" s="19"/>
      <c r="H53" s="19"/>
      <c r="I53" s="19"/>
      <c r="K53" s="100"/>
      <c r="M53" s="69"/>
      <c r="N53" s="102"/>
      <c r="O53" s="70"/>
      <c r="P53" s="51"/>
      <c r="V53" s="98">
        <v>49</v>
      </c>
      <c r="W53" s="58">
        <f t="shared" si="1"/>
        <v>5.9999999999999964</v>
      </c>
      <c r="X53" s="41">
        <f t="shared" si="0"/>
        <v>-20.053627309424417</v>
      </c>
      <c r="Z53" s="117"/>
      <c r="AB53" s="62"/>
      <c r="AC53" s="98"/>
      <c r="AD53" s="62"/>
      <c r="AE53" s="123"/>
      <c r="AF53" s="123"/>
    </row>
    <row r="54" spans="1:32" ht="12.75">
      <c r="A54" s="19"/>
      <c r="B54" s="19"/>
      <c r="C54" s="19"/>
      <c r="D54" s="19"/>
      <c r="E54" s="19"/>
      <c r="F54" s="19"/>
      <c r="G54" s="19"/>
      <c r="H54" s="19"/>
      <c r="I54" s="19"/>
      <c r="K54" s="100"/>
      <c r="M54" s="69"/>
      <c r="N54" s="73"/>
      <c r="O54" s="70"/>
      <c r="P54" s="70"/>
      <c r="V54" s="98">
        <v>50</v>
      </c>
      <c r="W54" s="58">
        <f t="shared" si="1"/>
        <v>6.0833333333333295</v>
      </c>
      <c r="X54" s="41">
        <f t="shared" si="0"/>
        <v>-19.73888775903577</v>
      </c>
      <c r="Z54" s="117"/>
      <c r="AB54" s="62"/>
      <c r="AC54" s="98"/>
      <c r="AD54" s="62"/>
      <c r="AE54" s="123"/>
      <c r="AF54" s="123"/>
    </row>
    <row r="55" spans="1:32" ht="12.75">
      <c r="A55" s="19"/>
      <c r="B55" s="225"/>
      <c r="C55" s="224"/>
      <c r="D55" s="19"/>
      <c r="E55" s="19"/>
      <c r="F55" s="19"/>
      <c r="G55" s="19"/>
      <c r="H55" s="19"/>
      <c r="I55" s="19"/>
      <c r="K55" s="100"/>
      <c r="V55" s="98">
        <v>51</v>
      </c>
      <c r="W55" s="58">
        <f t="shared" si="1"/>
        <v>6.1666666666666625</v>
      </c>
      <c r="X55" s="41">
        <f t="shared" si="0"/>
        <v>-19.429629541851973</v>
      </c>
      <c r="Z55" s="117"/>
      <c r="AB55" s="62"/>
      <c r="AC55" s="98"/>
      <c r="AD55" s="62"/>
      <c r="AE55" s="123"/>
      <c r="AF55" s="123"/>
    </row>
    <row r="56" spans="1:32" ht="12.75">
      <c r="A56" s="19"/>
      <c r="B56" s="19"/>
      <c r="C56" s="19"/>
      <c r="D56" s="19"/>
      <c r="E56" s="19"/>
      <c r="F56" s="19"/>
      <c r="G56" s="19"/>
      <c r="H56" s="19"/>
      <c r="I56" s="19"/>
      <c r="K56" s="100"/>
      <c r="V56" s="98">
        <v>52</v>
      </c>
      <c r="W56" s="58">
        <f t="shared" si="1"/>
        <v>6.249999999999996</v>
      </c>
      <c r="X56" s="41">
        <f t="shared" si="0"/>
        <v>-19.125647511555027</v>
      </c>
      <c r="Z56" s="117"/>
      <c r="AB56" s="62"/>
      <c r="AC56" s="98"/>
      <c r="AD56" s="62"/>
      <c r="AE56" s="123"/>
      <c r="AF56" s="123"/>
    </row>
    <row r="57" spans="1:32" ht="12.75">
      <c r="A57" s="19"/>
      <c r="B57" s="19"/>
      <c r="C57" s="19"/>
      <c r="D57" s="19"/>
      <c r="E57" s="19"/>
      <c r="F57" s="19"/>
      <c r="G57" s="19"/>
      <c r="H57" s="19"/>
      <c r="I57" s="19"/>
      <c r="K57" s="100"/>
      <c r="V57" s="98">
        <v>53</v>
      </c>
      <c r="W57" s="58">
        <f t="shared" si="1"/>
        <v>6.333333333333329</v>
      </c>
      <c r="X57" s="41">
        <f t="shared" si="0"/>
        <v>-18.82674689500369</v>
      </c>
      <c r="Z57" s="117"/>
      <c r="AB57" s="62"/>
      <c r="AC57" s="98"/>
      <c r="AD57" s="62"/>
      <c r="AE57" s="123"/>
      <c r="AF57" s="123"/>
    </row>
    <row r="58" spans="1:32" ht="12.75">
      <c r="A58" s="19"/>
      <c r="B58" s="225"/>
      <c r="C58" s="224"/>
      <c r="D58" s="19"/>
      <c r="E58" s="19"/>
      <c r="F58" s="19"/>
      <c r="G58" s="19"/>
      <c r="H58" s="19"/>
      <c r="I58" s="19"/>
      <c r="K58" s="100"/>
      <c r="V58" s="98">
        <v>54</v>
      </c>
      <c r="W58" s="58">
        <f t="shared" si="1"/>
        <v>6.416666666666662</v>
      </c>
      <c r="X58" s="41">
        <f t="shared" si="0"/>
        <v>-18.53274263628025</v>
      </c>
      <c r="Z58" s="117"/>
      <c r="AB58" s="62"/>
      <c r="AC58" s="98"/>
      <c r="AD58" s="62"/>
      <c r="AE58" s="123"/>
      <c r="AF58" s="123"/>
    </row>
    <row r="59" spans="1:32" ht="12.75">
      <c r="A59" s="19"/>
      <c r="B59" s="19"/>
      <c r="C59" s="19"/>
      <c r="D59" s="19"/>
      <c r="E59" s="19"/>
      <c r="F59" s="19"/>
      <c r="G59" s="19"/>
      <c r="H59" s="19"/>
      <c r="I59" s="19"/>
      <c r="K59" s="100"/>
      <c r="V59" s="98">
        <v>55</v>
      </c>
      <c r="W59" s="58">
        <f t="shared" si="1"/>
        <v>6.499999999999995</v>
      </c>
      <c r="X59" s="41">
        <f t="shared" si="0"/>
        <v>-18.24345879026381</v>
      </c>
      <c r="Z59" s="117"/>
      <c r="AB59" s="62"/>
      <c r="AC59" s="98"/>
      <c r="AD59" s="62"/>
      <c r="AE59" s="123"/>
      <c r="AF59" s="123"/>
    </row>
    <row r="60" spans="1:32" ht="12.75">
      <c r="A60" s="19"/>
      <c r="B60" s="20"/>
      <c r="C60" s="19"/>
      <c r="D60" s="19"/>
      <c r="E60" s="19"/>
      <c r="F60" s="19"/>
      <c r="G60" s="19"/>
      <c r="H60" s="19"/>
      <c r="I60" s="19"/>
      <c r="K60" s="100"/>
      <c r="N60" s="107"/>
      <c r="V60" s="98">
        <v>56</v>
      </c>
      <c r="W60" s="58">
        <f t="shared" si="1"/>
        <v>6.583333333333328</v>
      </c>
      <c r="X60" s="41">
        <f t="shared" si="0"/>
        <v>-17.958727961401095</v>
      </c>
      <c r="Z60" s="117"/>
      <c r="AB60" s="62"/>
      <c r="AC60" s="98"/>
      <c r="AD60" s="62"/>
      <c r="AE60" s="123"/>
      <c r="AF60" s="123"/>
    </row>
    <row r="61" spans="1:32" ht="12.75">
      <c r="A61" s="19"/>
      <c r="B61" s="19"/>
      <c r="C61" s="19"/>
      <c r="D61" s="19"/>
      <c r="E61" s="19"/>
      <c r="F61" s="19"/>
      <c r="G61" s="19"/>
      <c r="H61" s="19"/>
      <c r="I61" s="19"/>
      <c r="K61" s="100"/>
      <c r="V61" s="98">
        <v>57</v>
      </c>
      <c r="W61" s="58">
        <f t="shared" si="1"/>
        <v>6.666666666666661</v>
      </c>
      <c r="X61" s="41">
        <f t="shared" si="0"/>
        <v>-17.678390783774297</v>
      </c>
      <c r="Z61" s="117"/>
      <c r="AB61" s="62"/>
      <c r="AC61" s="98"/>
      <c r="AD61" s="62"/>
      <c r="AE61" s="123"/>
      <c r="AF61" s="123"/>
    </row>
    <row r="62" spans="1:32" ht="12.75">
      <c r="A62" s="19"/>
      <c r="B62" s="225"/>
      <c r="C62" s="224"/>
      <c r="D62" s="19"/>
      <c r="E62" s="19"/>
      <c r="F62" s="19"/>
      <c r="G62" s="19"/>
      <c r="H62" s="19"/>
      <c r="I62" s="19"/>
      <c r="K62" s="100"/>
      <c r="N62" s="104"/>
      <c r="O62" s="106"/>
      <c r="P62" s="106"/>
      <c r="V62" s="98">
        <v>58</v>
      </c>
      <c r="W62" s="58">
        <f t="shared" si="1"/>
        <v>6.749999999999994</v>
      </c>
      <c r="X62" s="41">
        <f t="shared" si="0"/>
        <v>-17.402295438946595</v>
      </c>
      <c r="Z62" s="117"/>
      <c r="AB62" s="62"/>
      <c r="AC62" s="98"/>
      <c r="AD62" s="62"/>
      <c r="AE62" s="123"/>
      <c r="AF62" s="123"/>
    </row>
    <row r="63" spans="1:32" ht="12.75">
      <c r="A63" s="19"/>
      <c r="B63" s="19"/>
      <c r="C63" s="19"/>
      <c r="D63" s="19"/>
      <c r="E63" s="19"/>
      <c r="F63" s="19"/>
      <c r="G63" s="19"/>
      <c r="H63" s="19"/>
      <c r="I63" s="19"/>
      <c r="K63" s="100"/>
      <c r="M63" s="104"/>
      <c r="N63" s="105"/>
      <c r="O63" s="106"/>
      <c r="P63" s="106"/>
      <c r="S63" s="116"/>
      <c r="V63" s="98">
        <v>59</v>
      </c>
      <c r="W63" s="58">
        <f t="shared" si="1"/>
        <v>6.833333333333327</v>
      </c>
      <c r="X63" s="41">
        <f t="shared" si="0"/>
        <v>-17.130297208405977</v>
      </c>
      <c r="Z63" s="117"/>
      <c r="AB63" s="62"/>
      <c r="AC63" s="98"/>
      <c r="AD63" s="62"/>
      <c r="AE63" s="123"/>
      <c r="AF63" s="123"/>
    </row>
    <row r="64" spans="1:32" ht="12.75">
      <c r="A64" s="19"/>
      <c r="B64" s="19"/>
      <c r="C64" s="19"/>
      <c r="D64" s="19"/>
      <c r="E64" s="19"/>
      <c r="F64" s="19"/>
      <c r="G64" s="19"/>
      <c r="H64" s="19"/>
      <c r="I64" s="19"/>
      <c r="K64" s="100"/>
      <c r="O64" s="106"/>
      <c r="P64" s="106"/>
      <c r="V64" s="98">
        <v>60</v>
      </c>
      <c r="W64" s="58">
        <f t="shared" si="1"/>
        <v>6.91666666666666</v>
      </c>
      <c r="X64" s="41">
        <f t="shared" si="0"/>
        <v>-16.862258057730827</v>
      </c>
      <c r="Z64" s="117"/>
      <c r="AB64" s="62"/>
      <c r="AC64" s="98"/>
      <c r="AD64" s="62"/>
      <c r="AE64" s="123"/>
      <c r="AF64" s="123"/>
    </row>
    <row r="65" spans="1:32" ht="12.75">
      <c r="A65" s="19"/>
      <c r="B65" s="225"/>
      <c r="C65" s="224"/>
      <c r="D65" s="19"/>
      <c r="E65" s="19"/>
      <c r="F65" s="19"/>
      <c r="G65" s="19"/>
      <c r="H65" s="19"/>
      <c r="I65" s="19"/>
      <c r="K65" s="100"/>
      <c r="M65" s="104"/>
      <c r="N65" s="102"/>
      <c r="O65" s="106"/>
      <c r="P65" s="106"/>
      <c r="V65" s="98">
        <v>61</v>
      </c>
      <c r="W65" s="58">
        <f t="shared" si="1"/>
        <v>6.999999999999993</v>
      </c>
      <c r="X65" s="41">
        <f t="shared" si="0"/>
        <v>-16.59804624987196</v>
      </c>
      <c r="Z65" s="117"/>
      <c r="AB65" s="62"/>
      <c r="AC65" s="98"/>
      <c r="AD65" s="62"/>
      <c r="AE65" s="123"/>
      <c r="AF65" s="123"/>
    </row>
    <row r="66" spans="1:32" ht="12.75">
      <c r="A66" s="19"/>
      <c r="B66" s="19"/>
      <c r="C66" s="19"/>
      <c r="D66" s="19"/>
      <c r="E66" s="19"/>
      <c r="F66" s="19"/>
      <c r="G66" s="19"/>
      <c r="H66" s="19"/>
      <c r="I66" s="19"/>
      <c r="K66" s="100"/>
      <c r="M66" s="104"/>
      <c r="N66" s="105"/>
      <c r="O66" s="70"/>
      <c r="P66" s="46"/>
      <c r="V66" s="98">
        <v>62</v>
      </c>
      <c r="W66" s="58">
        <f t="shared" si="1"/>
        <v>7.083333333333326</v>
      </c>
      <c r="X66" s="41">
        <f t="shared" si="0"/>
        <v>-16.337535985188328</v>
      </c>
      <c r="Z66" s="117"/>
      <c r="AB66" s="62"/>
      <c r="AC66" s="98"/>
      <c r="AD66" s="62"/>
      <c r="AE66" s="123"/>
      <c r="AF66" s="123"/>
    </row>
    <row r="67" spans="1:32" ht="12.75">
      <c r="A67" s="19"/>
      <c r="B67" s="19"/>
      <c r="C67" s="19"/>
      <c r="D67" s="19"/>
      <c r="E67" s="19"/>
      <c r="F67" s="19"/>
      <c r="G67" s="19"/>
      <c r="H67" s="19"/>
      <c r="I67" s="19"/>
      <c r="K67" s="100"/>
      <c r="M67" s="104"/>
      <c r="N67" s="105"/>
      <c r="O67" s="70"/>
      <c r="P67" s="46"/>
      <c r="Q67" s="98"/>
      <c r="V67" s="98">
        <v>63</v>
      </c>
      <c r="W67" s="58">
        <f t="shared" si="1"/>
        <v>7.166666666666659</v>
      </c>
      <c r="X67" s="41">
        <f t="shared" si="0"/>
        <v>-16.080607066090778</v>
      </c>
      <c r="Z67" s="117"/>
      <c r="AB67" s="62"/>
      <c r="AC67" s="98"/>
      <c r="AD67" s="62"/>
      <c r="AE67" s="123"/>
      <c r="AF67" s="123"/>
    </row>
    <row r="68" spans="1:32" ht="12.75">
      <c r="A68" s="19"/>
      <c r="B68" s="225"/>
      <c r="C68" s="224"/>
      <c r="D68" s="19"/>
      <c r="E68" s="19"/>
      <c r="F68" s="19"/>
      <c r="G68" s="19"/>
      <c r="H68" s="19"/>
      <c r="I68" s="19"/>
      <c r="K68" s="100"/>
      <c r="M68" s="69"/>
      <c r="N68" s="108"/>
      <c r="O68" s="106"/>
      <c r="P68" s="110"/>
      <c r="V68" s="98">
        <v>64</v>
      </c>
      <c r="W68" s="58">
        <f t="shared" si="1"/>
        <v>7.249999999999992</v>
      </c>
      <c r="X68" s="41">
        <f t="shared" si="0"/>
        <v>-15.827144584343511</v>
      </c>
      <c r="Z68" s="117"/>
      <c r="AB68" s="62"/>
      <c r="AC68" s="98"/>
      <c r="AD68" s="62"/>
      <c r="AE68" s="123"/>
      <c r="AF68" s="123"/>
    </row>
    <row r="69" spans="1:32" ht="12.75">
      <c r="A69" s="19"/>
      <c r="B69" s="225"/>
      <c r="C69" s="224"/>
      <c r="D69" s="19"/>
      <c r="E69" s="19"/>
      <c r="F69" s="19"/>
      <c r="G69" s="19"/>
      <c r="H69" s="19"/>
      <c r="I69" s="19"/>
      <c r="K69" s="100"/>
      <c r="M69" s="104"/>
      <c r="N69" s="108"/>
      <c r="O69" s="70"/>
      <c r="P69" s="110"/>
      <c r="S69" s="108"/>
      <c r="V69" s="98">
        <v>65</v>
      </c>
      <c r="W69" s="58">
        <f t="shared" si="1"/>
        <v>7.333333333333325</v>
      </c>
      <c r="X69" s="41">
        <f aca="true" t="shared" si="2" ref="X69:X132">$W69-0.5*(2.34*$N$4/($N$5*$W69/3*$D$10))*(1+SQRT(1+(4.36*($D$22+$D$11+$D$16)/(2.34*$N$4/($N$5*$W69/3*$D$10)))))</f>
        <v>-15.577038629248097</v>
      </c>
      <c r="Z69" s="117"/>
      <c r="AB69" s="62"/>
      <c r="AC69" s="98"/>
      <c r="AD69" s="62"/>
      <c r="AE69" s="123"/>
      <c r="AF69" s="123"/>
    </row>
    <row r="70" spans="1:32" ht="12.75">
      <c r="A70" s="19"/>
      <c r="B70" s="19"/>
      <c r="C70" s="19"/>
      <c r="D70" s="19"/>
      <c r="E70" s="19"/>
      <c r="F70" s="19"/>
      <c r="G70" s="19"/>
      <c r="H70" s="19"/>
      <c r="I70" s="19"/>
      <c r="K70" s="100"/>
      <c r="V70" s="98">
        <v>66</v>
      </c>
      <c r="W70" s="58">
        <f aca="true" t="shared" si="3" ref="W70:W133">$W69+1/12</f>
        <v>7.416666666666658</v>
      </c>
      <c r="X70" s="41">
        <f t="shared" si="2"/>
        <v>-15.330184015092616</v>
      </c>
      <c r="Z70" s="117"/>
      <c r="AB70" s="62"/>
      <c r="AC70" s="98"/>
      <c r="AD70" s="62"/>
      <c r="AE70" s="123"/>
      <c r="AF70" s="123"/>
    </row>
    <row r="71" spans="1:32" ht="12.75">
      <c r="A71" s="19"/>
      <c r="B71" s="19"/>
      <c r="C71" s="19"/>
      <c r="D71" s="19"/>
      <c r="E71" s="19"/>
      <c r="F71" s="19"/>
      <c r="G71" s="19"/>
      <c r="H71" s="19"/>
      <c r="I71" s="19"/>
      <c r="K71" s="100"/>
      <c r="M71" s="104"/>
      <c r="N71" s="108"/>
      <c r="O71" s="106"/>
      <c r="P71" s="106"/>
      <c r="V71" s="98">
        <v>67</v>
      </c>
      <c r="W71" s="58">
        <f t="shared" si="3"/>
        <v>7.499999999999991</v>
      </c>
      <c r="X71" s="41">
        <f t="shared" si="2"/>
        <v>-15.086480026390623</v>
      </c>
      <c r="Z71" s="117"/>
      <c r="AB71" s="62"/>
      <c r="AC71" s="98"/>
      <c r="AD71" s="62"/>
      <c r="AE71" s="123"/>
      <c r="AF71" s="123"/>
    </row>
    <row r="72" spans="1:32" ht="12.75">
      <c r="A72" s="19"/>
      <c r="B72" s="225"/>
      <c r="C72" s="224"/>
      <c r="D72" s="19"/>
      <c r="E72" s="19"/>
      <c r="F72" s="19"/>
      <c r="G72" s="19"/>
      <c r="H72" s="19"/>
      <c r="I72" s="19"/>
      <c r="M72" s="98"/>
      <c r="N72" s="105"/>
      <c r="O72" s="106"/>
      <c r="P72" s="106"/>
      <c r="V72" s="98">
        <v>68</v>
      </c>
      <c r="W72" s="58">
        <f t="shared" si="3"/>
        <v>7.583333333333324</v>
      </c>
      <c r="X72" s="41">
        <f t="shared" si="2"/>
        <v>-14.845830179562846</v>
      </c>
      <c r="Z72" s="117"/>
      <c r="AB72" s="62"/>
      <c r="AC72" s="98"/>
      <c r="AD72" s="62"/>
      <c r="AE72" s="123"/>
      <c r="AF72" s="123"/>
    </row>
    <row r="73" spans="1:32" ht="12.75">
      <c r="A73" s="19"/>
      <c r="B73" s="225"/>
      <c r="C73" s="224"/>
      <c r="D73" s="19"/>
      <c r="E73" s="19"/>
      <c r="F73" s="19"/>
      <c r="G73" s="19"/>
      <c r="H73" s="19"/>
      <c r="I73" s="19"/>
      <c r="M73" s="69"/>
      <c r="N73" s="108"/>
      <c r="O73" s="106"/>
      <c r="P73" s="112"/>
      <c r="V73" s="98">
        <v>69</v>
      </c>
      <c r="W73" s="58">
        <f t="shared" si="3"/>
        <v>7.666666666666657</v>
      </c>
      <c r="X73" s="41">
        <f t="shared" si="2"/>
        <v>-14.608141999830117</v>
      </c>
      <c r="Z73" s="117"/>
      <c r="AB73" s="62"/>
      <c r="AC73" s="98"/>
      <c r="AD73" s="62"/>
      <c r="AE73" s="123"/>
      <c r="AF73" s="123"/>
    </row>
    <row r="74" spans="1:32" ht="12.75">
      <c r="A74" s="19"/>
      <c r="B74" s="19"/>
      <c r="C74" s="19"/>
      <c r="D74" s="19"/>
      <c r="E74" s="19"/>
      <c r="F74" s="19"/>
      <c r="G74" s="19"/>
      <c r="H74" s="19"/>
      <c r="I74" s="19"/>
      <c r="M74" s="104"/>
      <c r="N74" s="102"/>
      <c r="O74" s="106"/>
      <c r="P74" s="106"/>
      <c r="V74" s="98">
        <v>70</v>
      </c>
      <c r="W74" s="58">
        <f t="shared" si="3"/>
        <v>7.74999999999999</v>
      </c>
      <c r="X74" s="41">
        <f t="shared" si="2"/>
        <v>-14.373326812190868</v>
      </c>
      <c r="Z74" s="117"/>
      <c r="AB74" s="62"/>
      <c r="AC74" s="98"/>
      <c r="AD74" s="62"/>
      <c r="AE74" s="123"/>
      <c r="AF74" s="123"/>
    </row>
    <row r="75" spans="1:32" ht="12.75">
      <c r="A75" s="19"/>
      <c r="B75" s="19"/>
      <c r="C75" s="19"/>
      <c r="D75" s="19"/>
      <c r="E75" s="19"/>
      <c r="F75" s="19"/>
      <c r="G75" s="19"/>
      <c r="H75" s="19"/>
      <c r="I75" s="19"/>
      <c r="M75" s="104"/>
      <c r="N75" s="105"/>
      <c r="O75" s="70"/>
      <c r="P75" s="46"/>
      <c r="V75" s="98">
        <v>71</v>
      </c>
      <c r="W75" s="58">
        <f t="shared" si="3"/>
        <v>7.833333333333323</v>
      </c>
      <c r="X75" s="41">
        <f t="shared" si="2"/>
        <v>-14.141299545451128</v>
      </c>
      <c r="Z75" s="117"/>
      <c r="AB75" s="62"/>
      <c r="AC75" s="98"/>
      <c r="AD75" s="62"/>
      <c r="AE75" s="123"/>
      <c r="AF75" s="123"/>
    </row>
    <row r="76" spans="1:32" ht="12.75">
      <c r="A76" s="19"/>
      <c r="B76" s="225"/>
      <c r="C76" s="224"/>
      <c r="D76" s="19"/>
      <c r="E76" s="19"/>
      <c r="F76" s="19"/>
      <c r="G76" s="19"/>
      <c r="H76" s="19"/>
      <c r="I76" s="19"/>
      <c r="M76" s="104"/>
      <c r="N76" s="105"/>
      <c r="O76" s="70"/>
      <c r="P76" s="46"/>
      <c r="Q76" s="98"/>
      <c r="V76" s="98">
        <v>72</v>
      </c>
      <c r="W76" s="58">
        <f t="shared" si="3"/>
        <v>7.916666666666656</v>
      </c>
      <c r="X76" s="41">
        <f t="shared" si="2"/>
        <v>-13.9119785483609</v>
      </c>
      <c r="Z76" s="117"/>
      <c r="AB76" s="62"/>
      <c r="AC76" s="98"/>
      <c r="AD76" s="62"/>
      <c r="AE76" s="123"/>
      <c r="AF76" s="123"/>
    </row>
    <row r="77" spans="1:32" ht="12.75">
      <c r="A77" s="19"/>
      <c r="B77" s="225"/>
      <c r="C77" s="224"/>
      <c r="D77" s="19"/>
      <c r="E77" s="19"/>
      <c r="F77" s="19"/>
      <c r="G77" s="19"/>
      <c r="H77" s="19"/>
      <c r="I77" s="19"/>
      <c r="M77" s="106"/>
      <c r="O77" s="96"/>
      <c r="P77" s="106"/>
      <c r="V77" s="98">
        <v>73</v>
      </c>
      <c r="W77" s="58">
        <f t="shared" si="3"/>
        <v>7.999999999999989</v>
      </c>
      <c r="X77" s="41">
        <f t="shared" si="2"/>
        <v>-13.685285416988474</v>
      </c>
      <c r="Z77" s="117"/>
      <c r="AB77" s="62"/>
      <c r="AC77" s="98"/>
      <c r="AD77" s="62"/>
      <c r="AE77" s="123"/>
      <c r="AF77" s="123"/>
    </row>
    <row r="78" spans="1:32" ht="12.75">
      <c r="A78" s="19"/>
      <c r="B78" s="19"/>
      <c r="C78" s="19"/>
      <c r="D78" s="19"/>
      <c r="E78" s="19"/>
      <c r="F78" s="19"/>
      <c r="G78" s="19"/>
      <c r="H78" s="19"/>
      <c r="I78" s="19"/>
      <c r="M78" s="104"/>
      <c r="N78" s="105"/>
      <c r="O78" s="106"/>
      <c r="P78" s="106"/>
      <c r="V78" s="98">
        <v>74</v>
      </c>
      <c r="W78" s="58">
        <f t="shared" si="3"/>
        <v>8.083333333333323</v>
      </c>
      <c r="X78" s="41">
        <f t="shared" si="2"/>
        <v>-13.46114483253521</v>
      </c>
      <c r="Z78" s="117"/>
      <c r="AB78" s="62"/>
      <c r="AC78" s="98"/>
      <c r="AD78" s="62"/>
      <c r="AE78" s="123"/>
      <c r="AF78" s="123"/>
    </row>
    <row r="79" spans="1:32" ht="12.75">
      <c r="A79" s="231"/>
      <c r="B79" s="15"/>
      <c r="C79" s="66"/>
      <c r="D79" s="68"/>
      <c r="E79" s="6"/>
      <c r="F79" s="6"/>
      <c r="G79" s="6"/>
      <c r="H79" s="6"/>
      <c r="I79" s="6"/>
      <c r="M79" s="104"/>
      <c r="N79" s="105"/>
      <c r="O79" s="106"/>
      <c r="P79" s="106"/>
      <c r="V79" s="98">
        <v>75</v>
      </c>
      <c r="W79" s="58">
        <f t="shared" si="3"/>
        <v>8.166666666666657</v>
      </c>
      <c r="X79" s="41">
        <f t="shared" si="2"/>
        <v>-13.239484408857379</v>
      </c>
      <c r="Z79" s="117"/>
      <c r="AB79" s="62"/>
      <c r="AC79" s="98"/>
      <c r="AD79" s="62"/>
      <c r="AE79" s="123"/>
      <c r="AF79" s="123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M80" s="115"/>
      <c r="N80" s="101"/>
      <c r="O80" s="70"/>
      <c r="P80" s="106"/>
      <c r="S80" s="73"/>
      <c r="V80" s="98">
        <v>76</v>
      </c>
      <c r="W80" s="58">
        <f t="shared" si="3"/>
        <v>8.249999999999991</v>
      </c>
      <c r="X80" s="41">
        <f t="shared" si="2"/>
        <v>-13.020234549020268</v>
      </c>
      <c r="Z80" s="117"/>
      <c r="AB80" s="62"/>
      <c r="AC80" s="98"/>
      <c r="AD80" s="62"/>
      <c r="AE80" s="123"/>
      <c r="AF80" s="123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O81" s="96"/>
      <c r="P81" s="106"/>
      <c r="V81" s="98">
        <v>77</v>
      </c>
      <c r="W81" s="58">
        <f t="shared" si="3"/>
        <v>8.333333333333325</v>
      </c>
      <c r="X81" s="41">
        <f t="shared" si="2"/>
        <v>-12.80332831026297</v>
      </c>
      <c r="Z81" s="117"/>
      <c r="AB81" s="62"/>
      <c r="AC81" s="98"/>
      <c r="AD81" s="62"/>
      <c r="AE81" s="123"/>
      <c r="AF81" s="123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M82" s="117"/>
      <c r="N82" s="73"/>
      <c r="O82" s="118"/>
      <c r="P82" s="106"/>
      <c r="V82" s="98">
        <v>78</v>
      </c>
      <c r="W82" s="58">
        <f t="shared" si="3"/>
        <v>8.416666666666659</v>
      </c>
      <c r="X82" s="41">
        <f t="shared" si="2"/>
        <v>-12.588701276801013</v>
      </c>
      <c r="Z82" s="117"/>
      <c r="AB82" s="62"/>
      <c r="AC82" s="98"/>
      <c r="AD82" s="62"/>
      <c r="AE82" s="123"/>
      <c r="AF82" s="123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M83" s="117"/>
      <c r="N83" s="73"/>
      <c r="O83" s="70"/>
      <c r="P83" s="106"/>
      <c r="V83" s="98">
        <v>79</v>
      </c>
      <c r="W83" s="58">
        <f t="shared" si="3"/>
        <v>8.499999999999993</v>
      </c>
      <c r="X83" s="41">
        <f t="shared" si="2"/>
        <v>-12.376291439938075</v>
      </c>
      <c r="Z83" s="117"/>
      <c r="AB83" s="62"/>
      <c r="AC83" s="98"/>
      <c r="AD83" s="62"/>
      <c r="AE83" s="123"/>
      <c r="AF83" s="123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O84" s="96"/>
      <c r="P84" s="106"/>
      <c r="V84" s="98">
        <v>80</v>
      </c>
      <c r="W84" s="58">
        <f t="shared" si="3"/>
        <v>8.583333333333327</v>
      </c>
      <c r="X84" s="41">
        <f t="shared" si="2"/>
        <v>-12.166039084998824</v>
      </c>
      <c r="Z84" s="117"/>
      <c r="AB84" s="62"/>
      <c r="AC84" s="98"/>
      <c r="AD84" s="62"/>
      <c r="AE84" s="123"/>
      <c r="AF84" s="123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M85" s="104"/>
      <c r="N85" s="119"/>
      <c r="O85" s="106"/>
      <c r="P85" s="106"/>
      <c r="V85" s="98">
        <v>81</v>
      </c>
      <c r="W85" s="58">
        <f t="shared" si="3"/>
        <v>8.66666666666666</v>
      </c>
      <c r="X85" s="41">
        <f t="shared" si="2"/>
        <v>-11.957886684631696</v>
      </c>
      <c r="Z85" s="117"/>
      <c r="AB85" s="62"/>
      <c r="AC85" s="98"/>
      <c r="AD85" s="62"/>
      <c r="AE85" s="123"/>
      <c r="AF85" s="123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M86" s="104"/>
      <c r="N86" s="105"/>
      <c r="O86" s="106"/>
      <c r="P86" s="106"/>
      <c r="V86" s="98">
        <v>82</v>
      </c>
      <c r="W86" s="58">
        <f t="shared" si="3"/>
        <v>8.749999999999995</v>
      </c>
      <c r="X86" s="41">
        <f t="shared" si="2"/>
        <v>-11.751778798064569</v>
      </c>
      <c r="Z86" s="117"/>
      <c r="AB86" s="62"/>
      <c r="AC86" s="98"/>
      <c r="AD86" s="62"/>
      <c r="AE86" s="123"/>
      <c r="AF86" s="123"/>
    </row>
    <row r="87" spans="1:32" ht="12.75">
      <c r="A87" s="231"/>
      <c r="B87" s="17"/>
      <c r="C87" s="18"/>
      <c r="D87" s="18"/>
      <c r="E87" s="6"/>
      <c r="F87" s="6"/>
      <c r="G87" s="6"/>
      <c r="H87" s="6"/>
      <c r="I87" s="6"/>
      <c r="M87" s="104"/>
      <c r="N87" s="105"/>
      <c r="O87" s="106"/>
      <c r="P87" s="106"/>
      <c r="V87" s="98">
        <v>83</v>
      </c>
      <c r="W87" s="58">
        <f t="shared" si="3"/>
        <v>8.833333333333329</v>
      </c>
      <c r="X87" s="41">
        <f t="shared" si="2"/>
        <v>-11.54766197592716</v>
      </c>
      <c r="Z87" s="117"/>
      <c r="AB87" s="62"/>
      <c r="AC87" s="98"/>
      <c r="AD87" s="62"/>
      <c r="AE87" s="123"/>
      <c r="AF87" s="123"/>
    </row>
    <row r="88" spans="1:32" ht="12.75">
      <c r="A88" s="12"/>
      <c r="B88" s="15"/>
      <c r="C88" s="66"/>
      <c r="D88" s="18"/>
      <c r="E88" s="6"/>
      <c r="F88" s="6"/>
      <c r="G88" s="6"/>
      <c r="H88" s="6"/>
      <c r="I88" s="6"/>
      <c r="M88" s="104"/>
      <c r="N88" s="105"/>
      <c r="O88" s="106"/>
      <c r="P88" s="106"/>
      <c r="V88" s="98">
        <v>84</v>
      </c>
      <c r="W88" s="58">
        <f t="shared" si="3"/>
        <v>8.916666666666663</v>
      </c>
      <c r="X88" s="41">
        <f t="shared" si="2"/>
        <v>-11.345484670282493</v>
      </c>
      <c r="Z88" s="117"/>
      <c r="AB88" s="62"/>
      <c r="AC88" s="98"/>
      <c r="AD88" s="62"/>
      <c r="AE88" s="123"/>
      <c r="AF88" s="123"/>
    </row>
    <row r="89" spans="1:32" ht="12.75">
      <c r="A89" s="12"/>
      <c r="B89" s="15"/>
      <c r="C89" s="66"/>
      <c r="D89" s="18"/>
      <c r="E89" s="6"/>
      <c r="F89" s="6"/>
      <c r="G89" s="6"/>
      <c r="H89" s="6"/>
      <c r="I89" s="6"/>
      <c r="M89" s="104"/>
      <c r="N89" s="73"/>
      <c r="O89" s="96"/>
      <c r="P89" s="106"/>
      <c r="V89" s="98">
        <v>85</v>
      </c>
      <c r="W89" s="58">
        <f t="shared" si="3"/>
        <v>8.999999999999996</v>
      </c>
      <c r="X89" s="41">
        <f t="shared" si="2"/>
        <v>-11.145197149536017</v>
      </c>
      <c r="Z89" s="117"/>
      <c r="AB89" s="62"/>
      <c r="AC89" s="98"/>
      <c r="AD89" s="62"/>
      <c r="AE89" s="123"/>
      <c r="AF89" s="123"/>
    </row>
    <row r="90" spans="1:32" ht="12.75">
      <c r="A90" s="12"/>
      <c r="B90" s="15"/>
      <c r="C90" s="66"/>
      <c r="D90" s="18"/>
      <c r="E90" s="6"/>
      <c r="F90" s="6"/>
      <c r="G90" s="6"/>
      <c r="H90" s="6"/>
      <c r="I90" s="6"/>
      <c r="M90" s="104"/>
      <c r="N90" s="73"/>
      <c r="O90" s="96"/>
      <c r="P90" s="106"/>
      <c r="V90" s="98">
        <v>86</v>
      </c>
      <c r="W90" s="58">
        <f t="shared" si="3"/>
        <v>9.08333333333333</v>
      </c>
      <c r="X90" s="41">
        <f t="shared" si="2"/>
        <v>-10.946751417914713</v>
      </c>
      <c r="Z90" s="117"/>
      <c r="AB90" s="62"/>
      <c r="AC90" s="98"/>
      <c r="AD90" s="62"/>
      <c r="AE90" s="123"/>
      <c r="AF90" s="123"/>
    </row>
    <row r="91" spans="1:32" ht="12.75">
      <c r="A91" s="12"/>
      <c r="B91" s="15"/>
      <c r="C91" s="66"/>
      <c r="D91" s="18"/>
      <c r="E91" s="6"/>
      <c r="F91" s="6"/>
      <c r="G91" s="6"/>
      <c r="H91" s="6"/>
      <c r="I91" s="6"/>
      <c r="M91" s="104"/>
      <c r="N91" s="38"/>
      <c r="O91" s="106"/>
      <c r="P91" s="72"/>
      <c r="R91" s="120"/>
      <c r="S91" s="100"/>
      <c r="V91" s="98">
        <v>87</v>
      </c>
      <c r="W91" s="58">
        <f t="shared" si="3"/>
        <v>9.166666666666664</v>
      </c>
      <c r="X91" s="41">
        <f t="shared" si="2"/>
        <v>-10.750101139230846</v>
      </c>
      <c r="Z91" s="117"/>
      <c r="AB91" s="62"/>
      <c r="AC91" s="98"/>
      <c r="AD91" s="62"/>
      <c r="AE91" s="123"/>
      <c r="AF91" s="123"/>
    </row>
    <row r="92" spans="1:32" ht="12.75">
      <c r="A92" s="12"/>
      <c r="B92" s="15"/>
      <c r="C92" s="66"/>
      <c r="D92" s="18"/>
      <c r="E92" s="6"/>
      <c r="F92" s="6"/>
      <c r="G92" s="6"/>
      <c r="H92" s="6"/>
      <c r="I92" s="6"/>
      <c r="M92" s="104"/>
      <c r="N92" s="38"/>
      <c r="O92" s="106"/>
      <c r="P92" s="72"/>
      <c r="R92" s="73"/>
      <c r="U92" s="108"/>
      <c r="V92" s="98">
        <v>88</v>
      </c>
      <c r="W92" s="58">
        <f t="shared" si="3"/>
        <v>9.249999999999998</v>
      </c>
      <c r="X92" s="41">
        <f t="shared" si="2"/>
        <v>-10.555201564665053</v>
      </c>
      <c r="Z92" s="117"/>
      <c r="AB92" s="62"/>
      <c r="AC92" s="98"/>
      <c r="AD92" s="62"/>
      <c r="AE92" s="123"/>
      <c r="AF92" s="123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M93" s="104"/>
      <c r="N93" s="105"/>
      <c r="O93" s="70"/>
      <c r="P93" s="70"/>
      <c r="V93" s="98">
        <v>89</v>
      </c>
      <c r="W93" s="58">
        <f t="shared" si="3"/>
        <v>9.333333333333332</v>
      </c>
      <c r="X93" s="41">
        <f t="shared" si="2"/>
        <v>-10.36200946432232</v>
      </c>
      <c r="Z93" s="117"/>
      <c r="AB93" s="62"/>
      <c r="AC93" s="98"/>
      <c r="AD93" s="62"/>
      <c r="AE93" s="123"/>
      <c r="AF93" s="123"/>
    </row>
    <row r="94" spans="1:32" ht="12.75">
      <c r="A94" s="232"/>
      <c r="B94" s="18"/>
      <c r="C94" s="6"/>
      <c r="D94" s="6"/>
      <c r="E94" s="6"/>
      <c r="F94" s="6"/>
      <c r="G94" s="6"/>
      <c r="H94" s="6"/>
      <c r="I94" s="6"/>
      <c r="M94" s="104"/>
      <c r="N94" s="105"/>
      <c r="O94" s="106"/>
      <c r="P94" s="106"/>
      <c r="V94" s="98">
        <v>90</v>
      </c>
      <c r="W94" s="58">
        <f t="shared" si="3"/>
        <v>9.416666666666666</v>
      </c>
      <c r="X94" s="41">
        <f t="shared" si="2"/>
        <v>-10.17048306233149</v>
      </c>
      <c r="Z94" s="117"/>
      <c r="AB94" s="62"/>
      <c r="AC94" s="98"/>
      <c r="AD94" s="62"/>
      <c r="AE94" s="123"/>
      <c r="AF94" s="123"/>
    </row>
    <row r="95" spans="1:32" ht="12.75">
      <c r="A95" s="6"/>
      <c r="B95" s="18"/>
      <c r="C95" s="6"/>
      <c r="D95" s="6"/>
      <c r="E95" s="6"/>
      <c r="F95" s="6"/>
      <c r="G95" s="6"/>
      <c r="H95" s="6"/>
      <c r="I95" s="6"/>
      <c r="M95" s="104"/>
      <c r="N95" s="38"/>
      <c r="O95" s="106"/>
      <c r="P95" s="72"/>
      <c r="V95" s="98">
        <v>91</v>
      </c>
      <c r="W95" s="58">
        <f t="shared" si="3"/>
        <v>9.5</v>
      </c>
      <c r="X95" s="41">
        <f t="shared" si="2"/>
        <v>-9.980581975274838</v>
      </c>
      <c r="Z95" s="117"/>
      <c r="AB95" s="62"/>
      <c r="AC95" s="98"/>
      <c r="AD95" s="62"/>
      <c r="AE95" s="123"/>
      <c r="AF95" s="123"/>
    </row>
    <row r="96" spans="1:32" ht="12.75">
      <c r="A96" s="6"/>
      <c r="B96" s="29"/>
      <c r="C96" s="6"/>
      <c r="D96" s="6"/>
      <c r="E96" s="6"/>
      <c r="F96" s="6"/>
      <c r="G96" s="6"/>
      <c r="H96" s="6"/>
      <c r="I96" s="6"/>
      <c r="M96" s="104"/>
      <c r="N96" s="38"/>
      <c r="O96" s="106"/>
      <c r="P96" s="72"/>
      <c r="V96" s="98">
        <v>92</v>
      </c>
      <c r="W96" s="58">
        <f t="shared" si="3"/>
        <v>9.583333333333334</v>
      </c>
      <c r="X96" s="41">
        <f t="shared" si="2"/>
        <v>-9.792267153748858</v>
      </c>
      <c r="Z96" s="117"/>
      <c r="AB96" s="62"/>
      <c r="AC96" s="98"/>
      <c r="AD96" s="62"/>
      <c r="AE96" s="123"/>
      <c r="AF96" s="123"/>
    </row>
    <row r="97" spans="1:32" ht="12.75">
      <c r="A97" s="6"/>
      <c r="B97" s="6"/>
      <c r="C97" s="6"/>
      <c r="D97" s="6"/>
      <c r="E97" s="6"/>
      <c r="F97" s="6"/>
      <c r="G97" s="6"/>
      <c r="H97" s="6"/>
      <c r="I97" s="6"/>
      <c r="M97" s="69"/>
      <c r="N97" s="38"/>
      <c r="O97" s="70"/>
      <c r="P97" s="72"/>
      <c r="S97" s="51"/>
      <c r="V97" s="98">
        <v>93</v>
      </c>
      <c r="W97" s="58">
        <f t="shared" si="3"/>
        <v>9.666666666666668</v>
      </c>
      <c r="X97" s="41">
        <f t="shared" si="2"/>
        <v>-9.605500826870948</v>
      </c>
      <c r="Z97" s="117"/>
      <c r="AB97" s="62"/>
      <c r="AC97" s="98"/>
      <c r="AD97" s="62"/>
      <c r="AE97" s="123"/>
      <c r="AF97" s="123"/>
    </row>
    <row r="98" spans="1:32" ht="12.75">
      <c r="A98" s="6"/>
      <c r="B98" s="6"/>
      <c r="C98" s="6"/>
      <c r="D98" s="6"/>
      <c r="E98" s="6"/>
      <c r="F98" s="6"/>
      <c r="G98" s="6"/>
      <c r="H98" s="6"/>
      <c r="I98" s="6"/>
      <c r="M98" s="69"/>
      <c r="N98" s="38"/>
      <c r="O98" s="70"/>
      <c r="P98" s="72"/>
      <c r="R98" s="106"/>
      <c r="V98" s="98">
        <v>94</v>
      </c>
      <c r="W98" s="58">
        <f t="shared" si="3"/>
        <v>9.750000000000002</v>
      </c>
      <c r="X98" s="41">
        <f t="shared" si="2"/>
        <v>-9.42024644955916</v>
      </c>
      <c r="Z98" s="117"/>
      <c r="AB98" s="62"/>
      <c r="AC98" s="98"/>
      <c r="AD98" s="62"/>
      <c r="AE98" s="123"/>
      <c r="AF98" s="123"/>
    </row>
    <row r="99" spans="1:32" ht="12.75">
      <c r="A99" s="6"/>
      <c r="B99" s="6"/>
      <c r="C99" s="6"/>
      <c r="D99" s="6"/>
      <c r="E99" s="6"/>
      <c r="F99" s="6"/>
      <c r="G99" s="6"/>
      <c r="H99" s="6"/>
      <c r="I99" s="6"/>
      <c r="M99" s="106"/>
      <c r="O99" s="96"/>
      <c r="P99" s="106"/>
      <c r="V99" s="98">
        <v>95</v>
      </c>
      <c r="W99" s="58">
        <f t="shared" si="3"/>
        <v>9.833333333333336</v>
      </c>
      <c r="X99" s="41">
        <f t="shared" si="2"/>
        <v>-9.236468652423696</v>
      </c>
      <c r="Z99" s="117"/>
      <c r="AB99" s="62"/>
      <c r="AC99" s="98"/>
      <c r="AD99" s="62"/>
      <c r="AE99" s="123"/>
      <c r="AF99" s="123"/>
    </row>
    <row r="100" spans="1:32" ht="12.75">
      <c r="A100" s="6"/>
      <c r="B100" s="6"/>
      <c r="C100" s="6"/>
      <c r="D100" s="6"/>
      <c r="E100" s="6"/>
      <c r="F100" s="6"/>
      <c r="G100" s="6"/>
      <c r="H100" s="6"/>
      <c r="I100" s="6"/>
      <c r="M100" s="69"/>
      <c r="N100" s="121"/>
      <c r="O100" s="106"/>
      <c r="P100" s="106"/>
      <c r="V100" s="98">
        <v>96</v>
      </c>
      <c r="W100" s="58">
        <f t="shared" si="3"/>
        <v>9.91666666666667</v>
      </c>
      <c r="X100" s="41">
        <f t="shared" si="2"/>
        <v>-9.054133194119492</v>
      </c>
      <c r="Z100" s="117"/>
      <c r="AB100" s="62"/>
      <c r="AC100" s="98"/>
      <c r="AD100" s="62"/>
      <c r="AE100" s="123"/>
      <c r="AF100" s="123"/>
    </row>
    <row r="101" spans="1:32" ht="12.75">
      <c r="A101" s="6"/>
      <c r="B101" s="6"/>
      <c r="C101" s="6"/>
      <c r="D101" s="6"/>
      <c r="E101" s="6"/>
      <c r="F101" s="6"/>
      <c r="G101" s="6"/>
      <c r="H101" s="32"/>
      <c r="I101" s="229"/>
      <c r="M101" s="69"/>
      <c r="N101" s="121"/>
      <c r="O101" s="106"/>
      <c r="P101" s="106"/>
      <c r="V101" s="98">
        <v>97</v>
      </c>
      <c r="W101" s="58">
        <f t="shared" si="3"/>
        <v>10.000000000000004</v>
      </c>
      <c r="X101" s="41">
        <f t="shared" si="2"/>
        <v>-8.873206916019221</v>
      </c>
      <c r="Z101" s="117"/>
      <c r="AB101" s="62"/>
      <c r="AC101" s="98"/>
      <c r="AD101" s="62"/>
      <c r="AE101" s="123"/>
      <c r="AF101" s="123"/>
    </row>
    <row r="102" spans="1:32" ht="12.75">
      <c r="A102" s="6"/>
      <c r="B102" s="6"/>
      <c r="C102" s="6"/>
      <c r="D102" s="6"/>
      <c r="E102" s="6"/>
      <c r="F102" s="6"/>
      <c r="G102" s="6"/>
      <c r="H102" s="32"/>
      <c r="I102" s="230"/>
      <c r="M102" s="69"/>
      <c r="N102" s="121"/>
      <c r="O102" s="106"/>
      <c r="P102" s="106"/>
      <c r="V102" s="98">
        <v>98</v>
      </c>
      <c r="W102" s="58">
        <f t="shared" si="3"/>
        <v>10.083333333333337</v>
      </c>
      <c r="X102" s="41">
        <f t="shared" si="2"/>
        <v>-8.69365769907507</v>
      </c>
      <c r="Z102" s="117"/>
      <c r="AB102" s="62"/>
      <c r="AC102" s="98"/>
      <c r="AD102" s="62"/>
      <c r="AE102" s="123"/>
      <c r="AF102" s="123"/>
    </row>
    <row r="103" spans="1:32" ht="12.75">
      <c r="A103" s="6"/>
      <c r="B103" s="18"/>
      <c r="C103" s="6"/>
      <c r="D103" s="6"/>
      <c r="E103" s="149"/>
      <c r="F103" s="149"/>
      <c r="G103" s="149"/>
      <c r="H103" s="150"/>
      <c r="I103" s="36"/>
      <c r="M103" s="104"/>
      <c r="N103" s="119"/>
      <c r="O103" s="106"/>
      <c r="P103" s="106"/>
      <c r="V103" s="98">
        <v>99</v>
      </c>
      <c r="W103" s="58">
        <f t="shared" si="3"/>
        <v>10.166666666666671</v>
      </c>
      <c r="X103" s="41">
        <f t="shared" si="2"/>
        <v>-8.515454422746274</v>
      </c>
      <c r="Z103" s="117"/>
      <c r="AB103" s="62"/>
      <c r="AC103" s="98"/>
      <c r="AD103" s="62"/>
      <c r="AE103" s="123"/>
      <c r="AF103" s="123"/>
    </row>
    <row r="104" spans="1:32" ht="12.75">
      <c r="A104" s="6"/>
      <c r="B104" s="18"/>
      <c r="C104" s="6"/>
      <c r="D104" s="6"/>
      <c r="E104" s="149"/>
      <c r="F104" s="149"/>
      <c r="G104" s="149"/>
      <c r="H104" s="150"/>
      <c r="I104" s="36"/>
      <c r="M104" s="114"/>
      <c r="N104" s="119"/>
      <c r="O104" s="96"/>
      <c r="P104" s="111"/>
      <c r="V104" s="98">
        <v>100</v>
      </c>
      <c r="W104" s="58">
        <f t="shared" si="3"/>
        <v>10.250000000000005</v>
      </c>
      <c r="X104" s="41">
        <f t="shared" si="2"/>
        <v>-8.33856692587713</v>
      </c>
      <c r="Z104" s="117"/>
      <c r="AB104" s="62"/>
      <c r="AC104" s="98"/>
      <c r="AD104" s="62"/>
      <c r="AE104" s="123"/>
      <c r="AF104" s="123"/>
    </row>
    <row r="105" spans="1:32" ht="12.75">
      <c r="A105" s="12"/>
      <c r="B105" s="29"/>
      <c r="C105" s="18"/>
      <c r="D105" s="6"/>
      <c r="E105" s="149"/>
      <c r="F105" s="149"/>
      <c r="G105" s="149"/>
      <c r="H105" s="150"/>
      <c r="I105" s="10"/>
      <c r="M105" s="104"/>
      <c r="N105" s="100"/>
      <c r="O105" s="106"/>
      <c r="P105" s="106"/>
      <c r="V105" s="98">
        <v>101</v>
      </c>
      <c r="W105" s="58">
        <f t="shared" si="3"/>
        <v>10.33333333333334</v>
      </c>
      <c r="X105" s="41">
        <f t="shared" si="2"/>
        <v>-8.162965969417677</v>
      </c>
      <c r="Z105" s="117"/>
      <c r="AB105" s="62"/>
      <c r="AC105" s="98"/>
      <c r="AD105" s="62"/>
      <c r="AE105" s="123"/>
      <c r="AF105" s="123"/>
    </row>
    <row r="106" spans="1:32" ht="12.75">
      <c r="A106" s="6"/>
      <c r="B106" s="6"/>
      <c r="C106" s="6"/>
      <c r="D106" s="19"/>
      <c r="E106" s="149"/>
      <c r="F106" s="149"/>
      <c r="G106" s="149"/>
      <c r="H106" s="149"/>
      <c r="I106" s="10"/>
      <c r="M106" s="104"/>
      <c r="N106" s="100"/>
      <c r="O106" s="106"/>
      <c r="P106" s="106"/>
      <c r="V106" s="98">
        <v>102</v>
      </c>
      <c r="W106" s="58">
        <f t="shared" si="3"/>
        <v>10.416666666666673</v>
      </c>
      <c r="X106" s="41">
        <f t="shared" si="2"/>
        <v>-7.988623200885884</v>
      </c>
      <c r="Z106" s="117"/>
      <c r="AB106" s="62"/>
      <c r="AC106" s="98"/>
      <c r="AD106" s="62"/>
      <c r="AE106" s="123"/>
      <c r="AF106" s="123"/>
    </row>
    <row r="107" spans="1:32" ht="12.75">
      <c r="A107" s="149"/>
      <c r="B107" s="149"/>
      <c r="C107" s="149"/>
      <c r="D107" s="149"/>
      <c r="E107" s="149"/>
      <c r="F107" s="149"/>
      <c r="G107" s="149"/>
      <c r="H107" s="149"/>
      <c r="I107" s="10"/>
      <c r="M107" s="104"/>
      <c r="N107" s="119"/>
      <c r="O107" s="106"/>
      <c r="P107" s="106"/>
      <c r="V107" s="98">
        <v>103</v>
      </c>
      <c r="W107" s="58">
        <f t="shared" si="3"/>
        <v>10.500000000000007</v>
      </c>
      <c r="X107" s="41">
        <f t="shared" si="2"/>
        <v>-7.815511120476682</v>
      </c>
      <c r="Z107" s="117"/>
      <c r="AB107" s="62"/>
      <c r="AC107" s="98"/>
      <c r="AD107" s="62"/>
      <c r="AE107" s="123"/>
      <c r="AF107" s="123"/>
    </row>
    <row r="108" spans="1:32" ht="12.75">
      <c r="A108" s="6"/>
      <c r="B108" s="12"/>
      <c r="C108" s="18"/>
      <c r="D108" s="18"/>
      <c r="E108" s="10"/>
      <c r="F108" s="10"/>
      <c r="G108" s="10"/>
      <c r="H108" s="10"/>
      <c r="I108" s="10"/>
      <c r="M108" s="114"/>
      <c r="N108" s="119"/>
      <c r="O108" s="96"/>
      <c r="P108" s="111"/>
      <c r="V108" s="98">
        <v>104</v>
      </c>
      <c r="W108" s="58">
        <f t="shared" si="3"/>
        <v>10.583333333333341</v>
      </c>
      <c r="X108" s="41">
        <f t="shared" si="2"/>
        <v>-7.643603048728741</v>
      </c>
      <c r="Z108" s="117"/>
      <c r="AB108" s="62"/>
      <c r="AC108" s="98"/>
      <c r="AD108" s="62"/>
      <c r="AE108" s="123"/>
      <c r="AF108" s="123"/>
    </row>
    <row r="109" spans="1:32" ht="12.75">
      <c r="A109" s="12"/>
      <c r="B109" s="38"/>
      <c r="C109" s="18"/>
      <c r="D109" s="18"/>
      <c r="E109" s="10"/>
      <c r="F109" s="10"/>
      <c r="G109" s="10"/>
      <c r="H109" s="10"/>
      <c r="I109" s="10"/>
      <c r="M109" s="114"/>
      <c r="N109" s="102"/>
      <c r="O109" s="96"/>
      <c r="P109" s="111"/>
      <c r="V109" s="98">
        <v>105</v>
      </c>
      <c r="W109" s="58">
        <f t="shared" si="3"/>
        <v>10.666666666666675</v>
      </c>
      <c r="X109" s="41">
        <f t="shared" si="2"/>
        <v>-7.4728730956658005</v>
      </c>
      <c r="Z109" s="117"/>
      <c r="AB109" s="62"/>
      <c r="AC109" s="98"/>
      <c r="AD109" s="62"/>
      <c r="AE109" s="123"/>
      <c r="AF109" s="123"/>
    </row>
    <row r="110" spans="1:32" ht="12.75">
      <c r="A110" s="12"/>
      <c r="B110" s="38"/>
      <c r="C110" s="18"/>
      <c r="D110" s="18"/>
      <c r="E110" s="10"/>
      <c r="F110" s="10"/>
      <c r="G110" s="10"/>
      <c r="H110" s="39"/>
      <c r="I110" s="28"/>
      <c r="M110" s="114"/>
      <c r="N110" s="119"/>
      <c r="O110" s="96"/>
      <c r="P110" s="51"/>
      <c r="V110" s="98">
        <v>106</v>
      </c>
      <c r="W110" s="58">
        <f t="shared" si="3"/>
        <v>10.750000000000009</v>
      </c>
      <c r="X110" s="41">
        <f t="shared" si="2"/>
        <v>-7.303296131334006</v>
      </c>
      <c r="Z110" s="117"/>
      <c r="AB110" s="62"/>
      <c r="AC110" s="98"/>
      <c r="AD110" s="62"/>
      <c r="AE110" s="123"/>
      <c r="AF110" s="123"/>
    </row>
    <row r="111" spans="1:32" ht="12.75">
      <c r="A111" s="10"/>
      <c r="B111" s="10"/>
      <c r="C111" s="10"/>
      <c r="D111" s="10"/>
      <c r="E111" s="10"/>
      <c r="F111" s="10"/>
      <c r="G111" s="10"/>
      <c r="H111" s="10"/>
      <c r="I111" s="10"/>
      <c r="M111" s="104"/>
      <c r="N111" s="108"/>
      <c r="O111" s="106"/>
      <c r="P111" s="106"/>
      <c r="V111" s="98">
        <v>107</v>
      </c>
      <c r="W111" s="58">
        <f t="shared" si="3"/>
        <v>10.833333333333343</v>
      </c>
      <c r="X111" s="41">
        <f t="shared" si="2"/>
        <v>-7.134847757661774</v>
      </c>
      <c r="Z111" s="117"/>
      <c r="AB111" s="62"/>
      <c r="AC111" s="98"/>
      <c r="AD111" s="62"/>
      <c r="AE111" s="123"/>
      <c r="AF111" s="123"/>
    </row>
    <row r="112" spans="1:32" ht="12.75">
      <c r="A112" s="6"/>
      <c r="B112" s="6"/>
      <c r="C112" s="6"/>
      <c r="D112" s="18"/>
      <c r="E112" s="6"/>
      <c r="F112" s="6"/>
      <c r="G112" s="6"/>
      <c r="H112" s="6"/>
      <c r="I112" s="6"/>
      <c r="M112" s="104"/>
      <c r="N112" s="108"/>
      <c r="O112" s="106"/>
      <c r="P112" s="106"/>
      <c r="V112" s="98">
        <v>108</v>
      </c>
      <c r="W112" s="58">
        <f t="shared" si="3"/>
        <v>10.916666666666677</v>
      </c>
      <c r="X112" s="41">
        <f t="shared" si="2"/>
        <v>-6.967504281572948</v>
      </c>
      <c r="Z112" s="117"/>
      <c r="AB112" s="62"/>
      <c r="AC112" s="98"/>
      <c r="AD112" s="62"/>
      <c r="AE112" s="123"/>
      <c r="AF112" s="123"/>
    </row>
    <row r="113" spans="1:32" ht="12.75">
      <c r="A113" s="40"/>
      <c r="B113" s="38"/>
      <c r="C113" s="26"/>
      <c r="D113" s="26"/>
      <c r="E113" s="10"/>
      <c r="F113" s="10"/>
      <c r="G113" s="10"/>
      <c r="H113" s="10"/>
      <c r="I113" s="10"/>
      <c r="M113" s="114"/>
      <c r="N113" s="119"/>
      <c r="O113" s="96"/>
      <c r="P113" s="111"/>
      <c r="V113" s="98">
        <v>109</v>
      </c>
      <c r="W113" s="58">
        <f t="shared" si="3"/>
        <v>11.00000000000001</v>
      </c>
      <c r="X113" s="41">
        <f t="shared" si="2"/>
        <v>-6.801242689288205</v>
      </c>
      <c r="Z113" s="117"/>
      <c r="AB113" s="62"/>
      <c r="AC113" s="98"/>
      <c r="AD113" s="62"/>
      <c r="AE113" s="123"/>
      <c r="AF113" s="123"/>
    </row>
    <row r="114" spans="1:32" ht="12.75">
      <c r="A114" s="40"/>
      <c r="B114" s="41"/>
      <c r="C114" s="26"/>
      <c r="D114" s="26"/>
      <c r="E114" s="10"/>
      <c r="F114" s="10"/>
      <c r="G114" s="10"/>
      <c r="H114" s="10"/>
      <c r="I114" s="10"/>
      <c r="M114" s="104"/>
      <c r="N114" s="105"/>
      <c r="O114" s="106"/>
      <c r="P114" s="46"/>
      <c r="V114" s="98">
        <v>110</v>
      </c>
      <c r="W114" s="58">
        <f t="shared" si="3"/>
        <v>11.083333333333345</v>
      </c>
      <c r="X114" s="41">
        <f t="shared" si="2"/>
        <v>-6.636040621753514</v>
      </c>
      <c r="Z114" s="117"/>
      <c r="AB114" s="62"/>
      <c r="AC114" s="98"/>
      <c r="AD114" s="62"/>
      <c r="AE114" s="123"/>
      <c r="AF114" s="123"/>
    </row>
    <row r="115" spans="1:32" ht="12.75">
      <c r="A115" s="42"/>
      <c r="B115" s="41"/>
      <c r="C115" s="26"/>
      <c r="D115" s="27"/>
      <c r="E115" s="10"/>
      <c r="F115" s="10"/>
      <c r="G115" s="10"/>
      <c r="H115" s="10"/>
      <c r="I115" s="10"/>
      <c r="O115" s="96"/>
      <c r="P115" s="46"/>
      <c r="V115" s="98">
        <v>111</v>
      </c>
      <c r="W115" s="58">
        <f t="shared" si="3"/>
        <v>11.166666666666679</v>
      </c>
      <c r="X115" s="41">
        <f t="shared" si="2"/>
        <v>-6.471876351137968</v>
      </c>
      <c r="Z115" s="117"/>
      <c r="AB115" s="62"/>
      <c r="AC115" s="98"/>
      <c r="AD115" s="62"/>
      <c r="AE115" s="123"/>
      <c r="AF115" s="123"/>
    </row>
    <row r="116" spans="1:32" ht="12.75">
      <c r="A116" s="42"/>
      <c r="B116" s="41"/>
      <c r="C116" s="26"/>
      <c r="D116" s="27"/>
      <c r="E116" s="10"/>
      <c r="F116" s="10"/>
      <c r="G116" s="10"/>
      <c r="H116" s="10"/>
      <c r="I116" s="10"/>
      <c r="M116" s="106"/>
      <c r="O116" s="96"/>
      <c r="P116" s="122"/>
      <c r="V116" s="98">
        <v>112</v>
      </c>
      <c r="W116" s="58">
        <f t="shared" si="3"/>
        <v>11.250000000000012</v>
      </c>
      <c r="X116" s="41">
        <f t="shared" si="2"/>
        <v>-6.308728758346836</v>
      </c>
      <c r="Z116" s="117"/>
      <c r="AB116" s="62"/>
      <c r="AC116" s="98"/>
      <c r="AD116" s="62"/>
      <c r="AE116" s="123"/>
      <c r="AF116" s="123"/>
    </row>
    <row r="117" spans="1:32" ht="12.75">
      <c r="A117" s="10"/>
      <c r="B117" s="10"/>
      <c r="C117" s="10"/>
      <c r="D117" s="10"/>
      <c r="E117" s="10"/>
      <c r="F117" s="10"/>
      <c r="G117" s="43"/>
      <c r="H117" s="10"/>
      <c r="I117" s="10"/>
      <c r="M117" s="104"/>
      <c r="N117" s="105"/>
      <c r="O117" s="106"/>
      <c r="P117" s="106"/>
      <c r="V117" s="98">
        <v>113</v>
      </c>
      <c r="W117" s="58">
        <f t="shared" si="3"/>
        <v>11.333333333333346</v>
      </c>
      <c r="X117" s="41">
        <f t="shared" si="2"/>
        <v>-6.146577311498646</v>
      </c>
      <c r="Z117" s="117"/>
      <c r="AB117" s="62"/>
      <c r="AC117" s="98"/>
      <c r="AD117" s="62"/>
      <c r="AE117" s="123"/>
      <c r="AF117" s="123"/>
    </row>
    <row r="118" spans="1:32" ht="12.75">
      <c r="A118" s="44"/>
      <c r="B118" s="38"/>
      <c r="C118" s="18"/>
      <c r="D118" s="18"/>
      <c r="E118" s="6"/>
      <c r="F118" s="43"/>
      <c r="G118" s="6"/>
      <c r="H118" s="6"/>
      <c r="I118" s="6"/>
      <c r="M118" s="104"/>
      <c r="N118" s="105"/>
      <c r="O118" s="106"/>
      <c r="P118" s="106"/>
      <c r="V118" s="98">
        <v>114</v>
      </c>
      <c r="W118" s="58">
        <f t="shared" si="3"/>
        <v>11.41666666666668</v>
      </c>
      <c r="X118" s="41">
        <f t="shared" si="2"/>
        <v>-5.98540204531807</v>
      </c>
      <c r="Z118" s="117"/>
      <c r="AB118" s="62"/>
      <c r="AC118" s="98"/>
      <c r="AD118" s="62"/>
      <c r="AE118" s="123"/>
      <c r="AF118" s="123"/>
    </row>
    <row r="119" spans="1:32" ht="12.75">
      <c r="A119" s="10"/>
      <c r="B119" s="10"/>
      <c r="C119" s="10"/>
      <c r="D119" s="10"/>
      <c r="E119" s="10"/>
      <c r="F119" s="10"/>
      <c r="G119" s="10"/>
      <c r="H119" s="10"/>
      <c r="I119" s="10"/>
      <c r="M119" s="104"/>
      <c r="N119" s="105"/>
      <c r="O119" s="106"/>
      <c r="P119" s="106"/>
      <c r="V119" s="98">
        <v>115</v>
      </c>
      <c r="W119" s="58">
        <f t="shared" si="3"/>
        <v>11.500000000000014</v>
      </c>
      <c r="X119" s="41">
        <f t="shared" si="2"/>
        <v>-5.82518354139928</v>
      </c>
      <c r="Z119" s="117"/>
      <c r="AB119" s="62"/>
      <c r="AC119" s="98"/>
      <c r="AD119" s="62"/>
      <c r="AE119" s="123"/>
      <c r="AF119" s="123"/>
    </row>
    <row r="120" spans="1:32" ht="12.75">
      <c r="A120" s="37"/>
      <c r="B120" s="45"/>
      <c r="C120" s="18"/>
      <c r="D120" s="26"/>
      <c r="E120" s="6"/>
      <c r="F120" s="6"/>
      <c r="G120" s="6"/>
      <c r="H120" s="6"/>
      <c r="I120" s="10"/>
      <c r="M120" s="104"/>
      <c r="N120" s="105"/>
      <c r="O120" s="106"/>
      <c r="P120" s="106"/>
      <c r="V120" s="98">
        <v>116</v>
      </c>
      <c r="W120" s="58">
        <f t="shared" si="3"/>
        <v>11.583333333333348</v>
      </c>
      <c r="X120" s="41">
        <f t="shared" si="2"/>
        <v>-5.665902909296802</v>
      </c>
      <c r="Z120" s="117"/>
      <c r="AB120" s="62"/>
      <c r="AC120" s="98"/>
      <c r="AD120" s="62"/>
      <c r="AE120" s="123"/>
      <c r="AF120" s="123"/>
    </row>
    <row r="121" spans="1:32" ht="12.75">
      <c r="A121" s="37"/>
      <c r="B121" s="38"/>
      <c r="C121" s="18"/>
      <c r="D121" s="26"/>
      <c r="E121" s="6"/>
      <c r="F121" s="6"/>
      <c r="G121" s="6"/>
      <c r="H121" s="6"/>
      <c r="I121" s="10"/>
      <c r="M121" s="106"/>
      <c r="O121" s="96"/>
      <c r="P121" s="106"/>
      <c r="V121" s="98">
        <v>117</v>
      </c>
      <c r="W121" s="58">
        <f t="shared" si="3"/>
        <v>11.666666666666682</v>
      </c>
      <c r="X121" s="41">
        <f t="shared" si="2"/>
        <v>-5.507541768403474</v>
      </c>
      <c r="Z121" s="117"/>
      <c r="AB121" s="62"/>
      <c r="AC121" s="98"/>
      <c r="AD121" s="62"/>
      <c r="AE121" s="123"/>
      <c r="AF121" s="123"/>
    </row>
    <row r="122" spans="1:32" ht="12.75">
      <c r="A122" s="22"/>
      <c r="B122" s="38"/>
      <c r="C122" s="29"/>
      <c r="D122" s="26"/>
      <c r="E122" s="6"/>
      <c r="F122" s="6"/>
      <c r="G122" s="6"/>
      <c r="H122" s="6"/>
      <c r="I122" s="10"/>
      <c r="M122" s="104"/>
      <c r="N122" s="108"/>
      <c r="O122" s="106"/>
      <c r="P122" s="106"/>
      <c r="V122" s="98">
        <v>118</v>
      </c>
      <c r="W122" s="58">
        <f t="shared" si="3"/>
        <v>11.750000000000016</v>
      </c>
      <c r="X122" s="41">
        <f t="shared" si="2"/>
        <v>-5.350082230577231</v>
      </c>
      <c r="Z122" s="117"/>
      <c r="AB122" s="62"/>
      <c r="AC122" s="98"/>
      <c r="AD122" s="62"/>
      <c r="AE122" s="123"/>
      <c r="AF122" s="123"/>
    </row>
    <row r="123" spans="1:32" ht="12.75">
      <c r="A123" s="28"/>
      <c r="B123" s="40"/>
      <c r="C123" s="18"/>
      <c r="D123" s="6"/>
      <c r="E123" s="6"/>
      <c r="F123" s="6"/>
      <c r="G123" s="6"/>
      <c r="H123" s="6"/>
      <c r="I123" s="28"/>
      <c r="M123" s="104"/>
      <c r="N123" s="105"/>
      <c r="O123" s="106"/>
      <c r="P123" s="106"/>
      <c r="V123" s="98">
        <v>119</v>
      </c>
      <c r="W123" s="58">
        <f t="shared" si="3"/>
        <v>11.83333333333335</v>
      </c>
      <c r="X123" s="41">
        <f t="shared" si="2"/>
        <v>-5.193506883480687</v>
      </c>
      <c r="Z123" s="117"/>
      <c r="AB123" s="62"/>
      <c r="AC123" s="98"/>
      <c r="AD123" s="62"/>
      <c r="AE123" s="123"/>
      <c r="AF123" s="123"/>
    </row>
    <row r="124" spans="1:32" ht="12.75">
      <c r="A124" s="40"/>
      <c r="B124" s="38"/>
      <c r="C124" s="18"/>
      <c r="D124" s="18"/>
      <c r="E124" s="6"/>
      <c r="F124" s="6"/>
      <c r="G124" s="6"/>
      <c r="H124" s="6"/>
      <c r="I124" s="28"/>
      <c r="M124" s="104"/>
      <c r="N124" s="105"/>
      <c r="O124" s="106"/>
      <c r="P124" s="106"/>
      <c r="T124" s="108"/>
      <c r="V124" s="98">
        <v>120</v>
      </c>
      <c r="W124" s="58">
        <f t="shared" si="3"/>
        <v>11.916666666666684</v>
      </c>
      <c r="X124" s="41">
        <f t="shared" si="2"/>
        <v>-5.037798774599375</v>
      </c>
      <c r="Z124" s="11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3"/>
        <v>12.000000000000018</v>
      </c>
      <c r="X125" s="41">
        <f t="shared" si="2"/>
        <v>-4.8829413959064</v>
      </c>
      <c r="Z125" s="11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3"/>
        <v>12.083333333333352</v>
      </c>
      <c r="X126" s="41">
        <f t="shared" si="2"/>
        <v>-4.728918669142983</v>
      </c>
      <c r="Z126" s="11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3"/>
        <v>12.166666666666686</v>
      </c>
      <c r="X127" s="41">
        <f t="shared" si="2"/>
        <v>-4.5757149316860755</v>
      </c>
      <c r="Z127" s="11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3"/>
        <v>12.25000000000002</v>
      </c>
      <c r="X128" s="41">
        <f t="shared" si="2"/>
        <v>-4.4233149229756865</v>
      </c>
      <c r="Z128" s="11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3"/>
        <v>12.333333333333353</v>
      </c>
      <c r="X129" s="41">
        <f t="shared" si="2"/>
        <v>-4.27170377147613</v>
      </c>
      <c r="Z129" s="11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3"/>
        <v>12.416666666666687</v>
      </c>
      <c r="X130" s="41">
        <f t="shared" si="2"/>
        <v>-4.120866982146529</v>
      </c>
      <c r="Z130" s="11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3"/>
        <v>12.500000000000021</v>
      </c>
      <c r="X131" s="41">
        <f t="shared" si="2"/>
        <v>-3.9707904243975847</v>
      </c>
      <c r="Z131" s="11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3"/>
        <v>12.583333333333355</v>
      </c>
      <c r="X132" s="41">
        <f t="shared" si="2"/>
        <v>-3.82146032051236</v>
      </c>
      <c r="Z132" s="11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3"/>
        <v>12.66666666666669</v>
      </c>
      <c r="X133" s="41">
        <f aca="true" t="shared" si="4" ref="X133:X196">$W133-0.5*(2.34*$N$4/($N$5*$W133/3*$D$10))*(1+SQRT(1+(4.36*($D$22+$D$11+$D$16)/(2.34*$N$4/($N$5*$W133/3*$D$10)))))</f>
        <v>-3.6728632345103875</v>
      </c>
      <c r="Z133" s="11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5" ref="W134:W197">$W133+1/12</f>
        <v>12.750000000000023</v>
      </c>
      <c r="X134" s="41">
        <f t="shared" si="4"/>
        <v>-3.524986061435209</v>
      </c>
      <c r="Z134" s="11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5"/>
        <v>12.833333333333357</v>
      </c>
      <c r="X135" s="41">
        <f t="shared" si="4"/>
        <v>-3.377816017046534</v>
      </c>
      <c r="Z135" s="11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5"/>
        <v>12.916666666666691</v>
      </c>
      <c r="X136" s="41">
        <f t="shared" si="4"/>
        <v>-3.231340627899252</v>
      </c>
      <c r="Z136" s="11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5"/>
        <v>13.000000000000025</v>
      </c>
      <c r="X137" s="41">
        <f t="shared" si="4"/>
        <v>-3.0855477217922562</v>
      </c>
      <c r="Z137" s="11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5"/>
        <v>13.083333333333359</v>
      </c>
      <c r="X138" s="41">
        <f t="shared" si="4"/>
        <v>-2.9404254185711043</v>
      </c>
      <c r="Z138" s="11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5"/>
        <v>13.166666666666693</v>
      </c>
      <c r="X139" s="41">
        <f t="shared" si="4"/>
        <v>-2.7959621212690493</v>
      </c>
      <c r="Z139" s="11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5"/>
        <v>13.250000000000027</v>
      </c>
      <c r="X140" s="41">
        <f t="shared" si="4"/>
        <v>-2.652146507572084</v>
      </c>
      <c r="Z140" s="11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5"/>
        <v>13.33333333333336</v>
      </c>
      <c r="X141" s="41">
        <f t="shared" si="4"/>
        <v>-2.508967521594027</v>
      </c>
      <c r="Z141" s="11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5"/>
        <v>13.416666666666694</v>
      </c>
      <c r="X142" s="41">
        <f t="shared" si="4"/>
        <v>-2.366414365948545</v>
      </c>
      <c r="Z142" s="11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5"/>
        <v>13.500000000000028</v>
      </c>
      <c r="X143" s="41">
        <f t="shared" si="4"/>
        <v>-2.224476494105623</v>
      </c>
      <c r="Z143" s="11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5"/>
        <v>13.583333333333362</v>
      </c>
      <c r="X144" s="41">
        <f t="shared" si="4"/>
        <v>-2.083143603020506</v>
      </c>
      <c r="Z144" s="11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5"/>
        <v>13.666666666666696</v>
      </c>
      <c r="X145" s="41">
        <f t="shared" si="4"/>
        <v>-1.9424056260238114</v>
      </c>
      <c r="Z145" s="11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5"/>
        <v>13.75000000000003</v>
      </c>
      <c r="X146" s="41">
        <f t="shared" si="4"/>
        <v>-1.8022527259619707</v>
      </c>
      <c r="Z146" s="11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5"/>
        <v>13.833333333333364</v>
      </c>
      <c r="X147" s="41">
        <f t="shared" si="4"/>
        <v>-1.662675288577752</v>
      </c>
      <c r="Z147" s="11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5"/>
        <v>13.916666666666698</v>
      </c>
      <c r="X148" s="41">
        <f t="shared" si="4"/>
        <v>-1.5236639161209844</v>
      </c>
      <c r="Z148" s="11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5"/>
        <v>14.000000000000032</v>
      </c>
      <c r="X149" s="41">
        <f t="shared" si="4"/>
        <v>-1.385209421180205</v>
      </c>
      <c r="Z149" s="11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5"/>
        <v>14.083333333333366</v>
      </c>
      <c r="X150" s="41">
        <f t="shared" si="4"/>
        <v>-1.2473028207262278</v>
      </c>
      <c r="Z150" s="11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5"/>
        <v>14.1666666666667</v>
      </c>
      <c r="X151" s="41">
        <f t="shared" si="4"/>
        <v>-1.1099353303591926</v>
      </c>
      <c r="Z151" s="11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5"/>
        <v>14.250000000000034</v>
      </c>
      <c r="X152" s="41">
        <f t="shared" si="4"/>
        <v>-0.9730983587509332</v>
      </c>
      <c r="Z152" s="11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5"/>
        <v>14.333333333333368</v>
      </c>
      <c r="X153" s="41">
        <f t="shared" si="4"/>
        <v>-0.8367835022749421</v>
      </c>
      <c r="Z153" s="11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5"/>
        <v>14.416666666666702</v>
      </c>
      <c r="X154" s="41">
        <f t="shared" si="4"/>
        <v>-0.7009825398165077</v>
      </c>
      <c r="Z154" s="11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5"/>
        <v>14.500000000000036</v>
      </c>
      <c r="X155" s="41">
        <f t="shared" si="4"/>
        <v>-0.5656874277559805</v>
      </c>
      <c r="Z155" s="11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5"/>
        <v>14.58333333333337</v>
      </c>
      <c r="X156" s="41">
        <f t="shared" si="4"/>
        <v>-0.43089029511841304</v>
      </c>
      <c r="Z156" s="11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5"/>
        <v>14.666666666666703</v>
      </c>
      <c r="X157" s="41">
        <f t="shared" si="4"/>
        <v>-0.296583438883113</v>
      </c>
      <c r="Z157" s="11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5"/>
        <v>14.750000000000037</v>
      </c>
      <c r="X158" s="41">
        <f t="shared" si="4"/>
        <v>-0.1627593194469732</v>
      </c>
      <c r="Z158" s="11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5"/>
        <v>14.833333333333371</v>
      </c>
      <c r="X159" s="41">
        <f t="shared" si="4"/>
        <v>-0.029410556235667684</v>
      </c>
      <c r="Z159" s="11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5"/>
        <v>14.916666666666705</v>
      </c>
      <c r="X160" s="41">
        <f t="shared" si="4"/>
        <v>0.10347007654293172</v>
      </c>
      <c r="Z160" s="11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5"/>
        <v>15.000000000000039</v>
      </c>
      <c r="X161" s="41">
        <f t="shared" si="4"/>
        <v>0.23588965400844586</v>
      </c>
      <c r="Z161" s="11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5"/>
        <v>15.083333333333373</v>
      </c>
      <c r="X162" s="41">
        <f t="shared" si="4"/>
        <v>0.3678551045860594</v>
      </c>
      <c r="Z162" s="11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5"/>
        <v>15.166666666666707</v>
      </c>
      <c r="X163" s="41">
        <f t="shared" si="4"/>
        <v>0.4993732138577336</v>
      </c>
      <c r="Z163" s="11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5"/>
        <v>15.25000000000004</v>
      </c>
      <c r="X164" s="41">
        <f t="shared" si="4"/>
        <v>0.6304506282914737</v>
      </c>
      <c r="Z164" s="11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5"/>
        <v>15.333333333333375</v>
      </c>
      <c r="X165" s="41">
        <f t="shared" si="4"/>
        <v>0.7610938588530143</v>
      </c>
      <c r="Z165" s="11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5"/>
        <v>15.416666666666709</v>
      </c>
      <c r="X166" s="41">
        <f t="shared" si="4"/>
        <v>0.8913092845043504</v>
      </c>
      <c r="Z166" s="11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5"/>
        <v>15.500000000000043</v>
      </c>
      <c r="X167" s="41">
        <f t="shared" si="4"/>
        <v>1.0211031555932077</v>
      </c>
      <c r="Z167" s="11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5"/>
        <v>15.583333333333377</v>
      </c>
      <c r="X168" s="41">
        <f t="shared" si="4"/>
        <v>1.1504815971374587</v>
      </c>
      <c r="Z168" s="11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5"/>
        <v>15.66666666666671</v>
      </c>
      <c r="X169" s="41">
        <f t="shared" si="4"/>
        <v>1.2794506120082687</v>
      </c>
      <c r="Z169" s="11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5"/>
        <v>15.750000000000044</v>
      </c>
      <c r="X170" s="41">
        <f t="shared" si="4"/>
        <v>1.4080160840156477</v>
      </c>
      <c r="Z170" s="11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5"/>
        <v>15.833333333333378</v>
      </c>
      <c r="X171" s="41">
        <f t="shared" si="4"/>
        <v>1.5361837808998846</v>
      </c>
      <c r="Z171" s="11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5"/>
        <v>15.916666666666712</v>
      </c>
      <c r="X172" s="41">
        <f t="shared" si="4"/>
        <v>1.6639593572322173</v>
      </c>
      <c r="Z172" s="11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5"/>
        <v>16.000000000000046</v>
      </c>
      <c r="X173" s="41">
        <f t="shared" si="4"/>
        <v>1.7913483572280064</v>
      </c>
      <c r="Z173" s="11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5"/>
        <v>16.08333333333338</v>
      </c>
      <c r="X174" s="41">
        <f t="shared" si="4"/>
        <v>1.9183562174754059</v>
      </c>
      <c r="Z174" s="11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5"/>
        <v>16.16666666666671</v>
      </c>
      <c r="X175" s="41">
        <f t="shared" si="4"/>
        <v>2.0449882695826407</v>
      </c>
      <c r="Z175" s="11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5"/>
        <v>16.250000000000043</v>
      </c>
      <c r="X176" s="41">
        <f t="shared" si="4"/>
        <v>2.17124974274655</v>
      </c>
      <c r="Z176" s="11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5"/>
        <v>16.333333333333375</v>
      </c>
      <c r="X177" s="41">
        <f t="shared" si="4"/>
        <v>2.2971457662453254</v>
      </c>
      <c r="Z177" s="11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5"/>
        <v>16.416666666666707</v>
      </c>
      <c r="X178" s="41">
        <f t="shared" si="4"/>
        <v>2.422681371857898</v>
      </c>
      <c r="Z178" s="11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5"/>
        <v>16.50000000000004</v>
      </c>
      <c r="X179" s="41">
        <f t="shared" si="4"/>
        <v>2.5478614962126134</v>
      </c>
      <c r="Z179" s="11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5"/>
        <v>16.58333333333337</v>
      </c>
      <c r="X180" s="41">
        <f t="shared" si="4"/>
        <v>2.672690983067543</v>
      </c>
      <c r="Z180" s="11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5"/>
        <v>16.666666666666703</v>
      </c>
      <c r="X181" s="41">
        <f t="shared" si="4"/>
        <v>2.7971745855247985</v>
      </c>
      <c r="Z181" s="11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5"/>
        <v>16.750000000000036</v>
      </c>
      <c r="X182" s="41">
        <f t="shared" si="4"/>
        <v>2.9213169681810722</v>
      </c>
      <c r="Z182" s="11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5"/>
        <v>16.833333333333368</v>
      </c>
      <c r="X183" s="41">
        <f t="shared" si="4"/>
        <v>3.045122709216532</v>
      </c>
      <c r="Z183" s="11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5"/>
        <v>16.9166666666667</v>
      </c>
      <c r="X184" s="41">
        <f t="shared" si="4"/>
        <v>3.1685963024241843</v>
      </c>
      <c r="Z184" s="11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5"/>
        <v>17.000000000000032</v>
      </c>
      <c r="X185" s="41">
        <f t="shared" si="4"/>
        <v>3.291742159181636</v>
      </c>
      <c r="Z185" s="11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5"/>
        <v>17.083333333333364</v>
      </c>
      <c r="X186" s="41">
        <f t="shared" si="4"/>
        <v>3.414564610367213</v>
      </c>
      <c r="Z186" s="11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5"/>
        <v>17.166666666666696</v>
      </c>
      <c r="X187" s="41">
        <f t="shared" si="4"/>
        <v>3.5370679082222445</v>
      </c>
      <c r="Z187" s="11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5"/>
        <v>17.25000000000003</v>
      </c>
      <c r="X188" s="41">
        <f t="shared" si="4"/>
        <v>3.659256228161299</v>
      </c>
      <c r="Z188" s="11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5"/>
        <v>17.33333333333336</v>
      </c>
      <c r="X189" s="41">
        <f t="shared" si="4"/>
        <v>3.781133670532057</v>
      </c>
      <c r="Z189" s="11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5"/>
        <v>17.416666666666693</v>
      </c>
      <c r="X190" s="41">
        <f t="shared" si="4"/>
        <v>3.902704262326493</v>
      </c>
      <c r="Z190" s="11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5"/>
        <v>17.500000000000025</v>
      </c>
      <c r="X191" s="41">
        <f t="shared" si="4"/>
        <v>4.023971958844893</v>
      </c>
      <c r="Z191" s="11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5"/>
        <v>17.583333333333357</v>
      </c>
      <c r="X192" s="41">
        <f t="shared" si="4"/>
        <v>4.144940645314282</v>
      </c>
      <c r="Z192" s="11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5"/>
        <v>17.66666666666669</v>
      </c>
      <c r="X193" s="41">
        <f t="shared" si="4"/>
        <v>4.265614138462681</v>
      </c>
      <c r="Z193" s="11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5"/>
        <v>17.75000000000002</v>
      </c>
      <c r="X194" s="41">
        <f t="shared" si="4"/>
        <v>4.38599618805064</v>
      </c>
      <c r="Z194" s="11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5"/>
        <v>17.833333333333353</v>
      </c>
      <c r="X195" s="41">
        <f t="shared" si="4"/>
        <v>4.50609047836136</v>
      </c>
      <c r="Z195" s="11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5"/>
        <v>17.916666666666686</v>
      </c>
      <c r="X196" s="41">
        <f t="shared" si="4"/>
        <v>4.625900629650767</v>
      </c>
      <c r="Z196" s="11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5"/>
        <v>18.000000000000018</v>
      </c>
      <c r="X197" s="41">
        <f aca="true" t="shared" si="6" ref="X197:X260">$W197-0.5*(2.34*$N$4/($N$5*$W197/3*$D$10))*(1+SQRT(1+(4.36*($D$22+$D$11+$D$16)/(2.34*$N$4/($N$5*$W197/3*$D$10)))))</f>
        <v>4.745430199558751</v>
      </c>
      <c r="Z197" s="11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IF($K$2="Yes",IF(#REF!&gt;0,IF($B$195&gt;$B$196,"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7" ref="W198:W261">$W197+1/12</f>
        <v>18.08333333333335</v>
      </c>
      <c r="X198" s="41">
        <f t="shared" si="6"/>
        <v>4.86468268448283</v>
      </c>
      <c r="Z198" s="11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7"/>
        <v>18.166666666666682</v>
      </c>
      <c r="X199" s="41">
        <f t="shared" si="6"/>
        <v>4.983661520915362</v>
      </c>
      <c r="Z199" s="11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7"/>
        <v>18.250000000000014</v>
      </c>
      <c r="X200" s="41">
        <f t="shared" si="6"/>
        <v>5.102370086745479</v>
      </c>
      <c r="Z200" s="11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7"/>
        <v>18.333333333333346</v>
      </c>
      <c r="X201" s="41">
        <f t="shared" si="6"/>
        <v>5.220811702526815</v>
      </c>
      <c r="Z201" s="11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7"/>
        <v>18.41666666666668</v>
      </c>
      <c r="X202" s="41">
        <f t="shared" si="6"/>
        <v>5.338989632712083</v>
      </c>
      <c r="Z202" s="11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7"/>
        <v>18.50000000000001</v>
      </c>
      <c r="X203" s="41">
        <f t="shared" si="6"/>
        <v>5.456907086855503</v>
      </c>
      <c r="Z203" s="11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7"/>
        <v>18.583333333333343</v>
      </c>
      <c r="X204" s="41">
        <f t="shared" si="6"/>
        <v>5.5745672207840915</v>
      </c>
      <c r="Z204" s="11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7"/>
        <v>18.666666666666675</v>
      </c>
      <c r="X205" s="41">
        <f t="shared" si="6"/>
        <v>5.691973137738721</v>
      </c>
      <c r="Z205" s="11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7"/>
        <v>18.750000000000007</v>
      </c>
      <c r="X206" s="41">
        <f t="shared" si="6"/>
        <v>5.809127889485884</v>
      </c>
      <c r="Z206" s="11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7"/>
        <v>18.83333333333334</v>
      </c>
      <c r="X207" s="41">
        <f t="shared" si="6"/>
        <v>5.926034477401055</v>
      </c>
      <c r="Z207" s="11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7"/>
        <v>18.91666666666667</v>
      </c>
      <c r="X208" s="41">
        <f t="shared" si="6"/>
        <v>6.042695853524451</v>
      </c>
      <c r="Z208" s="11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7"/>
        <v>19.000000000000004</v>
      </c>
      <c r="X209" s="41">
        <f t="shared" si="6"/>
        <v>6.159114921590074</v>
      </c>
      <c r="Z209" s="11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7"/>
        <v>19.083333333333336</v>
      </c>
      <c r="X210" s="41">
        <f t="shared" si="6"/>
        <v>6.27529453802879</v>
      </c>
      <c r="Z210" s="11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7"/>
        <v>19.166666666666668</v>
      </c>
      <c r="X211" s="41">
        <f t="shared" si="6"/>
        <v>6.391237512946205</v>
      </c>
      <c r="Z211" s="11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7"/>
        <v>19.25</v>
      </c>
      <c r="X212" s="41">
        <f t="shared" si="6"/>
        <v>6.506946611076133</v>
      </c>
      <c r="Z212" s="11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7"/>
        <v>19.333333333333332</v>
      </c>
      <c r="X213" s="41">
        <f t="shared" si="6"/>
        <v>6.622424552710287</v>
      </c>
      <c r="Z213" s="11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7"/>
        <v>19.416666666666664</v>
      </c>
      <c r="X214" s="41">
        <f t="shared" si="6"/>
        <v>6.737674014604963</v>
      </c>
      <c r="Z214" s="11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7"/>
        <v>19.499999999999996</v>
      </c>
      <c r="X215" s="41">
        <f t="shared" si="6"/>
        <v>6.852697630865347</v>
      </c>
      <c r="Z215" s="11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7"/>
        <v>19.58333333333333</v>
      </c>
      <c r="X216" s="41">
        <f t="shared" si="6"/>
        <v>6.967497993808088</v>
      </c>
      <c r="Z216" s="11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7"/>
        <v>19.66666666666666</v>
      </c>
      <c r="X217" s="41">
        <f t="shared" si="6"/>
        <v>7.082077654802777</v>
      </c>
      <c r="Z217" s="11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7"/>
        <v>19.749999999999993</v>
      </c>
      <c r="X218" s="41">
        <f t="shared" si="6"/>
        <v>7.196439125092944</v>
      </c>
      <c r="Z218" s="11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7"/>
        <v>19.833333333333325</v>
      </c>
      <c r="X219" s="41">
        <f t="shared" si="6"/>
        <v>7.310584876597119</v>
      </c>
      <c r="Z219" s="11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7"/>
        <v>19.916666666666657</v>
      </c>
      <c r="X220" s="41">
        <f t="shared" si="6"/>
        <v>7.424517342690576</v>
      </c>
      <c r="Z220" s="11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7"/>
        <v>19.99999999999999</v>
      </c>
      <c r="X221" s="41">
        <f t="shared" si="6"/>
        <v>7.538238918968252</v>
      </c>
      <c r="Z221" s="11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7"/>
        <v>20.08333333333332</v>
      </c>
      <c r="X222" s="41">
        <f t="shared" si="6"/>
        <v>7.6517519639894385</v>
      </c>
      <c r="Z222" s="11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7"/>
        <v>20.166666666666654</v>
      </c>
      <c r="X223" s="41">
        <f t="shared" si="6"/>
        <v>7.76505880000466</v>
      </c>
      <c r="Z223" s="11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7"/>
        <v>20.249999999999986</v>
      </c>
      <c r="X224" s="41">
        <f t="shared" si="6"/>
        <v>7.878161713665355</v>
      </c>
      <c r="Z224" s="11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7"/>
        <v>20.333333333333318</v>
      </c>
      <c r="X225" s="41">
        <f t="shared" si="6"/>
        <v>7.991062956716725</v>
      </c>
      <c r="Z225" s="11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7"/>
        <v>20.41666666666665</v>
      </c>
      <c r="X226" s="41">
        <f t="shared" si="6"/>
        <v>8.10376474667431</v>
      </c>
      <c r="Z226" s="11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7"/>
        <v>20.499999999999982</v>
      </c>
      <c r="X227" s="41">
        <f t="shared" si="6"/>
        <v>8.216269267484662</v>
      </c>
      <c r="Z227" s="11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7"/>
        <v>20.583333333333314</v>
      </c>
      <c r="X228" s="41">
        <f t="shared" si="6"/>
        <v>8.328578670170627</v>
      </c>
      <c r="Z228" s="11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7"/>
        <v>20.666666666666647</v>
      </c>
      <c r="X229" s="41">
        <f t="shared" si="6"/>
        <v>8.440695073461594</v>
      </c>
      <c r="Z229" s="11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7"/>
        <v>20.74999999999998</v>
      </c>
      <c r="X230" s="41">
        <f t="shared" si="6"/>
        <v>8.552620564409148</v>
      </c>
      <c r="Z230" s="11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7"/>
        <v>20.83333333333331</v>
      </c>
      <c r="X231" s="41">
        <f t="shared" si="6"/>
        <v>8.664357198988535</v>
      </c>
      <c r="Z231" s="11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7"/>
        <v>20.916666666666643</v>
      </c>
      <c r="X232" s="41">
        <f t="shared" si="6"/>
        <v>8.775907002686303</v>
      </c>
      <c r="Z232" s="11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7"/>
        <v>20.999999999999975</v>
      </c>
      <c r="X233" s="41">
        <f t="shared" si="6"/>
        <v>8.887271971074489</v>
      </c>
      <c r="Z233" s="11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7"/>
        <v>21.083333333333307</v>
      </c>
      <c r="X234" s="41">
        <f t="shared" si="6"/>
        <v>8.998454070371732</v>
      </c>
      <c r="Z234" s="11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7"/>
        <v>21.16666666666664</v>
      </c>
      <c r="X235" s="41">
        <f t="shared" si="6"/>
        <v>9.109455237991645</v>
      </c>
      <c r="Z235" s="11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7"/>
        <v>21.24999999999997</v>
      </c>
      <c r="X236" s="41">
        <f t="shared" si="6"/>
        <v>9.22027738307878</v>
      </c>
      <c r="Z236" s="11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7"/>
        <v>21.333333333333304</v>
      </c>
      <c r="X237" s="41">
        <f t="shared" si="6"/>
        <v>9.330922387032558</v>
      </c>
      <c r="Z237" s="11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7"/>
        <v>21.416666666666636</v>
      </c>
      <c r="X238" s="41">
        <f t="shared" si="6"/>
        <v>9.441392104019394</v>
      </c>
      <c r="Z238" s="11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7"/>
        <v>21.499999999999968</v>
      </c>
      <c r="X239" s="41">
        <f t="shared" si="6"/>
        <v>9.551688361473438</v>
      </c>
      <c r="Z239" s="11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7"/>
        <v>21.5833333333333</v>
      </c>
      <c r="X240" s="41">
        <f t="shared" si="6"/>
        <v>9.661812960586127</v>
      </c>
      <c r="Z240" s="11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7"/>
        <v>21.666666666666632</v>
      </c>
      <c r="X241" s="41">
        <f t="shared" si="6"/>
        <v>9.771767676784922</v>
      </c>
      <c r="Z241" s="11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7"/>
        <v>21.749999999999964</v>
      </c>
      <c r="X242" s="41">
        <f t="shared" si="6"/>
        <v>9.881554260201444</v>
      </c>
      <c r="Z242" s="11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7"/>
        <v>21.833333333333297</v>
      </c>
      <c r="X243" s="41">
        <f t="shared" si="6"/>
        <v>9.99117443612934</v>
      </c>
      <c r="Z243" s="11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7"/>
        <v>21.91666666666663</v>
      </c>
      <c r="X244" s="41">
        <f t="shared" si="6"/>
        <v>10.100629905472102</v>
      </c>
      <c r="Z244" s="11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7"/>
        <v>21.99999999999996</v>
      </c>
      <c r="X245" s="41">
        <f t="shared" si="6"/>
        <v>10.209922345181123</v>
      </c>
      <c r="Z245" s="11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7"/>
        <v>22.083333333333293</v>
      </c>
      <c r="X246" s="41">
        <f t="shared" si="6"/>
        <v>10.319053408684221</v>
      </c>
      <c r="Z246" s="11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7"/>
        <v>22.166666666666625</v>
      </c>
      <c r="X247" s="41">
        <f t="shared" si="6"/>
        <v>10.42802472630488</v>
      </c>
      <c r="Z247" s="11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7"/>
        <v>22.249999999999957</v>
      </c>
      <c r="X248" s="41">
        <f t="shared" si="6"/>
        <v>10.536837905672467</v>
      </c>
      <c r="Z248" s="11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7"/>
        <v>22.33333333333329</v>
      </c>
      <c r="X249" s="41">
        <f t="shared" si="6"/>
        <v>10.64549453212361</v>
      </c>
      <c r="Z249" s="11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7"/>
        <v>22.41666666666662</v>
      </c>
      <c r="X250" s="41">
        <f t="shared" si="6"/>
        <v>10.75399616909499</v>
      </c>
      <c r="Z250" s="117"/>
      <c r="AC250" s="98"/>
    </row>
    <row r="251" spans="22:29" ht="12.75">
      <c r="V251" s="98">
        <v>247</v>
      </c>
      <c r="W251" s="58">
        <f t="shared" si="7"/>
        <v>22.499999999999954</v>
      </c>
      <c r="X251" s="41">
        <f t="shared" si="6"/>
        <v>10.862344358507752</v>
      </c>
      <c r="Z251" s="117"/>
      <c r="AC251" s="98"/>
    </row>
    <row r="252" spans="22:29" ht="12.75">
      <c r="V252" s="98">
        <v>248</v>
      </c>
      <c r="W252" s="58">
        <f t="shared" si="7"/>
        <v>22.583333333333286</v>
      </c>
      <c r="X252" s="41">
        <f t="shared" si="6"/>
        <v>10.970540621143758</v>
      </c>
      <c r="Z252" s="117"/>
      <c r="AC252" s="98"/>
    </row>
    <row r="253" spans="22:29" ht="12.75">
      <c r="V253" s="98">
        <v>249</v>
      </c>
      <c r="W253" s="58">
        <f t="shared" si="7"/>
        <v>22.666666666666618</v>
      </c>
      <c r="X253" s="41">
        <f t="shared" si="6"/>
        <v>11.07858645701386</v>
      </c>
      <c r="Z253" s="117"/>
      <c r="AC253" s="98"/>
    </row>
    <row r="254" spans="22:29" ht="12.75">
      <c r="V254" s="98">
        <v>250</v>
      </c>
      <c r="W254" s="58">
        <f t="shared" si="7"/>
        <v>22.74999999999995</v>
      </c>
      <c r="X254" s="41">
        <f t="shared" si="6"/>
        <v>11.186483345718415</v>
      </c>
      <c r="Z254" s="117"/>
      <c r="AC254" s="98"/>
    </row>
    <row r="255" spans="22:29" ht="12.75">
      <c r="V255" s="98">
        <v>251</v>
      </c>
      <c r="W255" s="58">
        <f t="shared" si="7"/>
        <v>22.833333333333282</v>
      </c>
      <c r="X255" s="41">
        <f t="shared" si="6"/>
        <v>11.294232746800215</v>
      </c>
      <c r="Z255" s="117"/>
      <c r="AC255" s="98"/>
    </row>
    <row r="256" spans="22:29" ht="12.75">
      <c r="V256" s="98">
        <v>252</v>
      </c>
      <c r="W256" s="58">
        <f t="shared" si="7"/>
        <v>22.916666666666615</v>
      </c>
      <c r="X256" s="41">
        <f t="shared" si="6"/>
        <v>11.401836100090048</v>
      </c>
      <c r="Z256" s="117"/>
      <c r="AC256" s="98"/>
    </row>
    <row r="257" spans="22:29" ht="12.75">
      <c r="V257" s="98">
        <v>253</v>
      </c>
      <c r="W257" s="58">
        <f t="shared" si="7"/>
        <v>22.999999999999947</v>
      </c>
      <c r="X257" s="41">
        <f t="shared" si="6"/>
        <v>11.509294826045013</v>
      </c>
      <c r="Z257" s="117"/>
      <c r="AC257" s="98"/>
    </row>
    <row r="258" spans="22:29" ht="12.75">
      <c r="V258" s="98">
        <v>254</v>
      </c>
      <c r="W258" s="58">
        <f t="shared" si="7"/>
        <v>23.08333333333328</v>
      </c>
      <c r="X258" s="41">
        <f t="shared" si="6"/>
        <v>11.616610326079853</v>
      </c>
      <c r="Z258" s="117"/>
      <c r="AC258" s="98"/>
    </row>
    <row r="259" spans="22:29" ht="12.75">
      <c r="V259" s="98">
        <v>255</v>
      </c>
      <c r="W259" s="58">
        <f t="shared" si="7"/>
        <v>23.16666666666661</v>
      </c>
      <c r="X259" s="41">
        <f t="shared" si="6"/>
        <v>11.723783982891383</v>
      </c>
      <c r="Z259" s="117"/>
      <c r="AC259" s="98"/>
    </row>
    <row r="260" spans="22:29" ht="12.75">
      <c r="V260" s="98">
        <v>256</v>
      </c>
      <c r="W260" s="58">
        <f t="shared" si="7"/>
        <v>23.249999999999943</v>
      </c>
      <c r="X260" s="41">
        <f t="shared" si="6"/>
        <v>11.830817160776261</v>
      </c>
      <c r="Z260" s="117"/>
      <c r="AC260" s="98"/>
    </row>
    <row r="261" spans="22:29" ht="12.75">
      <c r="V261" s="98">
        <v>257</v>
      </c>
      <c r="W261" s="58">
        <f t="shared" si="7"/>
        <v>23.333333333333275</v>
      </c>
      <c r="X261" s="41">
        <f aca="true" t="shared" si="8" ref="X261:X324">$W261-0.5*(2.34*$N$4/($N$5*$W261/3*$D$10))*(1+SQRT(1+(4.36*($D$22+$D$11+$D$16)/(2.34*$N$4/($N$5*$W261/3*$D$10)))))</f>
        <v>11.937711205942195</v>
      </c>
      <c r="Z261" s="117"/>
      <c r="AC261" s="98"/>
    </row>
    <row r="262" spans="22:29" ht="12.75">
      <c r="V262" s="98">
        <v>258</v>
      </c>
      <c r="W262" s="58">
        <f aca="true" t="shared" si="9" ref="W262:W325">$W261+1/12</f>
        <v>23.416666666666607</v>
      </c>
      <c r="X262" s="41">
        <f t="shared" si="8"/>
        <v>12.044467446812801</v>
      </c>
      <c r="Z262" s="117"/>
      <c r="AC262" s="98"/>
    </row>
    <row r="263" spans="22:29" ht="12.75">
      <c r="V263" s="98">
        <v>259</v>
      </c>
      <c r="W263" s="58">
        <f t="shared" si="9"/>
        <v>23.49999999999994</v>
      </c>
      <c r="X263" s="41">
        <f t="shared" si="8"/>
        <v>12.151087194326216</v>
      </c>
      <c r="Z263" s="117"/>
      <c r="AC263" s="98"/>
    </row>
    <row r="264" spans="22:29" ht="12.75">
      <c r="V264" s="98">
        <v>260</v>
      </c>
      <c r="W264" s="58">
        <f t="shared" si="9"/>
        <v>23.58333333333327</v>
      </c>
      <c r="X264" s="41">
        <f t="shared" si="8"/>
        <v>12.257571742227675</v>
      </c>
      <c r="Z264" s="117"/>
      <c r="AC264" s="98"/>
    </row>
    <row r="265" spans="22:29" ht="12.75">
      <c r="V265" s="98">
        <v>261</v>
      </c>
      <c r="W265" s="58">
        <f t="shared" si="9"/>
        <v>23.666666666666604</v>
      </c>
      <c r="X265" s="41">
        <f t="shared" si="8"/>
        <v>12.36392236735612</v>
      </c>
      <c r="Z265" s="117"/>
      <c r="AC265" s="98"/>
    </row>
    <row r="266" spans="22:29" ht="12.75">
      <c r="V266" s="98">
        <v>262</v>
      </c>
      <c r="W266" s="58">
        <f t="shared" si="9"/>
        <v>23.749999999999936</v>
      </c>
      <c r="X266" s="41">
        <f t="shared" si="8"/>
        <v>12.470140329925037</v>
      </c>
      <c r="Z266" s="117"/>
      <c r="AC266" s="98"/>
    </row>
    <row r="267" spans="22:29" ht="12.75">
      <c r="V267" s="98">
        <v>263</v>
      </c>
      <c r="W267" s="58">
        <f t="shared" si="9"/>
        <v>23.833333333333268</v>
      </c>
      <c r="X267" s="41">
        <f t="shared" si="8"/>
        <v>12.576226873797667</v>
      </c>
      <c r="Z267" s="117"/>
      <c r="AC267" s="98"/>
    </row>
    <row r="268" spans="22:29" ht="12.75">
      <c r="V268" s="98">
        <v>264</v>
      </c>
      <c r="W268" s="58">
        <f t="shared" si="9"/>
        <v>23.9166666666666</v>
      </c>
      <c r="X268" s="41">
        <f t="shared" si="8"/>
        <v>12.682183226756653</v>
      </c>
      <c r="Z268" s="117"/>
      <c r="AC268" s="98"/>
    </row>
    <row r="269" spans="22:29" ht="12.75">
      <c r="V269" s="98">
        <v>265</v>
      </c>
      <c r="W269" s="58">
        <f t="shared" si="9"/>
        <v>23.999999999999932</v>
      </c>
      <c r="X269" s="41">
        <f t="shared" si="8"/>
        <v>12.788010600768352</v>
      </c>
      <c r="Z269" s="117"/>
      <c r="AC269" s="98"/>
    </row>
    <row r="270" spans="22:29" ht="12.75">
      <c r="V270" s="98">
        <v>266</v>
      </c>
      <c r="W270" s="58">
        <f t="shared" si="9"/>
        <v>24.083333333333265</v>
      </c>
      <c r="X270" s="41">
        <f t="shared" si="8"/>
        <v>12.893710192241846</v>
      </c>
      <c r="Z270" s="117"/>
      <c r="AC270" s="98"/>
    </row>
    <row r="271" spans="22:29" ht="12.75">
      <c r="V271" s="98">
        <v>267</v>
      </c>
      <c r="W271" s="58">
        <f t="shared" si="9"/>
        <v>24.166666666666597</v>
      </c>
      <c r="X271" s="41">
        <f t="shared" si="8"/>
        <v>12.999283182282825</v>
      </c>
      <c r="Z271" s="117"/>
      <c r="AC271" s="98"/>
    </row>
    <row r="272" spans="22:29" ht="12.75">
      <c r="V272" s="98">
        <v>268</v>
      </c>
      <c r="W272" s="58">
        <f t="shared" si="9"/>
        <v>24.24999999999993</v>
      </c>
      <c r="X272" s="41">
        <f t="shared" si="8"/>
        <v>13.104730736942482</v>
      </c>
      <c r="Z272" s="117"/>
      <c r="AC272" s="98"/>
    </row>
    <row r="273" spans="22:29" ht="12.75">
      <c r="V273" s="98">
        <v>269</v>
      </c>
      <c r="W273" s="58">
        <f t="shared" si="9"/>
        <v>24.33333333333326</v>
      </c>
      <c r="X273" s="41">
        <f t="shared" si="8"/>
        <v>13.21005400746145</v>
      </c>
      <c r="Z273" s="117"/>
      <c r="AC273" s="98"/>
    </row>
    <row r="274" spans="22:29" ht="12.75">
      <c r="V274" s="98">
        <v>270</v>
      </c>
      <c r="W274" s="58">
        <f t="shared" si="9"/>
        <v>24.416666666666593</v>
      </c>
      <c r="X274" s="41">
        <f t="shared" si="8"/>
        <v>13.315254130509004</v>
      </c>
      <c r="Z274" s="117"/>
      <c r="AC274" s="98"/>
    </row>
    <row r="275" spans="22:29" ht="12.75">
      <c r="V275" s="98">
        <v>271</v>
      </c>
      <c r="W275" s="58">
        <f t="shared" si="9"/>
        <v>24.499999999999925</v>
      </c>
      <c r="X275" s="41">
        <f t="shared" si="8"/>
        <v>13.420332228417553</v>
      </c>
      <c r="Z275" s="117"/>
      <c r="AC275" s="98"/>
    </row>
    <row r="276" spans="22:29" ht="12.75">
      <c r="V276" s="98">
        <v>272</v>
      </c>
      <c r="W276" s="58">
        <f t="shared" si="9"/>
        <v>24.583333333333258</v>
      </c>
      <c r="X276" s="41">
        <f t="shared" si="8"/>
        <v>13.525289409412567</v>
      </c>
      <c r="Z276" s="117"/>
      <c r="AC276" s="98"/>
    </row>
    <row r="277" spans="22:29" ht="12.75">
      <c r="V277" s="98">
        <v>273</v>
      </c>
      <c r="W277" s="58">
        <f t="shared" si="9"/>
        <v>24.66666666666659</v>
      </c>
      <c r="X277" s="41">
        <f t="shared" si="8"/>
        <v>13.630126767838048</v>
      </c>
      <c r="Z277" s="117"/>
      <c r="AC277" s="98"/>
    </row>
    <row r="278" spans="22:29" ht="12.75">
      <c r="V278" s="98">
        <v>274</v>
      </c>
      <c r="W278" s="58">
        <f t="shared" si="9"/>
        <v>24.749999999999922</v>
      </c>
      <c r="X278" s="41">
        <f t="shared" si="8"/>
        <v>13.73484538437762</v>
      </c>
      <c r="Z278" s="117"/>
      <c r="AC278" s="98"/>
    </row>
    <row r="279" spans="22:29" ht="12.75">
      <c r="V279" s="98">
        <v>275</v>
      </c>
      <c r="W279" s="58">
        <f t="shared" si="9"/>
        <v>24.833333333333254</v>
      </c>
      <c r="X279" s="41">
        <f t="shared" si="8"/>
        <v>13.83944632627136</v>
      </c>
      <c r="Z279" s="117"/>
      <c r="AC279" s="98"/>
    </row>
    <row r="280" spans="22:29" ht="12.75">
      <c r="V280" s="98">
        <v>276</v>
      </c>
      <c r="W280" s="58">
        <f t="shared" si="9"/>
        <v>24.916666666666586</v>
      </c>
      <c r="X280" s="41">
        <f t="shared" si="8"/>
        <v>13.94393064752847</v>
      </c>
      <c r="Z280" s="117"/>
      <c r="AC280" s="98"/>
    </row>
    <row r="281" spans="22:29" ht="12.75">
      <c r="V281" s="98">
        <v>277</v>
      </c>
      <c r="W281" s="58">
        <f t="shared" si="9"/>
        <v>24.99999999999992</v>
      </c>
      <c r="X281" s="41">
        <f t="shared" si="8"/>
        <v>14.04829938913586</v>
      </c>
      <c r="Z281" s="117"/>
      <c r="AC281" s="98"/>
    </row>
    <row r="282" spans="22:29" ht="12.75">
      <c r="V282" s="98">
        <v>278</v>
      </c>
      <c r="W282" s="58">
        <f t="shared" si="9"/>
        <v>25.08333333333325</v>
      </c>
      <c r="X282" s="41">
        <f t="shared" si="8"/>
        <v>14.152553579262738</v>
      </c>
      <c r="Z282" s="117"/>
      <c r="AC282" s="98"/>
    </row>
    <row r="283" spans="22:29" ht="12.75">
      <c r="V283" s="98">
        <v>279</v>
      </c>
      <c r="W283" s="58">
        <f t="shared" si="9"/>
        <v>25.166666666666583</v>
      </c>
      <c r="X283" s="41">
        <f t="shared" si="8"/>
        <v>14.256694233461348</v>
      </c>
      <c r="Z283" s="117"/>
      <c r="AC283" s="98"/>
    </row>
    <row r="284" spans="22:29" ht="12.75">
      <c r="V284" s="98">
        <v>280</v>
      </c>
      <c r="W284" s="58">
        <f t="shared" si="9"/>
        <v>25.249999999999915</v>
      </c>
      <c r="X284" s="41">
        <f t="shared" si="8"/>
        <v>14.360722354863842</v>
      </c>
      <c r="Z284" s="117"/>
      <c r="AC284" s="98"/>
    </row>
    <row r="285" spans="22:29" ht="12.75">
      <c r="V285" s="98">
        <v>281</v>
      </c>
      <c r="W285" s="58">
        <f t="shared" si="9"/>
        <v>25.333333333333247</v>
      </c>
      <c r="X285" s="41">
        <f t="shared" si="8"/>
        <v>14.464638934375483</v>
      </c>
      <c r="Z285" s="117"/>
      <c r="AC285" s="98"/>
    </row>
    <row r="286" spans="22:29" ht="12.75">
      <c r="V286" s="98">
        <v>282</v>
      </c>
      <c r="W286" s="58">
        <f t="shared" si="9"/>
        <v>25.41666666666658</v>
      </c>
      <c r="X286" s="41">
        <f t="shared" si="8"/>
        <v>14.56844495086416</v>
      </c>
      <c r="Z286" s="117"/>
      <c r="AC286" s="98"/>
    </row>
    <row r="287" spans="22:29" ht="12.75">
      <c r="V287" s="98">
        <v>283</v>
      </c>
      <c r="W287" s="58">
        <f t="shared" si="9"/>
        <v>25.49999999999991</v>
      </c>
      <c r="X287" s="41">
        <f t="shared" si="8"/>
        <v>14.672141371346392</v>
      </c>
      <c r="Z287" s="117"/>
      <c r="AC287" s="98"/>
    </row>
    <row r="288" spans="22:29" ht="12.75">
      <c r="V288" s="98">
        <v>284</v>
      </c>
      <c r="W288" s="58">
        <f t="shared" si="9"/>
        <v>25.583333333333243</v>
      </c>
      <c r="X288" s="41">
        <f t="shared" si="8"/>
        <v>14.775729151169804</v>
      </c>
      <c r="Z288" s="117"/>
      <c r="AC288" s="98"/>
    </row>
    <row r="289" spans="22:29" ht="12.75">
      <c r="V289" s="98">
        <v>285</v>
      </c>
      <c r="W289" s="58">
        <f t="shared" si="9"/>
        <v>25.666666666666575</v>
      </c>
      <c r="X289" s="41">
        <f t="shared" si="8"/>
        <v>14.879209234192231</v>
      </c>
      <c r="Z289" s="117"/>
      <c r="AC289" s="98"/>
    </row>
    <row r="290" spans="22:29" ht="12.75">
      <c r="V290" s="98">
        <v>286</v>
      </c>
      <c r="W290" s="58">
        <f t="shared" si="9"/>
        <v>25.749999999999908</v>
      </c>
      <c r="X290" s="41">
        <f t="shared" si="8"/>
        <v>14.982582552957485</v>
      </c>
      <c r="Z290" s="117"/>
      <c r="AC290" s="98"/>
    </row>
    <row r="291" spans="22:29" ht="12.75">
      <c r="V291" s="98">
        <v>287</v>
      </c>
      <c r="W291" s="58">
        <f t="shared" si="9"/>
        <v>25.83333333333324</v>
      </c>
      <c r="X291" s="41">
        <f t="shared" si="8"/>
        <v>15.085850028867846</v>
      </c>
      <c r="Z291" s="117"/>
      <c r="AC291" s="98"/>
    </row>
    <row r="292" spans="22:29" ht="12.75">
      <c r="V292" s="98">
        <v>288</v>
      </c>
      <c r="W292" s="58">
        <f t="shared" si="9"/>
        <v>25.916666666666572</v>
      </c>
      <c r="X292" s="41">
        <f t="shared" si="8"/>
        <v>15.189012572353386</v>
      </c>
      <c r="Z292" s="117"/>
      <c r="AC292" s="98"/>
    </row>
    <row r="293" spans="22:29" ht="12.75">
      <c r="V293" s="98">
        <v>289</v>
      </c>
      <c r="W293" s="58">
        <f t="shared" si="9"/>
        <v>25.999999999999904</v>
      </c>
      <c r="X293" s="41">
        <f t="shared" si="8"/>
        <v>15.292071083038175</v>
      </c>
      <c r="Z293" s="117"/>
      <c r="AC293" s="98"/>
    </row>
    <row r="294" spans="22:29" ht="12.75">
      <c r="V294" s="98">
        <v>290</v>
      </c>
      <c r="W294" s="58">
        <f t="shared" si="9"/>
        <v>26.083333333333236</v>
      </c>
      <c r="X294" s="41">
        <f t="shared" si="8"/>
        <v>15.39502644990342</v>
      </c>
      <c r="Z294" s="117"/>
      <c r="AC294" s="98"/>
    </row>
    <row r="295" spans="22:29" ht="12.75">
      <c r="V295" s="98">
        <v>291</v>
      </c>
      <c r="W295" s="58">
        <f t="shared" si="9"/>
        <v>26.16666666666657</v>
      </c>
      <c r="X295" s="41">
        <f t="shared" si="8"/>
        <v>15.497879551447637</v>
      </c>
      <c r="Z295" s="117"/>
      <c r="AC295" s="98"/>
    </row>
    <row r="296" spans="22:29" ht="12.75">
      <c r="V296" s="98">
        <v>292</v>
      </c>
      <c r="W296" s="58">
        <f t="shared" si="9"/>
        <v>26.2499999999999</v>
      </c>
      <c r="X296" s="41">
        <f t="shared" si="8"/>
        <v>15.600631255843894</v>
      </c>
      <c r="Z296" s="117"/>
      <c r="AC296" s="98"/>
    </row>
    <row r="297" spans="22:29" ht="12.75">
      <c r="V297" s="98">
        <v>293</v>
      </c>
      <c r="W297" s="58">
        <f t="shared" si="9"/>
        <v>26.333333333333233</v>
      </c>
      <c r="X297" s="41">
        <f t="shared" si="8"/>
        <v>15.703282421094187</v>
      </c>
      <c r="Z297" s="117"/>
      <c r="AC297" s="98"/>
    </row>
    <row r="298" spans="22:29" ht="12.75">
      <c r="V298" s="98">
        <v>294</v>
      </c>
      <c r="W298" s="58">
        <f t="shared" si="9"/>
        <v>26.416666666666565</v>
      </c>
      <c r="X298" s="41">
        <f t="shared" si="8"/>
        <v>15.805833895181049</v>
      </c>
      <c r="Z298" s="117"/>
      <c r="AC298" s="98"/>
    </row>
    <row r="299" spans="22:29" ht="12.75">
      <c r="V299" s="98">
        <v>295</v>
      </c>
      <c r="W299" s="58">
        <f t="shared" si="9"/>
        <v>26.499999999999897</v>
      </c>
      <c r="X299" s="41">
        <f t="shared" si="8"/>
        <v>15.908286516216375</v>
      </c>
      <c r="Z299" s="117"/>
      <c r="AC299" s="98"/>
    </row>
    <row r="300" spans="22:29" ht="12.75">
      <c r="V300" s="98">
        <v>296</v>
      </c>
      <c r="W300" s="58">
        <f t="shared" si="9"/>
        <v>26.58333333333323</v>
      </c>
      <c r="X300" s="41">
        <f t="shared" si="8"/>
        <v>16.01064111258762</v>
      </c>
      <c r="Z300" s="117"/>
      <c r="AC300" s="98"/>
    </row>
    <row r="301" spans="22:29" ht="12.75">
      <c r="V301" s="98">
        <v>297</v>
      </c>
      <c r="W301" s="58">
        <f t="shared" si="9"/>
        <v>26.66666666666656</v>
      </c>
      <c r="X301" s="41">
        <f t="shared" si="8"/>
        <v>16.11289850310132</v>
      </c>
      <c r="Z301" s="117"/>
      <c r="AC301" s="98"/>
    </row>
    <row r="302" spans="22:29" ht="12.75">
      <c r="V302" s="98">
        <v>298</v>
      </c>
      <c r="W302" s="58">
        <f t="shared" si="9"/>
        <v>26.749999999999893</v>
      </c>
      <c r="X302" s="41">
        <f t="shared" si="8"/>
        <v>16.215059497124095</v>
      </c>
      <c r="Z302" s="117"/>
      <c r="AC302" s="98"/>
    </row>
    <row r="303" spans="22:29" ht="12.75">
      <c r="V303" s="98">
        <v>299</v>
      </c>
      <c r="W303" s="58">
        <f t="shared" si="9"/>
        <v>26.833333333333226</v>
      </c>
      <c r="X303" s="41">
        <f t="shared" si="8"/>
        <v>16.31712489472109</v>
      </c>
      <c r="Z303" s="117"/>
      <c r="AC303" s="98"/>
    </row>
    <row r="304" spans="22:29" ht="12.75">
      <c r="V304" s="98">
        <v>300</v>
      </c>
      <c r="W304" s="58">
        <f t="shared" si="9"/>
        <v>26.916666666666558</v>
      </c>
      <c r="X304" s="41">
        <f t="shared" si="8"/>
        <v>16.419095486792006</v>
      </c>
      <c r="Z304" s="117"/>
      <c r="AC304" s="98"/>
    </row>
    <row r="305" spans="22:29" ht="12.75">
      <c r="V305" s="98">
        <v>301</v>
      </c>
      <c r="W305" s="58">
        <f t="shared" si="9"/>
        <v>26.99999999999989</v>
      </c>
      <c r="X305" s="41">
        <f t="shared" si="8"/>
        <v>16.520972055204677</v>
      </c>
      <c r="Z305" s="117"/>
      <c r="AC305" s="98"/>
    </row>
    <row r="306" spans="22:29" ht="12.75">
      <c r="V306" s="98">
        <v>302</v>
      </c>
      <c r="W306" s="58">
        <f t="shared" si="9"/>
        <v>27.083333333333222</v>
      </c>
      <c r="X306" s="41">
        <f t="shared" si="8"/>
        <v>16.6227553729263</v>
      </c>
      <c r="Z306" s="117"/>
      <c r="AC306" s="98"/>
    </row>
    <row r="307" spans="22:29" ht="12.75">
      <c r="V307" s="98">
        <v>303</v>
      </c>
      <c r="W307" s="58">
        <f t="shared" si="9"/>
        <v>27.166666666666554</v>
      </c>
      <c r="X307" s="41">
        <f t="shared" si="8"/>
        <v>16.724446204152372</v>
      </c>
      <c r="Z307" s="117"/>
      <c r="AC307" s="98"/>
    </row>
    <row r="308" spans="22:29" ht="12.75">
      <c r="V308" s="98">
        <v>304</v>
      </c>
      <c r="W308" s="58">
        <f t="shared" si="9"/>
        <v>27.249999999999886</v>
      </c>
      <c r="X308" s="41">
        <f t="shared" si="8"/>
        <v>16.82604530443335</v>
      </c>
      <c r="Z308" s="117"/>
      <c r="AC308" s="98"/>
    </row>
    <row r="309" spans="22:29" ht="12.75">
      <c r="V309" s="98">
        <v>305</v>
      </c>
      <c r="W309" s="58">
        <f t="shared" si="9"/>
        <v>27.33333333333322</v>
      </c>
      <c r="X309" s="41">
        <f t="shared" si="8"/>
        <v>16.927553420799068</v>
      </c>
      <c r="Z309" s="117"/>
      <c r="AC309" s="98"/>
    </row>
    <row r="310" spans="22:29" ht="12.75">
      <c r="V310" s="98">
        <v>306</v>
      </c>
      <c r="W310" s="58">
        <f t="shared" si="9"/>
        <v>27.41666666666655</v>
      </c>
      <c r="X310" s="41">
        <f t="shared" si="8"/>
        <v>17.028971291881042</v>
      </c>
      <c r="Z310" s="117"/>
      <c r="AC310" s="98"/>
    </row>
    <row r="311" spans="22:29" ht="12.75">
      <c r="V311" s="98">
        <v>307</v>
      </c>
      <c r="W311" s="58">
        <f t="shared" si="9"/>
        <v>27.499999999999883</v>
      </c>
      <c r="X311" s="41">
        <f t="shared" si="8"/>
        <v>17.130299648032604</v>
      </c>
      <c r="Z311" s="117"/>
      <c r="AC311" s="98"/>
    </row>
    <row r="312" spans="22:29" ht="12.75">
      <c r="V312" s="98">
        <v>308</v>
      </c>
      <c r="W312" s="58">
        <f t="shared" si="9"/>
        <v>27.583333333333215</v>
      </c>
      <c r="X312" s="41">
        <f t="shared" si="8"/>
        <v>17.231539211446947</v>
      </c>
      <c r="Z312" s="117"/>
      <c r="AC312" s="98"/>
    </row>
    <row r="313" spans="22:29" ht="12.75">
      <c r="V313" s="98">
        <v>309</v>
      </c>
      <c r="W313" s="58">
        <f t="shared" si="9"/>
        <v>27.666666666666547</v>
      </c>
      <c r="X313" s="41">
        <f t="shared" si="8"/>
        <v>17.33269069627316</v>
      </c>
      <c r="Z313" s="117"/>
      <c r="AC313" s="98"/>
    </row>
    <row r="314" spans="22:29" ht="12.75">
      <c r="V314" s="98">
        <v>310</v>
      </c>
      <c r="W314" s="58">
        <f t="shared" si="9"/>
        <v>27.74999999999988</v>
      </c>
      <c r="X314" s="41">
        <f t="shared" si="8"/>
        <v>17.43375480873026</v>
      </c>
      <c r="Z314" s="117"/>
      <c r="AC314" s="98"/>
    </row>
    <row r="315" spans="22:29" ht="12.75">
      <c r="V315" s="98">
        <v>311</v>
      </c>
      <c r="W315" s="58">
        <f t="shared" si="9"/>
        <v>27.83333333333321</v>
      </c>
      <c r="X315" s="41">
        <f t="shared" si="8"/>
        <v>17.534732247219228</v>
      </c>
      <c r="Z315" s="117"/>
      <c r="AC315" s="98"/>
    </row>
    <row r="316" spans="22:29" ht="12.75">
      <c r="V316" s="98">
        <v>312</v>
      </c>
      <c r="W316" s="58">
        <f t="shared" si="9"/>
        <v>27.916666666666544</v>
      </c>
      <c r="X316" s="41">
        <f t="shared" si="8"/>
        <v>17.635623702433172</v>
      </c>
      <c r="Z316" s="117"/>
      <c r="AC316" s="98"/>
    </row>
    <row r="317" spans="22:29" ht="12.75">
      <c r="V317" s="98">
        <v>313</v>
      </c>
      <c r="W317" s="58">
        <f t="shared" si="9"/>
        <v>27.999999999999876</v>
      </c>
      <c r="X317" s="41">
        <f t="shared" si="8"/>
        <v>17.736429857465584</v>
      </c>
      <c r="Z317" s="117"/>
      <c r="AC317" s="98"/>
    </row>
    <row r="318" spans="22:29" ht="12.75">
      <c r="V318" s="98">
        <v>314</v>
      </c>
      <c r="W318" s="58">
        <f t="shared" si="9"/>
        <v>28.083333333333208</v>
      </c>
      <c r="X318" s="41">
        <f t="shared" si="8"/>
        <v>17.837151387916748</v>
      </c>
      <c r="Z318" s="117"/>
      <c r="AC318" s="98"/>
    </row>
    <row r="319" spans="22:29" ht="12.75">
      <c r="V319" s="98">
        <v>315</v>
      </c>
      <c r="W319" s="58">
        <f t="shared" si="9"/>
        <v>28.16666666666654</v>
      </c>
      <c r="X319" s="41">
        <f t="shared" si="8"/>
        <v>17.937788961998365</v>
      </c>
      <c r="Z319" s="117"/>
      <c r="AC319" s="98"/>
    </row>
    <row r="320" spans="22:29" ht="12.75">
      <c r="V320" s="98">
        <v>316</v>
      </c>
      <c r="W320" s="58">
        <f t="shared" si="9"/>
        <v>28.249999999999872</v>
      </c>
      <c r="X320" s="41">
        <f t="shared" si="8"/>
        <v>18.03834324063638</v>
      </c>
      <c r="Z320" s="117"/>
      <c r="AC320" s="98"/>
    </row>
    <row r="321" spans="22:29" ht="12.75">
      <c r="V321" s="98">
        <v>317</v>
      </c>
      <c r="W321" s="58">
        <f t="shared" si="9"/>
        <v>28.333333333333204</v>
      </c>
      <c r="X321" s="41">
        <f t="shared" si="8"/>
        <v>18.138814877572116</v>
      </c>
      <c r="Z321" s="117"/>
      <c r="AC321" s="98"/>
    </row>
    <row r="322" spans="22:29" ht="12.75">
      <c r="V322" s="98">
        <v>318</v>
      </c>
      <c r="W322" s="58">
        <f t="shared" si="9"/>
        <v>28.416666666666536</v>
      </c>
      <c r="X322" s="41">
        <f t="shared" si="8"/>
        <v>18.23920451946164</v>
      </c>
      <c r="Z322" s="117"/>
      <c r="AC322" s="98"/>
    </row>
    <row r="323" spans="22:29" ht="12.75">
      <c r="V323" s="98">
        <v>319</v>
      </c>
      <c r="W323" s="58">
        <f t="shared" si="9"/>
        <v>28.49999999999987</v>
      </c>
      <c r="X323" s="41">
        <f t="shared" si="8"/>
        <v>18.33951280597353</v>
      </c>
      <c r="Z323" s="117"/>
      <c r="AC323" s="98"/>
    </row>
    <row r="324" spans="22:29" ht="12.75">
      <c r="V324" s="98">
        <v>320</v>
      </c>
      <c r="W324" s="58">
        <f t="shared" si="9"/>
        <v>28.5833333333332</v>
      </c>
      <c r="X324" s="41">
        <f t="shared" si="8"/>
        <v>18.439740369884966</v>
      </c>
      <c r="Z324" s="117"/>
      <c r="AC324" s="98"/>
    </row>
    <row r="325" spans="22:29" ht="12.75">
      <c r="V325" s="98">
        <v>321</v>
      </c>
      <c r="W325" s="58">
        <f t="shared" si="9"/>
        <v>28.666666666666533</v>
      </c>
      <c r="X325" s="41">
        <f aca="true" t="shared" si="10" ref="X325:X388">$W325-0.5*(2.34*$N$4/($N$5*$W325/3*$D$10))*(1+SQRT(1+(4.36*($D$22+$D$11+$D$16)/(2.34*$N$4/($N$5*$W325/3*$D$10)))))</f>
        <v>18.539887837176224</v>
      </c>
      <c r="Z325" s="117"/>
      <c r="AC325" s="98"/>
    </row>
    <row r="326" spans="22:29" ht="12.75">
      <c r="V326" s="98">
        <v>322</v>
      </c>
      <c r="W326" s="58">
        <f aca="true" t="shared" si="11" ref="W326:W389">$W325+1/12</f>
        <v>28.749999999999865</v>
      </c>
      <c r="X326" s="41">
        <f t="shared" si="10"/>
        <v>18.639955827123636</v>
      </c>
      <c r="Z326" s="117"/>
      <c r="AC326" s="98"/>
    </row>
    <row r="327" spans="22:29" ht="12.75">
      <c r="V327" s="98">
        <v>323</v>
      </c>
      <c r="W327" s="58">
        <f t="shared" si="11"/>
        <v>28.833333333333197</v>
      </c>
      <c r="X327" s="41">
        <f t="shared" si="10"/>
        <v>18.739944952390935</v>
      </c>
      <c r="Z327" s="117"/>
      <c r="AC327" s="98"/>
    </row>
    <row r="328" spans="22:29" ht="12.75">
      <c r="V328" s="98">
        <v>324</v>
      </c>
      <c r="W328" s="58">
        <f t="shared" si="11"/>
        <v>28.91666666666653</v>
      </c>
      <c r="X328" s="41">
        <f t="shared" si="10"/>
        <v>18.83985581911917</v>
      </c>
      <c r="Z328" s="117"/>
      <c r="AC328" s="98"/>
    </row>
    <row r="329" spans="22:29" ht="12.75">
      <c r="V329" s="98">
        <v>325</v>
      </c>
      <c r="W329" s="58">
        <f t="shared" si="11"/>
        <v>28.99999999999986</v>
      </c>
      <c r="X329" s="41">
        <f t="shared" si="10"/>
        <v>18.939689027015078</v>
      </c>
      <c r="Z329" s="117"/>
      <c r="AC329" s="98"/>
    </row>
    <row r="330" spans="22:29" ht="12.75">
      <c r="V330" s="98">
        <v>326</v>
      </c>
      <c r="W330" s="58">
        <f t="shared" si="11"/>
        <v>29.083333333333194</v>
      </c>
      <c r="X330" s="41">
        <f t="shared" si="10"/>
        <v>19.039445169438054</v>
      </c>
      <c r="Z330" s="117"/>
      <c r="AC330" s="98"/>
    </row>
    <row r="331" spans="22:29" ht="12.75">
      <c r="V331" s="98">
        <v>327</v>
      </c>
      <c r="W331" s="58">
        <f t="shared" si="11"/>
        <v>29.166666666666526</v>
      </c>
      <c r="X331" s="41">
        <f t="shared" si="10"/>
        <v>19.139124833485653</v>
      </c>
      <c r="Z331" s="117"/>
      <c r="AC331" s="98"/>
    </row>
    <row r="332" spans="22:29" ht="12.75">
      <c r="V332" s="98">
        <v>328</v>
      </c>
      <c r="W332" s="58">
        <f t="shared" si="11"/>
        <v>29.249999999999858</v>
      </c>
      <c r="X332" s="41">
        <f t="shared" si="10"/>
        <v>19.23872860007771</v>
      </c>
      <c r="Z332" s="117"/>
      <c r="AC332" s="98"/>
    </row>
    <row r="333" spans="22:29" ht="12.75">
      <c r="V333" s="98">
        <v>329</v>
      </c>
      <c r="W333" s="58">
        <f t="shared" si="11"/>
        <v>29.33333333333319</v>
      </c>
      <c r="X333" s="41">
        <f t="shared" si="10"/>
        <v>19.33825704403911</v>
      </c>
      <c r="Z333" s="117"/>
      <c r="AC333" s="98"/>
    </row>
    <row r="334" spans="22:29" ht="12.75">
      <c r="V334" s="98">
        <v>330</v>
      </c>
      <c r="W334" s="58">
        <f t="shared" si="11"/>
        <v>29.416666666666522</v>
      </c>
      <c r="X334" s="41">
        <f t="shared" si="10"/>
        <v>19.437710734181195</v>
      </c>
      <c r="Z334" s="117"/>
      <c r="AC334" s="98"/>
    </row>
    <row r="335" spans="22:29" ht="12.75">
      <c r="V335" s="98">
        <v>331</v>
      </c>
      <c r="W335" s="58">
        <f t="shared" si="11"/>
        <v>29.499999999999854</v>
      </c>
      <c r="X335" s="41">
        <f t="shared" si="10"/>
        <v>19.537090233381825</v>
      </c>
      <c r="Z335" s="117"/>
      <c r="AC335" s="98"/>
    </row>
    <row r="336" spans="22:29" ht="12.75">
      <c r="V336" s="98">
        <v>332</v>
      </c>
      <c r="W336" s="58">
        <f t="shared" si="11"/>
        <v>29.583333333333186</v>
      </c>
      <c r="X336" s="41">
        <f t="shared" si="10"/>
        <v>19.63639609866422</v>
      </c>
      <c r="Z336" s="117"/>
      <c r="AC336" s="98"/>
    </row>
    <row r="337" spans="22:29" ht="12.75">
      <c r="V337" s="98">
        <v>333</v>
      </c>
      <c r="W337" s="58">
        <f t="shared" si="11"/>
        <v>29.66666666666652</v>
      </c>
      <c r="X337" s="41">
        <f t="shared" si="10"/>
        <v>19.735628881274465</v>
      </c>
      <c r="Z337" s="117"/>
      <c r="AC337" s="98"/>
    </row>
    <row r="338" spans="22:29" ht="12.75">
      <c r="V338" s="98">
        <v>334</v>
      </c>
      <c r="W338" s="58">
        <f t="shared" si="11"/>
        <v>29.74999999999985</v>
      </c>
      <c r="X338" s="41">
        <f t="shared" si="10"/>
        <v>19.83478912675778</v>
      </c>
      <c r="Z338" s="117"/>
      <c r="AC338" s="98"/>
    </row>
    <row r="339" spans="22:29" ht="12.75">
      <c r="V339" s="98">
        <v>335</v>
      </c>
      <c r="W339" s="58">
        <f t="shared" si="11"/>
        <v>29.833333333333183</v>
      </c>
      <c r="X339" s="41">
        <f t="shared" si="10"/>
        <v>19.93387737503361</v>
      </c>
      <c r="Z339" s="117"/>
      <c r="AC339" s="98"/>
    </row>
    <row r="340" spans="22:29" ht="12.75">
      <c r="V340" s="98">
        <v>336</v>
      </c>
      <c r="W340" s="58">
        <f t="shared" si="11"/>
        <v>29.916666666666515</v>
      </c>
      <c r="X340" s="41">
        <f t="shared" si="10"/>
        <v>20.03289416046946</v>
      </c>
      <c r="Z340" s="117"/>
      <c r="AC340" s="98"/>
    </row>
    <row r="341" spans="22:29" ht="12.75">
      <c r="V341" s="98">
        <v>337</v>
      </c>
      <c r="W341" s="58">
        <f t="shared" si="11"/>
        <v>29.999999999999847</v>
      </c>
      <c r="X341" s="41">
        <f t="shared" si="10"/>
        <v>20.131840011953614</v>
      </c>
      <c r="Z341" s="117"/>
      <c r="AC341" s="98"/>
    </row>
    <row r="342" spans="22:29" ht="12.75">
      <c r="V342" s="98">
        <v>338</v>
      </c>
      <c r="W342" s="58">
        <f t="shared" si="11"/>
        <v>30.08333333333318</v>
      </c>
      <c r="X342" s="41">
        <f t="shared" si="10"/>
        <v>20.230715452966642</v>
      </c>
      <c r="Z342" s="117"/>
      <c r="AC342" s="98"/>
    </row>
    <row r="343" spans="22:29" ht="12.75">
      <c r="V343" s="98">
        <v>339</v>
      </c>
      <c r="W343" s="58">
        <f t="shared" si="11"/>
        <v>30.16666666666651</v>
      </c>
      <c r="X343" s="41">
        <f t="shared" si="10"/>
        <v>20.329521001651813</v>
      </c>
      <c r="Z343" s="117"/>
      <c r="AC343" s="98"/>
    </row>
    <row r="344" spans="22:29" ht="12.75">
      <c r="V344" s="98">
        <v>340</v>
      </c>
      <c r="W344" s="58">
        <f t="shared" si="11"/>
        <v>30.249999999999844</v>
      </c>
      <c r="X344" s="41">
        <f t="shared" si="10"/>
        <v>20.42825717088438</v>
      </c>
      <c r="Z344" s="117"/>
      <c r="AC344" s="98"/>
    </row>
    <row r="345" spans="22:29" ht="12.75">
      <c r="V345" s="98">
        <v>341</v>
      </c>
      <c r="W345" s="58">
        <f t="shared" si="11"/>
        <v>30.333333333333176</v>
      </c>
      <c r="X345" s="41">
        <f t="shared" si="10"/>
        <v>20.52692446833978</v>
      </c>
      <c r="Z345" s="117"/>
      <c r="AC345" s="98"/>
    </row>
    <row r="346" spans="22:29" ht="12.75">
      <c r="V346" s="98">
        <v>342</v>
      </c>
      <c r="W346" s="58">
        <f t="shared" si="11"/>
        <v>30.416666666666508</v>
      </c>
      <c r="X346" s="41">
        <f t="shared" si="10"/>
        <v>20.625523396560755</v>
      </c>
      <c r="Z346" s="117"/>
      <c r="AC346" s="98"/>
    </row>
    <row r="347" spans="22:29" ht="12.75">
      <c r="V347" s="98">
        <v>343</v>
      </c>
      <c r="W347" s="58">
        <f t="shared" si="11"/>
        <v>30.49999999999984</v>
      </c>
      <c r="X347" s="41">
        <f t="shared" si="10"/>
        <v>20.724054453023452</v>
      </c>
      <c r="Z347" s="117"/>
      <c r="AC347" s="98"/>
    </row>
    <row r="348" spans="22:29" ht="12.75">
      <c r="V348" s="98">
        <v>344</v>
      </c>
      <c r="W348" s="58">
        <f t="shared" si="11"/>
        <v>30.583333333333172</v>
      </c>
      <c r="X348" s="41">
        <f t="shared" si="10"/>
        <v>20.82251813020244</v>
      </c>
      <c r="Z348" s="117"/>
      <c r="AC348" s="98"/>
    </row>
    <row r="349" spans="22:29" ht="12.75">
      <c r="V349" s="98">
        <v>345</v>
      </c>
      <c r="W349" s="58">
        <f t="shared" si="11"/>
        <v>30.666666666666504</v>
      </c>
      <c r="X349" s="41">
        <f t="shared" si="10"/>
        <v>20.920914915634754</v>
      </c>
      <c r="Z349" s="117"/>
      <c r="AC349" s="98"/>
    </row>
    <row r="350" spans="22:29" ht="12.75">
      <c r="V350" s="98">
        <v>346</v>
      </c>
      <c r="W350" s="58">
        <f t="shared" si="11"/>
        <v>30.749999999999837</v>
      </c>
      <c r="X350" s="41">
        <f t="shared" si="10"/>
        <v>21.019245291982934</v>
      </c>
      <c r="Z350" s="117"/>
      <c r="AC350" s="98"/>
    </row>
    <row r="351" spans="22:29" ht="12.75">
      <c r="V351" s="98">
        <v>347</v>
      </c>
      <c r="W351" s="58">
        <f t="shared" si="11"/>
        <v>30.83333333333317</v>
      </c>
      <c r="X351" s="41">
        <f t="shared" si="10"/>
        <v>21.117509737097087</v>
      </c>
      <c r="Z351" s="117"/>
      <c r="AC351" s="98"/>
    </row>
    <row r="352" spans="22:29" ht="12.75">
      <c r="V352" s="98">
        <v>348</v>
      </c>
      <c r="W352" s="58">
        <f t="shared" si="11"/>
        <v>30.9166666666665</v>
      </c>
      <c r="X352" s="41">
        <f t="shared" si="10"/>
        <v>21.21570872407599</v>
      </c>
      <c r="Z352" s="117"/>
      <c r="AC352" s="98"/>
    </row>
    <row r="353" spans="22:29" ht="12.75">
      <c r="V353" s="98">
        <v>349</v>
      </c>
      <c r="W353" s="58">
        <f t="shared" si="11"/>
        <v>30.999999999999833</v>
      </c>
      <c r="X353" s="41">
        <f t="shared" si="10"/>
        <v>21.313842721327255</v>
      </c>
      <c r="Z353" s="117"/>
      <c r="AC353" s="98"/>
    </row>
    <row r="354" spans="22:29" ht="12.75">
      <c r="V354" s="98">
        <v>350</v>
      </c>
      <c r="W354" s="58">
        <f t="shared" si="11"/>
        <v>31.083333333333165</v>
      </c>
      <c r="X354" s="41">
        <f t="shared" si="10"/>
        <v>21.411912192626552</v>
      </c>
      <c r="Z354" s="117"/>
      <c r="AC354" s="98"/>
    </row>
    <row r="355" spans="22:29" ht="12.75">
      <c r="V355" s="98">
        <v>351</v>
      </c>
      <c r="W355" s="58">
        <f t="shared" si="11"/>
        <v>31.166666666666497</v>
      </c>
      <c r="X355" s="41">
        <f t="shared" si="10"/>
        <v>21.509917597175978</v>
      </c>
      <c r="Z355" s="117"/>
      <c r="AC355" s="98"/>
    </row>
    <row r="356" spans="22:29" ht="12.75">
      <c r="V356" s="98">
        <v>352</v>
      </c>
      <c r="W356" s="58">
        <f t="shared" si="11"/>
        <v>31.24999999999983</v>
      </c>
      <c r="X356" s="41">
        <f t="shared" si="10"/>
        <v>21.60785938966145</v>
      </c>
      <c r="Z356" s="117"/>
      <c r="AC356" s="98"/>
    </row>
    <row r="357" spans="22:29" ht="12.75">
      <c r="V357" s="98">
        <v>353</v>
      </c>
      <c r="W357" s="58">
        <f t="shared" si="11"/>
        <v>31.33333333333316</v>
      </c>
      <c r="X357" s="41">
        <f t="shared" si="10"/>
        <v>21.7057380203093</v>
      </c>
      <c r="Z357" s="117"/>
      <c r="AC357" s="98"/>
    </row>
    <row r="358" spans="22:29" ht="12.75">
      <c r="V358" s="98">
        <v>354</v>
      </c>
      <c r="W358" s="58">
        <f t="shared" si="11"/>
        <v>31.416666666666494</v>
      </c>
      <c r="X358" s="41">
        <f t="shared" si="10"/>
        <v>21.803553934941984</v>
      </c>
      <c r="Z358" s="117"/>
      <c r="AC358" s="98"/>
    </row>
    <row r="359" spans="22:29" ht="12.75">
      <c r="V359" s="98">
        <v>355</v>
      </c>
      <c r="W359" s="58">
        <f t="shared" si="11"/>
        <v>31.499999999999826</v>
      </c>
      <c r="X359" s="41">
        <f t="shared" si="10"/>
        <v>21.901307575032924</v>
      </c>
      <c r="Z359" s="117"/>
      <c r="AC359" s="98"/>
    </row>
    <row r="360" spans="22:29" ht="12.75">
      <c r="V360" s="98">
        <v>356</v>
      </c>
      <c r="W360" s="58">
        <f t="shared" si="11"/>
        <v>31.583333333333158</v>
      </c>
      <c r="X360" s="41">
        <f t="shared" si="10"/>
        <v>21.998999377760548</v>
      </c>
      <c r="Z360" s="117"/>
      <c r="AC360" s="98"/>
    </row>
    <row r="361" spans="22:29" ht="12.75">
      <c r="V361" s="98">
        <v>357</v>
      </c>
      <c r="W361" s="58">
        <f t="shared" si="11"/>
        <v>31.66666666666649</v>
      </c>
      <c r="X361" s="41">
        <f t="shared" si="10"/>
        <v>22.096629776061523</v>
      </c>
      <c r="Z361" s="117"/>
      <c r="AC361" s="98"/>
    </row>
    <row r="362" spans="22:29" ht="12.75">
      <c r="V362" s="98">
        <v>358</v>
      </c>
      <c r="W362" s="58">
        <f t="shared" si="11"/>
        <v>31.749999999999822</v>
      </c>
      <c r="X362" s="41">
        <f t="shared" si="10"/>
        <v>22.194199198683158</v>
      </c>
      <c r="Z362" s="117"/>
      <c r="AC362" s="98"/>
    </row>
    <row r="363" spans="22:29" ht="12.75">
      <c r="V363" s="98">
        <v>359</v>
      </c>
      <c r="W363" s="58">
        <f t="shared" si="11"/>
        <v>31.833333333333155</v>
      </c>
      <c r="X363" s="41">
        <f t="shared" si="10"/>
        <v>22.291708070235046</v>
      </c>
      <c r="Z363" s="117"/>
      <c r="AC363" s="98"/>
    </row>
    <row r="364" spans="22:29" ht="12.75">
      <c r="V364" s="98">
        <v>360</v>
      </c>
      <c r="W364" s="58">
        <f t="shared" si="11"/>
        <v>31.916666666666487</v>
      </c>
      <c r="X364" s="41">
        <f t="shared" si="10"/>
        <v>22.389156811239914</v>
      </c>
      <c r="Z364" s="117"/>
      <c r="AC364" s="98"/>
    </row>
    <row r="365" spans="22:29" ht="12.75">
      <c r="V365" s="98">
        <v>361</v>
      </c>
      <c r="W365" s="58">
        <f t="shared" si="11"/>
        <v>31.99999999999982</v>
      </c>
      <c r="X365" s="41">
        <f t="shared" si="10"/>
        <v>22.486545838183734</v>
      </c>
      <c r="Z365" s="117"/>
      <c r="AC365" s="98"/>
    </row>
    <row r="366" spans="22:29" ht="12.75">
      <c r="V366" s="98">
        <v>362</v>
      </c>
      <c r="W366" s="58">
        <f t="shared" si="11"/>
        <v>32.08333333333315</v>
      </c>
      <c r="X366" s="41">
        <f t="shared" si="10"/>
        <v>22.58387556356508</v>
      </c>
      <c r="Z366" s="117"/>
      <c r="AC366" s="98"/>
    </row>
    <row r="367" spans="22:29" ht="12.75">
      <c r="V367" s="98">
        <v>363</v>
      </c>
      <c r="W367" s="58">
        <f t="shared" si="11"/>
        <v>32.16666666666649</v>
      </c>
      <c r="X367" s="41">
        <f t="shared" si="10"/>
        <v>22.681146395943767</v>
      </c>
      <c r="Z367" s="117"/>
      <c r="AC367" s="98"/>
    </row>
    <row r="368" spans="22:29" ht="12.75">
      <c r="V368" s="98">
        <v>364</v>
      </c>
      <c r="W368" s="58">
        <f t="shared" si="11"/>
        <v>32.24999999999982</v>
      </c>
      <c r="X368" s="41">
        <f t="shared" si="10"/>
        <v>22.778358739988718</v>
      </c>
      <c r="Z368" s="117"/>
      <c r="AC368" s="98"/>
    </row>
    <row r="369" spans="22:29" ht="12.75">
      <c r="V369" s="98">
        <v>365</v>
      </c>
      <c r="W369" s="58">
        <f t="shared" si="11"/>
        <v>32.33333333333316</v>
      </c>
      <c r="X369" s="41">
        <f t="shared" si="10"/>
        <v>22.87551299652521</v>
      </c>
      <c r="Z369" s="117"/>
      <c r="AC369" s="98"/>
    </row>
    <row r="370" spans="22:29" ht="12.75">
      <c r="V370" s="98">
        <v>366</v>
      </c>
      <c r="W370" s="58">
        <f t="shared" si="11"/>
        <v>32.416666666666494</v>
      </c>
      <c r="X370" s="41">
        <f t="shared" si="10"/>
        <v>22.972609562581333</v>
      </c>
      <c r="Z370" s="117"/>
      <c r="AC370" s="98"/>
    </row>
    <row r="371" spans="22:29" ht="12.75">
      <c r="V371" s="98">
        <v>367</v>
      </c>
      <c r="W371" s="58">
        <f t="shared" si="11"/>
        <v>32.49999999999983</v>
      </c>
      <c r="X371" s="41">
        <f t="shared" si="10"/>
        <v>23.06964883143386</v>
      </c>
      <c r="Z371" s="117"/>
      <c r="AC371" s="98"/>
    </row>
    <row r="372" spans="22:29" ht="12.75">
      <c r="V372" s="98">
        <v>368</v>
      </c>
      <c r="W372" s="58">
        <f t="shared" si="11"/>
        <v>32.583333333333165</v>
      </c>
      <c r="X372" s="41">
        <f t="shared" si="10"/>
        <v>23.16663119265337</v>
      </c>
      <c r="Z372" s="117"/>
      <c r="AC372" s="98"/>
    </row>
    <row r="373" spans="22:29" ht="12.75">
      <c r="V373" s="98">
        <v>369</v>
      </c>
      <c r="W373" s="58">
        <f t="shared" si="11"/>
        <v>32.6666666666665</v>
      </c>
      <c r="X373" s="41">
        <f t="shared" si="10"/>
        <v>23.263557032148725</v>
      </c>
      <c r="Z373" s="117"/>
      <c r="AC373" s="98"/>
    </row>
    <row r="374" spans="22:29" ht="12.75">
      <c r="V374" s="98">
        <v>370</v>
      </c>
      <c r="W374" s="58">
        <f t="shared" si="11"/>
        <v>32.74999999999984</v>
      </c>
      <c r="X374" s="41">
        <f t="shared" si="10"/>
        <v>23.36042673221096</v>
      </c>
      <c r="Z374" s="117"/>
      <c r="AC374" s="98"/>
    </row>
    <row r="375" spans="22:29" ht="12.75">
      <c r="V375" s="98">
        <v>371</v>
      </c>
      <c r="W375" s="58">
        <f t="shared" si="11"/>
        <v>32.83333333333317</v>
      </c>
      <c r="X375" s="41">
        <f t="shared" si="10"/>
        <v>23.45724067155645</v>
      </c>
      <c r="Z375" s="117"/>
      <c r="AC375" s="98"/>
    </row>
    <row r="376" spans="22:29" ht="12.75">
      <c r="V376" s="98">
        <v>372</v>
      </c>
      <c r="W376" s="58">
        <f t="shared" si="11"/>
        <v>32.91666666666651</v>
      </c>
      <c r="X376" s="41">
        <f t="shared" si="10"/>
        <v>23.553999225369495</v>
      </c>
      <c r="Z376" s="117"/>
      <c r="AC376" s="98"/>
    </row>
    <row r="377" spans="22:29" ht="12.75">
      <c r="V377" s="98">
        <v>373</v>
      </c>
      <c r="W377" s="58">
        <f t="shared" si="11"/>
        <v>32.999999999999844</v>
      </c>
      <c r="X377" s="41">
        <f t="shared" si="10"/>
        <v>23.650702765344313</v>
      </c>
      <c r="Z377" s="117"/>
      <c r="AC377" s="98"/>
    </row>
    <row r="378" spans="22:29" ht="12.75">
      <c r="V378" s="98">
        <v>374</v>
      </c>
      <c r="W378" s="58">
        <f t="shared" si="11"/>
        <v>33.08333333333318</v>
      </c>
      <c r="X378" s="41">
        <f t="shared" si="10"/>
        <v>23.747351659726377</v>
      </c>
      <c r="Z378" s="117"/>
      <c r="AC378" s="98"/>
    </row>
    <row r="379" spans="22:29" ht="12.75">
      <c r="V379" s="98">
        <v>375</v>
      </c>
      <c r="W379" s="58">
        <f t="shared" si="11"/>
        <v>33.166666666666515</v>
      </c>
      <c r="X379" s="41">
        <f t="shared" si="10"/>
        <v>23.843946273353176</v>
      </c>
      <c r="Z379" s="117"/>
      <c r="AC379" s="98"/>
    </row>
    <row r="380" spans="22:29" ht="12.75">
      <c r="V380" s="98">
        <v>376</v>
      </c>
      <c r="W380" s="58">
        <f t="shared" si="11"/>
        <v>33.24999999999985</v>
      </c>
      <c r="X380" s="41">
        <f t="shared" si="10"/>
        <v>23.940486967694426</v>
      </c>
      <c r="Z380" s="117"/>
      <c r="AC380" s="98"/>
    </row>
    <row r="381" spans="22:29" ht="12.75">
      <c r="V381" s="98">
        <v>377</v>
      </c>
      <c r="W381" s="58">
        <f t="shared" si="11"/>
        <v>33.33333333333319</v>
      </c>
      <c r="X381" s="41">
        <f t="shared" si="10"/>
        <v>24.036974100891648</v>
      </c>
      <c r="Z381" s="117"/>
      <c r="AC381" s="98"/>
    </row>
    <row r="382" spans="22:29" ht="12.75">
      <c r="V382" s="98">
        <v>378</v>
      </c>
      <c r="W382" s="58">
        <f t="shared" si="11"/>
        <v>33.41666666666652</v>
      </c>
      <c r="X382" s="41">
        <f t="shared" si="10"/>
        <v>24.133408027797206</v>
      </c>
      <c r="Z382" s="117"/>
      <c r="AC382" s="98"/>
    </row>
    <row r="383" spans="22:29" ht="12.75">
      <c r="V383" s="98">
        <v>379</v>
      </c>
      <c r="W383" s="58">
        <f t="shared" si="11"/>
        <v>33.49999999999986</v>
      </c>
      <c r="X383" s="41">
        <f t="shared" si="10"/>
        <v>24.22978910001283</v>
      </c>
      <c r="Z383" s="117"/>
      <c r="AC383" s="98"/>
    </row>
    <row r="384" spans="22:29" ht="12.75">
      <c r="V384" s="98">
        <v>380</v>
      </c>
      <c r="W384" s="58">
        <f t="shared" si="11"/>
        <v>33.583333333333194</v>
      </c>
      <c r="X384" s="41">
        <f t="shared" si="10"/>
        <v>24.326117665927516</v>
      </c>
      <c r="Z384" s="117"/>
      <c r="AC384" s="98"/>
    </row>
    <row r="385" spans="22:29" ht="12.75">
      <c r="V385" s="98">
        <v>381</v>
      </c>
      <c r="W385" s="58">
        <f t="shared" si="11"/>
        <v>33.66666666666653</v>
      </c>
      <c r="X385" s="41">
        <f t="shared" si="10"/>
        <v>24.422394070754947</v>
      </c>
      <c r="Z385" s="117"/>
      <c r="AC385" s="98"/>
    </row>
    <row r="386" spans="22:29" ht="12.75">
      <c r="V386" s="98">
        <v>382</v>
      </c>
      <c r="W386" s="58">
        <f t="shared" si="11"/>
        <v>33.749999999999865</v>
      </c>
      <c r="X386" s="41">
        <f t="shared" si="10"/>
        <v>24.51861865657036</v>
      </c>
      <c r="Z386" s="117"/>
      <c r="AC386" s="98"/>
    </row>
    <row r="387" spans="22:29" ht="12.75">
      <c r="V387" s="98">
        <v>383</v>
      </c>
      <c r="W387" s="58">
        <f t="shared" si="11"/>
        <v>33.8333333333332</v>
      </c>
      <c r="X387" s="41">
        <f t="shared" si="10"/>
        <v>24.614791762346908</v>
      </c>
      <c r="Z387" s="117"/>
      <c r="AC387" s="98"/>
    </row>
    <row r="388" spans="22:29" ht="12.75">
      <c r="V388" s="98">
        <v>384</v>
      </c>
      <c r="W388" s="58">
        <f t="shared" si="11"/>
        <v>33.916666666666536</v>
      </c>
      <c r="X388" s="41">
        <f t="shared" si="10"/>
        <v>24.710913723991492</v>
      </c>
      <c r="Z388" s="117"/>
      <c r="AC388" s="98"/>
    </row>
    <row r="389" spans="22:29" ht="12.75">
      <c r="V389" s="98">
        <v>385</v>
      </c>
      <c r="W389" s="58">
        <f t="shared" si="11"/>
        <v>33.99999999999987</v>
      </c>
      <c r="X389" s="41">
        <f aca="true" t="shared" si="12" ref="X389:X452">$W389-0.5*(2.34*$N$4/($N$5*$W389/3*$D$10))*(1+SQRT(1+(4.36*($D$22+$D$11+$D$16)/(2.34*$N$4/($N$5*$W389/3*$D$10)))))</f>
        <v>24.806984874380113</v>
      </c>
      <c r="Z389" s="117"/>
      <c r="AC389" s="98"/>
    </row>
    <row r="390" spans="22:29" ht="12.75">
      <c r="V390" s="98">
        <v>386</v>
      </c>
      <c r="W390" s="58">
        <f aca="true" t="shared" si="13" ref="W390:W453">$W389+1/12</f>
        <v>34.08333333333321</v>
      </c>
      <c r="X390" s="41">
        <f t="shared" si="12"/>
        <v>24.903005543392712</v>
      </c>
      <c r="Z390" s="117"/>
      <c r="AC390" s="98"/>
    </row>
    <row r="391" spans="22:29" ht="12.75">
      <c r="V391" s="98">
        <v>387</v>
      </c>
      <c r="W391" s="58">
        <f t="shared" si="13"/>
        <v>34.16666666666654</v>
      </c>
      <c r="X391" s="41">
        <f t="shared" si="12"/>
        <v>24.99897605794753</v>
      </c>
      <c r="Z391" s="117"/>
      <c r="AC391" s="98"/>
    </row>
    <row r="392" spans="22:29" ht="12.75">
      <c r="V392" s="98">
        <v>388</v>
      </c>
      <c r="W392" s="58">
        <f t="shared" si="13"/>
        <v>34.24999999999988</v>
      </c>
      <c r="X392" s="41">
        <f t="shared" si="12"/>
        <v>25.09489674203499</v>
      </c>
      <c r="Z392" s="117"/>
      <c r="AC392" s="98"/>
    </row>
    <row r="393" spans="22:29" ht="12.75">
      <c r="V393" s="98">
        <v>389</v>
      </c>
      <c r="W393" s="58">
        <f t="shared" si="13"/>
        <v>34.333333333333215</v>
      </c>
      <c r="X393" s="41">
        <f t="shared" si="12"/>
        <v>25.190767916751113</v>
      </c>
      <c r="Z393" s="117"/>
      <c r="AC393" s="98"/>
    </row>
    <row r="394" spans="22:29" ht="12.75">
      <c r="V394" s="98">
        <v>390</v>
      </c>
      <c r="W394" s="58">
        <f t="shared" si="13"/>
        <v>34.41666666666655</v>
      </c>
      <c r="X394" s="41">
        <f t="shared" si="12"/>
        <v>25.286589900330455</v>
      </c>
      <c r="Z394" s="117"/>
      <c r="AC394" s="98"/>
    </row>
    <row r="395" spans="22:29" ht="12.75">
      <c r="V395" s="98">
        <v>391</v>
      </c>
      <c r="W395" s="58">
        <f t="shared" si="13"/>
        <v>34.499999999999886</v>
      </c>
      <c r="X395" s="41">
        <f t="shared" si="12"/>
        <v>25.38236300817863</v>
      </c>
      <c r="Z395" s="117"/>
      <c r="AC395" s="98"/>
    </row>
    <row r="396" spans="22:29" ht="12.75">
      <c r="V396" s="98">
        <v>392</v>
      </c>
      <c r="W396" s="58">
        <f t="shared" si="13"/>
        <v>34.58333333333322</v>
      </c>
      <c r="X396" s="41">
        <f t="shared" si="12"/>
        <v>25.47808755290431</v>
      </c>
      <c r="Z396" s="117"/>
      <c r="AC396" s="98"/>
    </row>
    <row r="397" spans="22:29" ht="12.75">
      <c r="V397" s="98">
        <v>393</v>
      </c>
      <c r="W397" s="58">
        <f t="shared" si="13"/>
        <v>34.66666666666656</v>
      </c>
      <c r="X397" s="41">
        <f t="shared" si="12"/>
        <v>25.573763844350875</v>
      </c>
      <c r="Z397" s="117"/>
      <c r="AC397" s="98"/>
    </row>
    <row r="398" spans="22:29" ht="12.75">
      <c r="V398" s="98">
        <v>394</v>
      </c>
      <c r="W398" s="58">
        <f t="shared" si="13"/>
        <v>34.74999999999989</v>
      </c>
      <c r="X398" s="41">
        <f t="shared" si="12"/>
        <v>25.66939218962756</v>
      </c>
      <c r="Z398" s="117"/>
      <c r="AC398" s="98"/>
    </row>
    <row r="399" spans="22:29" ht="12.75">
      <c r="V399" s="98">
        <v>395</v>
      </c>
      <c r="W399" s="58">
        <f t="shared" si="13"/>
        <v>34.83333333333323</v>
      </c>
      <c r="X399" s="41">
        <f t="shared" si="12"/>
        <v>25.764972893140204</v>
      </c>
      <c r="Z399" s="117"/>
      <c r="AC399" s="98"/>
    </row>
    <row r="400" spans="22:29" ht="12.75">
      <c r="V400" s="98">
        <v>396</v>
      </c>
      <c r="W400" s="58">
        <f t="shared" si="13"/>
        <v>34.916666666666565</v>
      </c>
      <c r="X400" s="41">
        <f t="shared" si="12"/>
        <v>25.86050625662158</v>
      </c>
      <c r="Z400" s="117"/>
      <c r="AC400" s="98"/>
    </row>
    <row r="401" spans="22:29" ht="12.75">
      <c r="V401" s="98">
        <v>397</v>
      </c>
      <c r="W401" s="58">
        <f t="shared" si="13"/>
        <v>34.9999999999999</v>
      </c>
      <c r="X401" s="41">
        <f t="shared" si="12"/>
        <v>25.955992579161318</v>
      </c>
      <c r="Z401" s="117"/>
      <c r="AC401" s="98"/>
    </row>
    <row r="402" spans="22:29" ht="12.75">
      <c r="V402" s="98">
        <v>398</v>
      </c>
      <c r="W402" s="58">
        <f t="shared" si="13"/>
        <v>35.083333333333236</v>
      </c>
      <c r="X402" s="41">
        <f t="shared" si="12"/>
        <v>26.05143215723539</v>
      </c>
      <c r="Z402" s="117"/>
      <c r="AC402" s="98"/>
    </row>
    <row r="403" spans="22:29" ht="12.75">
      <c r="V403" s="98">
        <v>399</v>
      </c>
      <c r="W403" s="58">
        <f t="shared" si="13"/>
        <v>35.16666666666657</v>
      </c>
      <c r="X403" s="41">
        <f t="shared" si="12"/>
        <v>26.146825284735225</v>
      </c>
      <c r="Z403" s="117"/>
      <c r="AC403" s="98"/>
    </row>
    <row r="404" spans="22:29" ht="12.75">
      <c r="V404" s="98">
        <v>400</v>
      </c>
      <c r="W404" s="58">
        <f t="shared" si="13"/>
        <v>35.24999999999991</v>
      </c>
      <c r="X404" s="41">
        <f t="shared" si="12"/>
        <v>26.24217225299644</v>
      </c>
      <c r="Z404" s="117"/>
      <c r="AC404" s="98"/>
    </row>
    <row r="405" spans="22:29" ht="12.75">
      <c r="V405" s="98">
        <v>401</v>
      </c>
      <c r="W405" s="58">
        <f t="shared" si="13"/>
        <v>35.33333333333324</v>
      </c>
      <c r="X405" s="41">
        <f t="shared" si="12"/>
        <v>26.33747335082714</v>
      </c>
      <c r="Z405" s="117"/>
      <c r="AC405" s="98"/>
    </row>
    <row r="406" spans="22:29" ht="12.75">
      <c r="V406" s="98">
        <v>402</v>
      </c>
      <c r="W406" s="58">
        <f t="shared" si="13"/>
        <v>35.41666666666658</v>
      </c>
      <c r="X406" s="41">
        <f t="shared" si="12"/>
        <v>26.43272886453588</v>
      </c>
      <c r="Z406" s="117"/>
      <c r="AC406" s="98"/>
    </row>
    <row r="407" spans="22:29" ht="12.75">
      <c r="V407" s="98">
        <v>403</v>
      </c>
      <c r="W407" s="58">
        <f t="shared" si="13"/>
        <v>35.499999999999915</v>
      </c>
      <c r="X407" s="41">
        <f t="shared" si="12"/>
        <v>26.52793907795924</v>
      </c>
      <c r="Z407" s="117"/>
      <c r="AC407" s="98"/>
    </row>
    <row r="408" spans="22:29" ht="12.75">
      <c r="V408" s="98">
        <v>404</v>
      </c>
      <c r="W408" s="58">
        <f t="shared" si="13"/>
        <v>35.58333333333325</v>
      </c>
      <c r="X408" s="41">
        <f t="shared" si="12"/>
        <v>26.623104272489005</v>
      </c>
      <c r="Z408" s="117"/>
      <c r="AC408" s="98"/>
    </row>
    <row r="409" spans="22:29" ht="12.75">
      <c r="V409" s="98">
        <v>405</v>
      </c>
      <c r="W409" s="58">
        <f t="shared" si="13"/>
        <v>35.666666666666586</v>
      </c>
      <c r="X409" s="41">
        <f t="shared" si="12"/>
        <v>26.71822472709903</v>
      </c>
      <c r="Z409" s="117"/>
      <c r="AC409" s="98"/>
    </row>
    <row r="410" spans="22:29" ht="12.75">
      <c r="V410" s="98">
        <v>406</v>
      </c>
      <c r="W410" s="58">
        <f t="shared" si="13"/>
        <v>35.74999999999992</v>
      </c>
      <c r="X410" s="41">
        <f t="shared" si="12"/>
        <v>26.8133007183717</v>
      </c>
      <c r="Z410" s="117"/>
      <c r="AC410" s="98"/>
    </row>
    <row r="411" spans="22:29" ht="12.75">
      <c r="V411" s="98">
        <v>407</v>
      </c>
      <c r="W411" s="58">
        <f t="shared" si="13"/>
        <v>35.83333333333326</v>
      </c>
      <c r="X411" s="41">
        <f t="shared" si="12"/>
        <v>26.908332520524073</v>
      </c>
      <c r="Z411" s="117"/>
      <c r="AC411" s="98"/>
    </row>
    <row r="412" spans="22:29" ht="12.75">
      <c r="V412" s="98">
        <v>408</v>
      </c>
      <c r="W412" s="58">
        <f t="shared" si="13"/>
        <v>35.91666666666659</v>
      </c>
      <c r="X412" s="41">
        <f t="shared" si="12"/>
        <v>27.003320405433648</v>
      </c>
      <c r="Z412" s="117"/>
      <c r="AC412" s="98"/>
    </row>
    <row r="413" spans="22:29" ht="12.75">
      <c r="V413" s="98">
        <v>409</v>
      </c>
      <c r="W413" s="58">
        <f t="shared" si="13"/>
        <v>35.99999999999993</v>
      </c>
      <c r="X413" s="41">
        <f t="shared" si="12"/>
        <v>27.098264642663807</v>
      </c>
      <c r="Z413" s="117"/>
      <c r="AC413" s="98"/>
    </row>
    <row r="414" spans="22:29" ht="12.75">
      <c r="V414" s="98">
        <v>410</v>
      </c>
      <c r="W414" s="58">
        <f t="shared" si="13"/>
        <v>36.083333333333265</v>
      </c>
      <c r="X414" s="41">
        <f t="shared" si="12"/>
        <v>27.19316549948894</v>
      </c>
      <c r="Z414" s="117"/>
      <c r="AC414" s="98"/>
    </row>
    <row r="415" spans="22:29" ht="12.75">
      <c r="V415" s="98">
        <v>411</v>
      </c>
      <c r="W415" s="58">
        <f t="shared" si="13"/>
        <v>36.1666666666666</v>
      </c>
      <c r="X415" s="41">
        <f t="shared" si="12"/>
        <v>27.288023240919205</v>
      </c>
      <c r="Z415" s="117"/>
      <c r="AC415" s="98"/>
    </row>
    <row r="416" spans="22:29" ht="12.75">
      <c r="V416" s="98">
        <v>412</v>
      </c>
      <c r="W416" s="58">
        <f t="shared" si="13"/>
        <v>36.249999999999936</v>
      </c>
      <c r="X416" s="41">
        <f t="shared" si="12"/>
        <v>27.382838129724973</v>
      </c>
      <c r="Z416" s="117"/>
      <c r="AC416" s="98"/>
    </row>
    <row r="417" spans="22:29" ht="12.75">
      <c r="V417" s="98">
        <v>413</v>
      </c>
      <c r="W417" s="58">
        <f t="shared" si="13"/>
        <v>36.33333333333327</v>
      </c>
      <c r="X417" s="41">
        <f t="shared" si="12"/>
        <v>27.47761042646097</v>
      </c>
      <c r="Z417" s="117"/>
      <c r="AC417" s="98"/>
    </row>
    <row r="418" spans="22:29" ht="12.75">
      <c r="V418" s="98">
        <v>414</v>
      </c>
      <c r="W418" s="58">
        <f t="shared" si="13"/>
        <v>36.41666666666661</v>
      </c>
      <c r="X418" s="41">
        <f t="shared" si="12"/>
        <v>27.572340389490066</v>
      </c>
      <c r="Z418" s="117"/>
      <c r="AC418" s="98"/>
    </row>
    <row r="419" spans="22:29" ht="12.75">
      <c r="V419" s="98">
        <v>415</v>
      </c>
      <c r="W419" s="58">
        <f t="shared" si="13"/>
        <v>36.49999999999994</v>
      </c>
      <c r="X419" s="41">
        <f t="shared" si="12"/>
        <v>27.667028275006807</v>
      </c>
      <c r="Z419" s="117"/>
      <c r="AC419" s="98"/>
    </row>
    <row r="420" spans="22:29" ht="12.75">
      <c r="V420" s="98">
        <v>416</v>
      </c>
      <c r="W420" s="58">
        <f t="shared" si="13"/>
        <v>36.58333333333328</v>
      </c>
      <c r="X420" s="41">
        <f t="shared" si="12"/>
        <v>27.761674337060605</v>
      </c>
      <c r="Z420" s="117"/>
      <c r="AC420" s="98"/>
    </row>
    <row r="421" spans="22:29" ht="12.75">
      <c r="V421" s="98">
        <v>417</v>
      </c>
      <c r="W421" s="58">
        <f t="shared" si="13"/>
        <v>36.666666666666615</v>
      </c>
      <c r="X421" s="41">
        <f t="shared" si="12"/>
        <v>27.856278827578613</v>
      </c>
      <c r="Z421" s="117"/>
      <c r="AC421" s="98"/>
    </row>
    <row r="422" spans="22:29" ht="12.75">
      <c r="V422" s="98">
        <v>418</v>
      </c>
      <c r="W422" s="58">
        <f t="shared" si="13"/>
        <v>36.74999999999995</v>
      </c>
      <c r="X422" s="41">
        <f t="shared" si="12"/>
        <v>27.95084199638835</v>
      </c>
      <c r="Z422" s="117"/>
      <c r="AC422" s="98"/>
    </row>
    <row r="423" spans="22:29" ht="12.75">
      <c r="V423" s="98">
        <v>419</v>
      </c>
      <c r="W423" s="58">
        <f t="shared" si="13"/>
        <v>36.833333333333286</v>
      </c>
      <c r="X423" s="41">
        <f t="shared" si="12"/>
        <v>28.045364091239975</v>
      </c>
      <c r="Z423" s="117"/>
      <c r="AC423" s="98"/>
    </row>
    <row r="424" spans="22:29" ht="12.75">
      <c r="V424" s="98">
        <v>420</v>
      </c>
      <c r="W424" s="58">
        <f t="shared" si="13"/>
        <v>36.91666666666662</v>
      </c>
      <c r="X424" s="41">
        <f t="shared" si="12"/>
        <v>28.139845357828356</v>
      </c>
      <c r="Z424" s="117"/>
      <c r="AC424" s="98"/>
    </row>
    <row r="425" spans="22:29" ht="12.75">
      <c r="V425" s="98">
        <v>421</v>
      </c>
      <c r="W425" s="58">
        <f t="shared" si="13"/>
        <v>36.99999999999996</v>
      </c>
      <c r="X425" s="41">
        <f t="shared" si="12"/>
        <v>28.23428603981476</v>
      </c>
      <c r="Z425" s="117"/>
      <c r="AC425" s="98"/>
    </row>
    <row r="426" spans="22:29" ht="12.75">
      <c r="V426" s="98">
        <v>422</v>
      </c>
      <c r="W426" s="58">
        <f t="shared" si="13"/>
        <v>37.08333333333329</v>
      </c>
      <c r="X426" s="41">
        <f t="shared" si="12"/>
        <v>28.328686378848325</v>
      </c>
      <c r="Z426" s="117"/>
      <c r="AC426" s="98"/>
    </row>
    <row r="427" spans="22:29" ht="12.75">
      <c r="V427" s="98">
        <v>423</v>
      </c>
      <c r="W427" s="58">
        <f t="shared" si="13"/>
        <v>37.16666666666663</v>
      </c>
      <c r="X427" s="41">
        <f t="shared" si="12"/>
        <v>28.423046614587246</v>
      </c>
      <c r="Z427" s="117"/>
      <c r="AC427" s="98"/>
    </row>
    <row r="428" spans="22:29" ht="12.75">
      <c r="V428" s="98">
        <v>424</v>
      </c>
      <c r="W428" s="58">
        <f t="shared" si="13"/>
        <v>37.249999999999964</v>
      </c>
      <c r="X428" s="41">
        <f t="shared" si="12"/>
        <v>28.51736698471969</v>
      </c>
      <c r="Z428" s="117"/>
      <c r="AC428" s="98"/>
    </row>
    <row r="429" spans="22:29" ht="12.75">
      <c r="V429" s="98">
        <v>425</v>
      </c>
      <c r="W429" s="58">
        <f t="shared" si="13"/>
        <v>37.3333333333333</v>
      </c>
      <c r="X429" s="41">
        <f t="shared" si="12"/>
        <v>28.611647724984422</v>
      </c>
      <c r="Z429" s="117"/>
      <c r="AC429" s="98"/>
    </row>
    <row r="430" spans="22:29" ht="12.75">
      <c r="V430" s="98">
        <v>426</v>
      </c>
      <c r="W430" s="58">
        <f t="shared" si="13"/>
        <v>37.416666666666636</v>
      </c>
      <c r="X430" s="41">
        <f t="shared" si="12"/>
        <v>28.70588906919121</v>
      </c>
      <c r="Z430" s="117"/>
      <c r="AC430" s="98"/>
    </row>
    <row r="431" spans="22:29" ht="12.75">
      <c r="V431" s="98">
        <v>427</v>
      </c>
      <c r="W431" s="58">
        <f t="shared" si="13"/>
        <v>37.49999999999997</v>
      </c>
      <c r="X431" s="41">
        <f t="shared" si="12"/>
        <v>28.80009124924092</v>
      </c>
      <c r="Z431" s="117"/>
      <c r="AC431" s="98"/>
    </row>
    <row r="432" spans="22:29" ht="12.75">
      <c r="V432" s="98">
        <v>428</v>
      </c>
      <c r="W432" s="58">
        <f t="shared" si="13"/>
        <v>37.58333333333331</v>
      </c>
      <c r="X432" s="41">
        <f t="shared" si="12"/>
        <v>28.89425449514543</v>
      </c>
      <c r="Z432" s="117"/>
      <c r="AC432" s="98"/>
    </row>
    <row r="433" spans="22:29" ht="12.75">
      <c r="V433" s="98">
        <v>429</v>
      </c>
      <c r="W433" s="58">
        <f t="shared" si="13"/>
        <v>37.66666666666664</v>
      </c>
      <c r="X433" s="41">
        <f t="shared" si="12"/>
        <v>28.98837903504719</v>
      </c>
      <c r="Z433" s="117"/>
      <c r="AC433" s="98"/>
    </row>
    <row r="434" spans="22:29" ht="12.75">
      <c r="V434" s="98">
        <v>430</v>
      </c>
      <c r="W434" s="58">
        <f t="shared" si="13"/>
        <v>37.74999999999998</v>
      </c>
      <c r="X434" s="41">
        <f t="shared" si="12"/>
        <v>29.08246509523863</v>
      </c>
      <c r="Z434" s="117"/>
      <c r="AC434" s="98"/>
    </row>
    <row r="435" spans="22:29" ht="12.75">
      <c r="V435" s="98">
        <v>431</v>
      </c>
      <c r="W435" s="58">
        <f t="shared" si="13"/>
        <v>37.833333333333314</v>
      </c>
      <c r="X435" s="41">
        <f t="shared" si="12"/>
        <v>29.176512900181283</v>
      </c>
      <c r="Z435" s="117"/>
      <c r="AC435" s="98"/>
    </row>
    <row r="436" spans="22:29" ht="12.75">
      <c r="V436" s="98">
        <v>432</v>
      </c>
      <c r="W436" s="58">
        <f t="shared" si="13"/>
        <v>37.91666666666665</v>
      </c>
      <c r="X436" s="41">
        <f t="shared" si="12"/>
        <v>29.270522672524667</v>
      </c>
      <c r="Z436" s="117"/>
      <c r="AC436" s="98"/>
    </row>
    <row r="437" spans="22:29" ht="12.75">
      <c r="V437" s="98">
        <v>433</v>
      </c>
      <c r="W437" s="58">
        <f t="shared" si="13"/>
        <v>37.999999999999986</v>
      </c>
      <c r="X437" s="41">
        <f t="shared" si="12"/>
        <v>29.36449463312492</v>
      </c>
      <c r="Z437" s="117"/>
      <c r="AC437" s="98"/>
    </row>
    <row r="438" spans="22:29" ht="12.75">
      <c r="V438" s="98">
        <v>434</v>
      </c>
      <c r="W438" s="58">
        <f t="shared" si="13"/>
        <v>38.08333333333332</v>
      </c>
      <c r="X438" s="41">
        <f t="shared" si="12"/>
        <v>29.458429001063237</v>
      </c>
      <c r="Z438" s="117"/>
      <c r="AC438" s="98"/>
    </row>
    <row r="439" spans="22:29" ht="12.75">
      <c r="V439" s="98">
        <v>435</v>
      </c>
      <c r="W439" s="58">
        <f t="shared" si="13"/>
        <v>38.16666666666666</v>
      </c>
      <c r="X439" s="41">
        <f t="shared" si="12"/>
        <v>29.55232599366406</v>
      </c>
      <c r="Z439" s="117"/>
      <c r="AC439" s="98"/>
    </row>
    <row r="440" spans="22:29" ht="12.75">
      <c r="V440" s="98">
        <v>436</v>
      </c>
      <c r="W440" s="58">
        <f t="shared" si="13"/>
        <v>38.24999999999999</v>
      </c>
      <c r="X440" s="41">
        <f t="shared" si="12"/>
        <v>29.646185826513005</v>
      </c>
      <c r="Z440" s="117"/>
      <c r="AC440" s="98"/>
    </row>
    <row r="441" spans="22:29" ht="12.75">
      <c r="V441" s="98">
        <v>437</v>
      </c>
      <c r="W441" s="58">
        <f t="shared" si="13"/>
        <v>38.33333333333333</v>
      </c>
      <c r="X441" s="41">
        <f t="shared" si="12"/>
        <v>29.74000871347465</v>
      </c>
      <c r="Z441" s="117"/>
      <c r="AC441" s="98"/>
    </row>
    <row r="442" spans="22:29" ht="12.75">
      <c r="V442" s="98">
        <v>438</v>
      </c>
      <c r="W442" s="58">
        <f t="shared" si="13"/>
        <v>38.416666666666664</v>
      </c>
      <c r="X442" s="41">
        <f t="shared" si="12"/>
        <v>29.833794866710008</v>
      </c>
      <c r="Z442" s="117"/>
      <c r="AC442" s="98"/>
    </row>
    <row r="443" spans="22:29" ht="12.75">
      <c r="V443" s="98">
        <v>439</v>
      </c>
      <c r="W443" s="58">
        <f t="shared" si="13"/>
        <v>38.5</v>
      </c>
      <c r="X443" s="41">
        <f t="shared" si="12"/>
        <v>29.92754449669385</v>
      </c>
      <c r="Z443" s="117"/>
      <c r="AC443" s="98"/>
    </row>
    <row r="444" spans="22:29" ht="12.75">
      <c r="V444" s="98">
        <v>440</v>
      </c>
      <c r="W444" s="58">
        <f t="shared" si="13"/>
        <v>38.583333333333336</v>
      </c>
      <c r="X444" s="41">
        <f t="shared" si="12"/>
        <v>30.02125781223181</v>
      </c>
      <c r="Z444" s="117"/>
      <c r="AC444" s="98"/>
    </row>
    <row r="445" spans="22:29" ht="12.75">
      <c r="V445" s="98">
        <v>441</v>
      </c>
      <c r="W445" s="58">
        <f t="shared" si="13"/>
        <v>38.66666666666667</v>
      </c>
      <c r="X445" s="41">
        <f t="shared" si="12"/>
        <v>30.114935020477212</v>
      </c>
      <c r="Z445" s="117"/>
      <c r="AC445" s="98"/>
    </row>
    <row r="446" spans="22:29" ht="12.75">
      <c r="V446" s="98">
        <v>442</v>
      </c>
      <c r="W446" s="58">
        <f t="shared" si="13"/>
        <v>38.75000000000001</v>
      </c>
      <c r="X446" s="41">
        <f t="shared" si="12"/>
        <v>30.2085763269478</v>
      </c>
      <c r="Z446" s="117"/>
      <c r="AC446" s="98"/>
    </row>
    <row r="447" spans="22:29" ht="12.75">
      <c r="V447" s="98">
        <v>443</v>
      </c>
      <c r="W447" s="58">
        <f t="shared" si="13"/>
        <v>38.83333333333334</v>
      </c>
      <c r="X447" s="41">
        <f t="shared" si="12"/>
        <v>30.302181935542166</v>
      </c>
      <c r="Z447" s="117"/>
      <c r="AC447" s="98"/>
    </row>
    <row r="448" spans="22:29" ht="12.75">
      <c r="V448" s="98">
        <v>444</v>
      </c>
      <c r="W448" s="58">
        <f t="shared" si="13"/>
        <v>38.91666666666668</v>
      </c>
      <c r="X448" s="41">
        <f t="shared" si="12"/>
        <v>30.395752048556027</v>
      </c>
      <c r="Z448" s="117"/>
      <c r="AC448" s="98"/>
    </row>
    <row r="449" spans="22:29" ht="12.75">
      <c r="V449" s="98">
        <v>445</v>
      </c>
      <c r="W449" s="58">
        <f t="shared" si="13"/>
        <v>39.000000000000014</v>
      </c>
      <c r="X449" s="41">
        <f t="shared" si="12"/>
        <v>30.4892868666983</v>
      </c>
      <c r="Z449" s="117"/>
      <c r="AC449" s="98"/>
    </row>
    <row r="450" spans="22:29" ht="12.75">
      <c r="V450" s="98">
        <v>446</v>
      </c>
      <c r="W450" s="58">
        <f t="shared" si="13"/>
        <v>39.08333333333335</v>
      </c>
      <c r="X450" s="41">
        <f t="shared" si="12"/>
        <v>30.582786589106952</v>
      </c>
      <c r="Z450" s="117"/>
      <c r="AC450" s="98"/>
    </row>
    <row r="451" spans="22:29" ht="12.75">
      <c r="V451" s="98">
        <v>447</v>
      </c>
      <c r="W451" s="58">
        <f t="shared" si="13"/>
        <v>39.166666666666686</v>
      </c>
      <c r="X451" s="41">
        <f t="shared" si="12"/>
        <v>30.67625141336471</v>
      </c>
      <c r="Z451" s="117"/>
      <c r="AC451" s="98"/>
    </row>
    <row r="452" spans="22:29" ht="12.75">
      <c r="V452" s="98">
        <v>448</v>
      </c>
      <c r="W452" s="58">
        <f t="shared" si="13"/>
        <v>39.25000000000002</v>
      </c>
      <c r="X452" s="41">
        <f t="shared" si="12"/>
        <v>30.769681535514515</v>
      </c>
      <c r="Z452" s="117"/>
      <c r="AC452" s="98"/>
    </row>
    <row r="453" spans="22:29" ht="12.75">
      <c r="V453" s="98">
        <v>449</v>
      </c>
      <c r="W453" s="58">
        <f t="shared" si="13"/>
        <v>39.33333333333336</v>
      </c>
      <c r="X453" s="41">
        <f aca="true" t="shared" si="14" ref="X453:X461">$W453-0.5*(2.34*$N$4/($N$5*$W453/3*$D$10))*(1+SQRT(1+(4.36*($D$22+$D$11+$D$16)/(2.34*$N$4/($N$5*$W453/3*$D$10)))))</f>
        <v>30.86307715007485</v>
      </c>
      <c r="Z453" s="117"/>
      <c r="AC453" s="98"/>
    </row>
    <row r="454" spans="22:29" ht="12.75">
      <c r="V454" s="98">
        <v>450</v>
      </c>
      <c r="W454" s="58">
        <f aca="true" t="shared" si="15" ref="W454:W461">$W453+1/12</f>
        <v>39.41666666666669</v>
      </c>
      <c r="X454" s="41">
        <f t="shared" si="14"/>
        <v>30.956438450054847</v>
      </c>
      <c r="Z454" s="117"/>
      <c r="AC454" s="98"/>
    </row>
    <row r="455" spans="22:29" ht="12.75">
      <c r="V455" s="98">
        <v>451</v>
      </c>
      <c r="W455" s="58">
        <f t="shared" si="15"/>
        <v>39.50000000000003</v>
      </c>
      <c r="X455" s="41">
        <f t="shared" si="14"/>
        <v>31.04976562696921</v>
      </c>
      <c r="Z455" s="117"/>
      <c r="AC455" s="98"/>
    </row>
    <row r="456" spans="22:29" ht="12.75">
      <c r="V456" s="98">
        <v>452</v>
      </c>
      <c r="W456" s="58">
        <f t="shared" si="15"/>
        <v>39.583333333333364</v>
      </c>
      <c r="X456" s="41">
        <f t="shared" si="14"/>
        <v>31.143058870853007</v>
      </c>
      <c r="Z456" s="117"/>
      <c r="AC456" s="98"/>
    </row>
    <row r="457" spans="22:29" ht="12.75">
      <c r="V457" s="98">
        <v>453</v>
      </c>
      <c r="W457" s="58">
        <f t="shared" si="15"/>
        <v>39.6666666666667</v>
      </c>
      <c r="X457" s="41">
        <f t="shared" si="14"/>
        <v>31.236318370276198</v>
      </c>
      <c r="Z457" s="117"/>
      <c r="AC457" s="98"/>
    </row>
    <row r="458" spans="22:26" ht="12.75">
      <c r="V458" s="98">
        <v>454</v>
      </c>
      <c r="W458" s="58">
        <f t="shared" si="15"/>
        <v>39.750000000000036</v>
      </c>
      <c r="X458" s="41">
        <f t="shared" si="14"/>
        <v>31.32954431235808</v>
      </c>
      <c r="Z458" s="117"/>
    </row>
    <row r="459" spans="22:26" ht="12.75">
      <c r="V459" s="98">
        <v>455</v>
      </c>
      <c r="W459" s="58">
        <f t="shared" si="15"/>
        <v>39.83333333333337</v>
      </c>
      <c r="X459" s="41">
        <f t="shared" si="14"/>
        <v>31.422736882781493</v>
      </c>
      <c r="Z459" s="117"/>
    </row>
    <row r="460" spans="22:26" ht="12.75">
      <c r="V460" s="98">
        <v>456</v>
      </c>
      <c r="W460" s="58">
        <f t="shared" si="15"/>
        <v>39.91666666666671</v>
      </c>
      <c r="X460" s="41">
        <f t="shared" si="14"/>
        <v>31.51589626580691</v>
      </c>
      <c r="Z460" s="117"/>
    </row>
    <row r="461" spans="22:26" ht="12.75">
      <c r="V461" s="98">
        <v>457</v>
      </c>
      <c r="W461" s="58">
        <f t="shared" si="15"/>
        <v>40.00000000000004</v>
      </c>
      <c r="X461" s="41">
        <f t="shared" si="14"/>
        <v>31.60902264428629</v>
      </c>
      <c r="Z461" s="117"/>
    </row>
    <row r="462" ht="12.75">
      <c r="V462" s="139" t="s">
        <v>94</v>
      </c>
    </row>
    <row r="463" spans="22:26" ht="12.75">
      <c r="V463" s="104" t="s">
        <v>23</v>
      </c>
      <c r="W463" s="100" t="str">
        <f>"Trial 'L'"</f>
        <v>Trial 'L'</v>
      </c>
      <c r="X463" s="101" t="s">
        <v>24</v>
      </c>
      <c r="Y463" s="62"/>
      <c r="Z463" s="62"/>
    </row>
    <row r="464" spans="22:26" ht="12.75">
      <c r="V464" s="133">
        <f>LOOKUP($W$464,$W$5:$W$461,$V$5:$V$461)</f>
        <v>155</v>
      </c>
      <c r="W464" s="102">
        <f>LOOKUP(0,$X$5:$X$461,$W$5:$W$461)</f>
        <v>14.833333333333371</v>
      </c>
      <c r="X464" s="199">
        <f>LOOKUP($V$464,$V$5:$V$461,$X$5:$X$461)</f>
        <v>-0.029410556235667684</v>
      </c>
      <c r="Y464" s="98" t="s">
        <v>28</v>
      </c>
      <c r="Z464" s="62"/>
    </row>
    <row r="465" spans="22:26" ht="12.75">
      <c r="V465" s="133">
        <f>$V$464+1</f>
        <v>156</v>
      </c>
      <c r="W465" s="102">
        <f>LOOKUP($V$465,$V$5:$V$461,$W$5:$W$461)</f>
        <v>14.916666666666705</v>
      </c>
      <c r="X465" s="199">
        <f>LOOKUP($V$465,$V$5:$V$461,$X$5:$X$461)</f>
        <v>0.10347007654293172</v>
      </c>
      <c r="Y465" s="98" t="s">
        <v>29</v>
      </c>
      <c r="Z465" s="62"/>
    </row>
    <row r="466" spans="22:26" ht="12.75">
      <c r="V466" s="106" t="str">
        <f>"Interpolating between L("&amp;V464&amp;") and L("&amp;V465&amp;") to find where value = 0:"</f>
        <v>Interpolating between L(155) and L(156) to find where value = 0:</v>
      </c>
      <c r="Z466" s="62"/>
    </row>
    <row r="467" spans="22:26" ht="12.75">
      <c r="V467" s="69" t="s">
        <v>18</v>
      </c>
      <c r="W467" s="102">
        <f>($W$465-$W$464)*(0-$X$464)/($X$465-$X$464)+$W$464</f>
        <v>14.85177755379693</v>
      </c>
      <c r="X467" s="70" t="s">
        <v>3</v>
      </c>
      <c r="Y467" s="62"/>
      <c r="Z467" s="62"/>
    </row>
    <row r="474" ht="12.75">
      <c r="V474" s="139"/>
    </row>
    <row r="475" spans="24:26" ht="12.75">
      <c r="X475" s="101"/>
      <c r="Y475" s="62"/>
      <c r="Z475" s="62"/>
    </row>
    <row r="476" spans="22:26" ht="12.75">
      <c r="V476" s="133"/>
      <c r="W476" s="102"/>
      <c r="X476" s="199"/>
      <c r="Y476" s="98"/>
      <c r="Z476" s="62"/>
    </row>
    <row r="477" spans="22:26" ht="12.75">
      <c r="V477" s="133"/>
      <c r="W477" s="102"/>
      <c r="X477" s="199"/>
      <c r="Y477" s="98"/>
      <c r="Z477" s="62"/>
    </row>
    <row r="478" spans="22:26" ht="12.75">
      <c r="V478" s="106"/>
      <c r="Z478" s="62"/>
    </row>
    <row r="479" spans="22:26" ht="12.75">
      <c r="V479" s="69"/>
      <c r="W479" s="102"/>
      <c r="X479" s="101"/>
      <c r="Y479" s="62"/>
      <c r="Z479" s="62"/>
    </row>
  </sheetData>
  <sheetProtection sheet="1" objects="1" scenarios="1"/>
  <mergeCells count="1">
    <mergeCell ref="AB18:AF19"/>
  </mergeCells>
  <dataValidations count="3">
    <dataValidation type="list" allowBlank="1" showInputMessage="1" showErrorMessage="1" prompt="Select value of allowable vertical foundation pressure based on Class of Materials from IBC 2012 Table 1806.2.&#10;(See displayed table at right.)" sqref="D17">
      <formula1>$N$20:$N$24</formula1>
    </dataValidation>
    <dataValidation allowBlank="1" showInputMessage="1" showErrorMessage="1" prompt="The user input value for the&quot;Unit Weight of Soil&quot; is not actually used in the subsequent calculations, and is merely shown for reference." sqref="D14"/>
    <dataValidation allowBlank="1" showInputMessage="1" showErrorMessage="1" prompt="The user input value for the &quot;Angle of Internal Friction&quot; of the soil is not actually used in the subsequent calculations, and is merely shown for reference." sqref="D15"/>
  </dataValidations>
  <printOptions/>
  <pageMargins left="1" right="0.5" top="1" bottom="1" header="0.5" footer="0.5"/>
  <pageSetup horizontalDpi="600" verticalDpi="600" orientation="portrait" scale="98" r:id="rId4"/>
  <headerFooter>
    <oddHeader>&amp;R"POLEFDN.xls" Program
Version 2.4</oddHeader>
    <oddFooter>&amp;C&amp;P of &amp;N&amp;R&amp;D  &amp;T</oddFooter>
  </headerFooter>
  <rowBreaks count="3" manualBreakCount="3">
    <brk id="100" max="8" man="1"/>
    <brk id="150" max="8" man="1"/>
    <brk id="200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97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338</v>
      </c>
      <c r="AB1" s="98"/>
      <c r="AC1" s="98"/>
      <c r="AD1" s="62"/>
      <c r="AE1" s="123"/>
      <c r="AF1" s="123"/>
    </row>
    <row r="2" spans="1:32" ht="12.75">
      <c r="A2" s="77" t="s">
        <v>281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M3" s="138" t="s">
        <v>59</v>
      </c>
      <c r="N3" s="73"/>
      <c r="O3" s="70"/>
      <c r="P3" s="70"/>
      <c r="Q3" s="98"/>
      <c r="R3" s="98"/>
      <c r="V3" s="70" t="s">
        <v>148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133</v>
      </c>
      <c r="G4" s="156"/>
      <c r="H4" s="157"/>
      <c r="I4" s="158"/>
      <c r="J4" s="50"/>
      <c r="K4" s="102"/>
      <c r="L4" s="70"/>
      <c r="M4" s="69" t="s">
        <v>86</v>
      </c>
      <c r="N4" s="101">
        <f>$D$21+($D$23/($D$22+$D$11+$D$16))</f>
        <v>10.133</v>
      </c>
      <c r="O4" s="70" t="s">
        <v>7</v>
      </c>
      <c r="P4" s="51" t="s">
        <v>95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132</v>
      </c>
      <c r="G5" s="191"/>
      <c r="H5" s="155" t="s">
        <v>131</v>
      </c>
      <c r="I5" s="191"/>
      <c r="J5" s="50"/>
      <c r="K5" s="102"/>
      <c r="L5" s="70"/>
      <c r="M5" s="69" t="s">
        <v>89</v>
      </c>
      <c r="N5" s="102">
        <f>(TAN(PI()/180*(45+$D$15/2)))^2</f>
        <v>2.9999999999999982</v>
      </c>
      <c r="O5" s="70"/>
      <c r="P5" s="51" t="s">
        <v>100</v>
      </c>
      <c r="V5" s="98">
        <v>1</v>
      </c>
      <c r="W5" s="58">
        <f>2</f>
        <v>2</v>
      </c>
      <c r="X5" s="102">
        <f aca="true" t="shared" si="0" ref="X5:X68">$W5-(1.18*$N$4/($D$10*(($N$5*$D$14*$W5)/3))*(1+SQRT(1+1.88*$D$10*(($N$5*$D$14*$W5)/3)*($D$22+$D$11+$D$16)/$N$4)))</f>
        <v>-58.703362743932544</v>
      </c>
      <c r="Y5" s="14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69" t="s">
        <v>90</v>
      </c>
      <c r="N6" s="102">
        <f>($N$5*$D$14*$N$8)</f>
        <v>5.603833655761302</v>
      </c>
      <c r="O6" s="70" t="s">
        <v>13</v>
      </c>
      <c r="P6" s="51" t="s">
        <v>102</v>
      </c>
      <c r="V6" s="98">
        <v>2</v>
      </c>
      <c r="W6" s="58">
        <f aca="true" t="shared" si="1" ref="W6:W69">$W5+1/12</f>
        <v>2.0833333333333335</v>
      </c>
      <c r="X6" s="102">
        <f t="shared" si="0"/>
        <v>-56.80776019301862</v>
      </c>
      <c r="Y6" s="14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69" t="s">
        <v>88</v>
      </c>
      <c r="N7" s="102">
        <f>$N$6/3</f>
        <v>1.867944551920434</v>
      </c>
      <c r="O7" s="70" t="s">
        <v>13</v>
      </c>
      <c r="P7" s="51" t="s">
        <v>96</v>
      </c>
      <c r="U7" s="102"/>
      <c r="V7" s="98">
        <v>3</v>
      </c>
      <c r="W7" s="58">
        <f t="shared" si="1"/>
        <v>2.166666666666667</v>
      </c>
      <c r="X7" s="102">
        <f t="shared" si="0"/>
        <v>-55.04252924039103</v>
      </c>
      <c r="Y7" s="14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/>
      <c r="L8" s="70"/>
      <c r="M8" s="69" t="s">
        <v>18</v>
      </c>
      <c r="N8" s="73">
        <f>$W$466</f>
        <v>15.566204599336961</v>
      </c>
      <c r="O8" s="70" t="s">
        <v>3</v>
      </c>
      <c r="P8" s="70" t="s">
        <v>104</v>
      </c>
      <c r="V8" s="98">
        <v>4</v>
      </c>
      <c r="W8" s="58">
        <f t="shared" si="1"/>
        <v>2.2500000000000004</v>
      </c>
      <c r="X8" s="102">
        <f t="shared" si="0"/>
        <v>-53.39357052664436</v>
      </c>
      <c r="Y8" s="147"/>
      <c r="AB8" s="125"/>
      <c r="AC8" s="98"/>
      <c r="AD8" s="46"/>
      <c r="AE8" s="46"/>
      <c r="AF8" s="46"/>
    </row>
    <row r="9" spans="1:32" ht="12.75">
      <c r="A9" s="151" t="s">
        <v>109</v>
      </c>
      <c r="B9" s="10"/>
      <c r="C9" s="10"/>
      <c r="D9" s="10"/>
      <c r="E9" s="10"/>
      <c r="F9" s="13"/>
      <c r="G9" s="81" t="str">
        <f>"Pv="&amp;$D$20&amp;" k"</f>
        <v>Pv=3 k</v>
      </c>
      <c r="H9" s="6"/>
      <c r="I9" s="14"/>
      <c r="J9" s="46"/>
      <c r="K9" s="108"/>
      <c r="L9" s="70"/>
      <c r="M9" s="104" t="s">
        <v>31</v>
      </c>
      <c r="N9" s="105">
        <f>$D$11+$D$16+$N$8</f>
        <v>15.566204599336961</v>
      </c>
      <c r="O9" s="106" t="s">
        <v>3</v>
      </c>
      <c r="P9" s="51" t="s">
        <v>84</v>
      </c>
      <c r="V9" s="98">
        <v>5</v>
      </c>
      <c r="W9" s="58">
        <f t="shared" si="1"/>
        <v>2.333333333333334</v>
      </c>
      <c r="X9" s="102">
        <f t="shared" si="0"/>
        <v>-51.84877209703293</v>
      </c>
      <c r="Y9" s="14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13"/>
      <c r="G10" s="6"/>
      <c r="H10" s="6"/>
      <c r="I10" s="14"/>
      <c r="J10" s="36"/>
      <c r="L10" s="70"/>
      <c r="M10" s="138" t="s">
        <v>62</v>
      </c>
      <c r="N10" s="108"/>
      <c r="O10" s="106"/>
      <c r="P10" s="106"/>
      <c r="V10" s="98">
        <v>6</v>
      </c>
      <c r="W10" s="58">
        <f t="shared" si="1"/>
        <v>2.4166666666666674</v>
      </c>
      <c r="X10" s="102">
        <f t="shared" si="0"/>
        <v>-50.39766927673291</v>
      </c>
      <c r="Y10" s="14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14</v>
      </c>
      <c r="N11" s="105">
        <f>PI()*$D$10^2/4</f>
        <v>4.908738521234052</v>
      </c>
      <c r="O11" s="106" t="s">
        <v>15</v>
      </c>
      <c r="P11" s="96" t="s">
        <v>51</v>
      </c>
      <c r="T11" s="102"/>
      <c r="V11" s="98">
        <v>7</v>
      </c>
      <c r="W11" s="58">
        <f t="shared" si="1"/>
        <v>2.500000000000001</v>
      </c>
      <c r="X11" s="102">
        <f t="shared" si="0"/>
        <v>-49.03117227153224</v>
      </c>
      <c r="Y11" s="147"/>
      <c r="AB11" s="125"/>
      <c r="AC11" s="98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69" t="s">
        <v>57</v>
      </c>
      <c r="N12" s="73">
        <f>$N$11*$N$9*0.15</f>
        <v>11.461564221926402</v>
      </c>
      <c r="O12" s="70" t="s">
        <v>7</v>
      </c>
      <c r="P12" s="70" t="s">
        <v>81</v>
      </c>
      <c r="Q12" s="98"/>
      <c r="T12" s="98"/>
      <c r="V12" s="98">
        <v>8</v>
      </c>
      <c r="W12" s="58">
        <f t="shared" si="1"/>
        <v>2.5833333333333344</v>
      </c>
      <c r="X12" s="102">
        <f t="shared" si="0"/>
        <v>-47.74134624333102</v>
      </c>
      <c r="Y12" s="147"/>
      <c r="AB12" s="125"/>
      <c r="AC12" s="98"/>
      <c r="AD12" s="46"/>
      <c r="AE12" s="46"/>
      <c r="AF12" s="46"/>
    </row>
    <row r="13" spans="1:32" ht="12.75">
      <c r="A13" s="151" t="s">
        <v>110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28" t="s">
        <v>65</v>
      </c>
      <c r="N13" s="38">
        <f>$D$20+$N$12</f>
        <v>14.461564221926402</v>
      </c>
      <c r="O13" s="51" t="s">
        <v>7</v>
      </c>
      <c r="P13" s="135" t="s">
        <v>162</v>
      </c>
      <c r="V13" s="98">
        <v>9</v>
      </c>
      <c r="W13" s="58">
        <f t="shared" si="1"/>
        <v>2.666666666666668</v>
      </c>
      <c r="X13" s="102">
        <f t="shared" si="0"/>
        <v>-46.52123241562984</v>
      </c>
      <c r="Y13" s="147"/>
      <c r="AB13" s="125"/>
      <c r="AC13" s="98"/>
      <c r="AD13" s="46"/>
      <c r="AE13" s="46"/>
      <c r="AF13" s="46"/>
    </row>
    <row r="14" spans="1:32" ht="12.75">
      <c r="A14" s="7"/>
      <c r="B14" s="12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104" t="s">
        <v>50</v>
      </c>
      <c r="N14" s="108">
        <f>$N$13/$N$11</f>
        <v>2.9460856713734223</v>
      </c>
      <c r="O14" s="106" t="s">
        <v>13</v>
      </c>
      <c r="P14" s="106" t="s">
        <v>66</v>
      </c>
      <c r="T14" s="102"/>
      <c r="V14" s="98">
        <v>10</v>
      </c>
      <c r="W14" s="58">
        <f t="shared" si="1"/>
        <v>2.7500000000000013</v>
      </c>
      <c r="X14" s="102">
        <f t="shared" si="0"/>
        <v>-45.36470153328837</v>
      </c>
      <c r="Y14" s="147"/>
      <c r="AB14" s="125"/>
      <c r="AC14" s="98"/>
      <c r="AD14" s="46"/>
      <c r="AE14" s="46"/>
      <c r="AF14" s="46"/>
    </row>
    <row r="15" spans="1:32" ht="12.75">
      <c r="A15" s="63"/>
      <c r="B15" s="10"/>
      <c r="C15" s="48" t="s">
        <v>99</v>
      </c>
      <c r="D15" s="167">
        <v>30</v>
      </c>
      <c r="E15" s="67" t="s">
        <v>98</v>
      </c>
      <c r="F15" s="82" t="str">
        <f>"           H="&amp;$D$22&amp;"'"</f>
        <v>           H=28.625'</v>
      </c>
      <c r="G15" s="82"/>
      <c r="H15" s="6"/>
      <c r="I15" s="252" t="s">
        <v>252</v>
      </c>
      <c r="K15" s="109"/>
      <c r="L15" s="69"/>
      <c r="M15" s="104"/>
      <c r="N15" s="108"/>
      <c r="O15" s="106"/>
      <c r="P15" s="106"/>
      <c r="V15" s="98">
        <v>11</v>
      </c>
      <c r="W15" s="58">
        <f t="shared" si="1"/>
        <v>2.833333333333335</v>
      </c>
      <c r="X15" s="102">
        <f t="shared" si="0"/>
        <v>-44.26633303790791</v>
      </c>
      <c r="Y15" s="147"/>
      <c r="AB15" s="46"/>
      <c r="AC15" s="98"/>
      <c r="AD15" s="46"/>
      <c r="AE15" s="46"/>
      <c r="AF15" s="46"/>
    </row>
    <row r="16" spans="1:32" ht="12.75">
      <c r="A16" s="9"/>
      <c r="B16" s="12"/>
      <c r="C16" s="12" t="s">
        <v>127</v>
      </c>
      <c r="D16" s="165">
        <v>0</v>
      </c>
      <c r="E16" s="64" t="s">
        <v>3</v>
      </c>
      <c r="F16" s="6"/>
      <c r="G16" s="6"/>
      <c r="H16" s="6"/>
      <c r="I16" s="252" t="s">
        <v>253</v>
      </c>
      <c r="K16" s="103"/>
      <c r="M16" s="104"/>
      <c r="N16" s="108"/>
      <c r="O16" s="106"/>
      <c r="P16" s="106"/>
      <c r="V16" s="98">
        <v>12</v>
      </c>
      <c r="W16" s="58">
        <f t="shared" si="1"/>
        <v>2.9166666666666683</v>
      </c>
      <c r="X16" s="102">
        <f t="shared" si="0"/>
        <v>-43.22131483418979</v>
      </c>
      <c r="Y16" s="147"/>
      <c r="AB16" s="125"/>
      <c r="AC16" s="98"/>
      <c r="AD16" s="61"/>
      <c r="AE16" s="46"/>
      <c r="AF16" s="46"/>
    </row>
    <row r="17" spans="1:32" ht="12.75">
      <c r="A17" s="7"/>
      <c r="B17" s="12"/>
      <c r="C17" s="48" t="s">
        <v>128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104"/>
      <c r="N17" s="108"/>
      <c r="O17" s="106"/>
      <c r="P17" s="106"/>
      <c r="V17" s="98">
        <v>13</v>
      </c>
      <c r="W17" s="58">
        <f t="shared" si="1"/>
        <v>3.0000000000000018</v>
      </c>
      <c r="X17" s="102">
        <f t="shared" si="0"/>
        <v>-42.22535965870174</v>
      </c>
      <c r="Y17" s="147"/>
      <c r="AB17" s="125"/>
      <c r="AC17" s="98"/>
      <c r="AD17" s="61"/>
      <c r="AE17" s="46"/>
      <c r="AF17" s="46"/>
    </row>
    <row r="18" spans="1:32" ht="12.75">
      <c r="A18" s="63"/>
      <c r="B18" s="10"/>
      <c r="C18" s="10"/>
      <c r="D18" s="10"/>
      <c r="E18" s="10"/>
      <c r="F18" s="6"/>
      <c r="G18" s="6"/>
      <c r="H18" s="6"/>
      <c r="I18" s="85" t="str">
        <f>"  h2="&amp;$D$16&amp;"'"</f>
        <v>  h2=0'</v>
      </c>
      <c r="K18" s="100"/>
      <c r="L18" s="69"/>
      <c r="V18" s="98">
        <v>14</v>
      </c>
      <c r="W18" s="58">
        <f t="shared" si="1"/>
        <v>3.0833333333333353</v>
      </c>
      <c r="X18" s="102">
        <f t="shared" si="0"/>
        <v>-41.27463492267547</v>
      </c>
      <c r="Y18" s="147"/>
      <c r="AB18" s="125"/>
      <c r="AC18" s="98"/>
      <c r="AD18" s="61"/>
      <c r="AE18" s="46"/>
      <c r="AF18" s="46"/>
    </row>
    <row r="19" spans="1:32" ht="12.75">
      <c r="A19" s="152" t="s">
        <v>111</v>
      </c>
      <c r="B19" s="12"/>
      <c r="C19" s="12"/>
      <c r="D19" s="41"/>
      <c r="E19" s="66"/>
      <c r="F19" s="6"/>
      <c r="G19" s="6"/>
      <c r="H19" s="6"/>
      <c r="I19" s="14"/>
      <c r="K19" s="100"/>
      <c r="L19" s="69"/>
      <c r="V19" s="98">
        <v>15</v>
      </c>
      <c r="W19" s="58">
        <f t="shared" si="1"/>
        <v>3.1666666666666687</v>
      </c>
      <c r="X19" s="102">
        <f t="shared" si="0"/>
        <v>-40.36570355728022</v>
      </c>
      <c r="Y19" s="147"/>
      <c r="AB19" s="60"/>
      <c r="AC19" s="98"/>
      <c r="AD19" s="60"/>
      <c r="AE19" s="46"/>
      <c r="AF19" s="46"/>
    </row>
    <row r="20" spans="1:32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69"/>
      <c r="V20" s="98">
        <v>16</v>
      </c>
      <c r="W20" s="58">
        <f t="shared" si="1"/>
        <v>3.250000000000002</v>
      </c>
      <c r="X20" s="102">
        <f t="shared" si="0"/>
        <v>-39.49547389534891</v>
      </c>
      <c r="Y20" s="147"/>
      <c r="AB20" s="60"/>
      <c r="AC20" s="98"/>
      <c r="AD20" s="60"/>
      <c r="AE20" s="46"/>
      <c r="AF20" s="46"/>
    </row>
    <row r="21" spans="1:32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91</v>
      </c>
      <c r="G21" s="6"/>
      <c r="H21" s="6"/>
      <c r="I21" s="14"/>
      <c r="K21" s="100"/>
      <c r="L21" s="69"/>
      <c r="V21" s="98">
        <v>17</v>
      </c>
      <c r="W21" s="58">
        <f t="shared" si="1"/>
        <v>3.3333333333333357</v>
      </c>
      <c r="X21" s="102">
        <f t="shared" si="0"/>
        <v>-38.6611570155483</v>
      </c>
      <c r="Y21" s="147"/>
      <c r="AB21" s="60"/>
      <c r="AC21" s="98"/>
      <c r="AD21" s="60"/>
      <c r="AE21" s="46"/>
      <c r="AF21" s="46"/>
    </row>
    <row r="22" spans="1:32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92</v>
      </c>
      <c r="G22" s="18"/>
      <c r="H22" s="82" t="str">
        <f>"  L="&amp;ROUND($N$8,2)&amp;"'"</f>
        <v>  L=15.57'</v>
      </c>
      <c r="I22" s="14"/>
      <c r="K22" s="103"/>
      <c r="L22" s="69"/>
      <c r="V22" s="98">
        <v>18</v>
      </c>
      <c r="W22" s="58">
        <f t="shared" si="1"/>
        <v>3.416666666666669</v>
      </c>
      <c r="X22" s="102">
        <f t="shared" si="0"/>
        <v>-37.86023028112956</v>
      </c>
      <c r="Y22" s="147"/>
      <c r="AB22" s="46"/>
      <c r="AC22" s="98"/>
      <c r="AD22" s="46"/>
      <c r="AE22" s="46"/>
      <c r="AF22" s="46"/>
    </row>
    <row r="23" spans="1:32" ht="12.75">
      <c r="A23" s="7"/>
      <c r="B23" s="6"/>
      <c r="C23" s="48" t="s">
        <v>10</v>
      </c>
      <c r="D23" s="166">
        <v>0</v>
      </c>
      <c r="E23" s="67" t="s">
        <v>9</v>
      </c>
      <c r="F23" s="6"/>
      <c r="G23" s="6"/>
      <c r="H23" s="6"/>
      <c r="I23" s="14"/>
      <c r="K23" s="100"/>
      <c r="L23" s="69"/>
      <c r="M23" s="139"/>
      <c r="V23" s="98">
        <v>19</v>
      </c>
      <c r="W23" s="58">
        <f t="shared" si="1"/>
        <v>3.5000000000000027</v>
      </c>
      <c r="X23" s="102">
        <f t="shared" si="0"/>
        <v>-37.090406046084894</v>
      </c>
      <c r="Y23" s="147"/>
      <c r="AB23" s="60"/>
      <c r="AC23" s="98"/>
      <c r="AD23" s="46"/>
      <c r="AE23" s="46"/>
      <c r="AF23" s="46"/>
    </row>
    <row r="24" spans="1:32" ht="12.75">
      <c r="A24" s="63"/>
      <c r="B24" s="10"/>
      <c r="C24" s="10"/>
      <c r="D24" s="10"/>
      <c r="E24" s="10"/>
      <c r="F24" s="143" t="s">
        <v>93</v>
      </c>
      <c r="G24" s="6"/>
      <c r="H24" s="6"/>
      <c r="I24" s="14"/>
      <c r="J24" s="46"/>
      <c r="K24" s="100"/>
      <c r="L24" s="69"/>
      <c r="M24" s="50"/>
      <c r="V24" s="98">
        <v>20</v>
      </c>
      <c r="W24" s="58">
        <f t="shared" si="1"/>
        <v>3.583333333333336</v>
      </c>
      <c r="X24" s="102">
        <f t="shared" si="0"/>
        <v>-36.34960469196789</v>
      </c>
      <c r="Y24" s="147"/>
      <c r="AB24" s="62"/>
      <c r="AC24" s="98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104"/>
      <c r="N25" s="105"/>
      <c r="O25" s="106"/>
      <c r="P25" s="106"/>
      <c r="V25" s="98">
        <v>21</v>
      </c>
      <c r="W25" s="58">
        <f t="shared" si="1"/>
        <v>3.6666666666666696</v>
      </c>
      <c r="X25" s="102">
        <f t="shared" si="0"/>
        <v>-35.6359313102113</v>
      </c>
      <c r="Y25" s="147"/>
      <c r="AB25" s="62"/>
      <c r="AC25" s="98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>
        <v>22</v>
      </c>
      <c r="W26" s="58">
        <f t="shared" si="1"/>
        <v>3.750000000000003</v>
      </c>
      <c r="X26" s="102">
        <f t="shared" si="0"/>
        <v>-34.947655466116736</v>
      </c>
      <c r="Y26" s="147"/>
      <c r="AB26" s="62"/>
      <c r="AC26" s="98"/>
      <c r="AD26" s="62"/>
      <c r="AE26" s="123"/>
      <c r="AF26" s="123"/>
    </row>
    <row r="27" spans="1:32" ht="12.75">
      <c r="A27" s="31" t="s">
        <v>179</v>
      </c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>
        <v>23</v>
      </c>
      <c r="W27" s="58">
        <f t="shared" si="1"/>
        <v>3.8333333333333366</v>
      </c>
      <c r="X27" s="102">
        <f t="shared" si="0"/>
        <v>-34.28319357835507</v>
      </c>
      <c r="Y27" s="147"/>
      <c r="AB27" s="62"/>
      <c r="AC27" s="98"/>
      <c r="AD27" s="62"/>
      <c r="AE27" s="123"/>
      <c r="AF27" s="123"/>
    </row>
    <row r="28" spans="1:32" ht="12.75">
      <c r="A28" s="63"/>
      <c r="B28" s="10"/>
      <c r="C28" s="10"/>
      <c r="D28" s="10"/>
      <c r="E28" s="6"/>
      <c r="F28" s="86" t="s">
        <v>279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>
        <v>24</v>
      </c>
      <c r="W28" s="58">
        <f t="shared" si="1"/>
        <v>3.91666666666667</v>
      </c>
      <c r="X28" s="102">
        <f t="shared" si="0"/>
        <v>-33.641093526833366</v>
      </c>
      <c r="Y28" s="147"/>
      <c r="AB28" s="62"/>
      <c r="AC28" s="98"/>
      <c r="AD28" s="62"/>
      <c r="AE28" s="123"/>
      <c r="AF28" s="123"/>
    </row>
    <row r="29" spans="1:32" ht="12.75">
      <c r="A29" s="153" t="s">
        <v>114</v>
      </c>
      <c r="B29" s="17"/>
      <c r="C29" s="18"/>
      <c r="D29" s="18"/>
      <c r="E29" s="6"/>
      <c r="F29" s="6"/>
      <c r="G29" s="6"/>
      <c r="H29" s="6"/>
      <c r="I29" s="14"/>
      <c r="J29" s="46"/>
      <c r="K29" s="100"/>
      <c r="L29" s="71"/>
      <c r="M29" s="50"/>
      <c r="V29" s="98">
        <v>25</v>
      </c>
      <c r="W29" s="58">
        <f t="shared" si="1"/>
        <v>4.0000000000000036</v>
      </c>
      <c r="X29" s="102">
        <f t="shared" si="0"/>
        <v>-33.02002116602891</v>
      </c>
      <c r="Y29" s="147"/>
      <c r="AB29" s="62"/>
      <c r="AC29" s="98"/>
      <c r="AD29" s="62"/>
      <c r="AE29" s="123"/>
      <c r="AF29" s="123"/>
    </row>
    <row r="30" spans="1:32" ht="13.5" customHeight="1">
      <c r="A30" s="21" t="s">
        <v>86</v>
      </c>
      <c r="B30" s="168">
        <f>$N$4</f>
        <v>10.133</v>
      </c>
      <c r="C30" s="66" t="s">
        <v>7</v>
      </c>
      <c r="D30" s="18" t="s">
        <v>95</v>
      </c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>
        <v>26</v>
      </c>
      <c r="W30" s="58">
        <f t="shared" si="1"/>
        <v>4.083333333333337</v>
      </c>
      <c r="X30" s="102">
        <f t="shared" si="0"/>
        <v>-32.41874847337289</v>
      </c>
      <c r="Y30" s="147"/>
      <c r="AB30" s="62"/>
      <c r="AC30" s="98"/>
      <c r="AD30" s="62"/>
      <c r="AE30" s="123"/>
      <c r="AF30" s="123"/>
    </row>
    <row r="31" spans="1:32" ht="13.5" customHeight="1">
      <c r="A31" s="21" t="s">
        <v>89</v>
      </c>
      <c r="B31" s="169">
        <f>$N$5</f>
        <v>2.9999999999999982</v>
      </c>
      <c r="C31" s="66"/>
      <c r="D31" s="18" t="s">
        <v>101</v>
      </c>
      <c r="E31" s="10"/>
      <c r="F31" s="10"/>
      <c r="G31" s="10"/>
      <c r="H31" s="10"/>
      <c r="I31" s="11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102">
        <f t="shared" si="0"/>
        <v>-31.836143105331992</v>
      </c>
      <c r="Y31" s="147"/>
      <c r="AB31" s="62"/>
      <c r="AC31" s="98"/>
      <c r="AD31" s="62"/>
      <c r="AE31" s="123"/>
      <c r="AF31" s="123"/>
    </row>
    <row r="32" spans="1:32" ht="12.75">
      <c r="A32" s="21" t="s">
        <v>90</v>
      </c>
      <c r="B32" s="169">
        <f>$N$6</f>
        <v>5.603833655761302</v>
      </c>
      <c r="C32" s="66" t="s">
        <v>13</v>
      </c>
      <c r="D32" s="18" t="s">
        <v>103</v>
      </c>
      <c r="E32" s="10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102">
        <f t="shared" si="0"/>
        <v>-31.271159169327586</v>
      </c>
      <c r="Y32" s="147"/>
      <c r="AB32" s="62"/>
      <c r="AC32" s="98"/>
      <c r="AD32" s="62"/>
      <c r="AE32" s="123"/>
      <c r="AF32" s="123"/>
    </row>
    <row r="33" spans="1:32" ht="12.75">
      <c r="A33" s="21" t="s">
        <v>88</v>
      </c>
      <c r="B33" s="169">
        <f>$N$7</f>
        <v>1.867944551920434</v>
      </c>
      <c r="C33" s="66" t="s">
        <v>13</v>
      </c>
      <c r="D33" s="18" t="s">
        <v>96</v>
      </c>
      <c r="E33" s="6"/>
      <c r="F33" s="19"/>
      <c r="G33" s="19"/>
      <c r="H33" s="19"/>
      <c r="I33" s="14"/>
      <c r="J33" s="46"/>
      <c r="K33" s="100"/>
      <c r="L33" s="69"/>
      <c r="U33" s="98"/>
      <c r="V33" s="98">
        <v>29</v>
      </c>
      <c r="W33" s="58">
        <f t="shared" si="1"/>
        <v>4.333333333333336</v>
      </c>
      <c r="X33" s="102">
        <f t="shared" si="0"/>
        <v>-30.72282904900228</v>
      </c>
      <c r="Y33" s="147"/>
      <c r="AB33" s="62"/>
      <c r="AC33" s="98"/>
      <c r="AD33" s="62"/>
      <c r="AE33" s="123"/>
      <c r="AF33" s="123"/>
    </row>
    <row r="34" spans="1:32" ht="12.75">
      <c r="A34" s="21" t="s">
        <v>18</v>
      </c>
      <c r="B34" s="228">
        <f>$N$8</f>
        <v>15.566204599336961</v>
      </c>
      <c r="C34" s="66" t="s">
        <v>3</v>
      </c>
      <c r="D34" s="18" t="s">
        <v>104</v>
      </c>
      <c r="E34" s="10"/>
      <c r="F34" s="19"/>
      <c r="G34" s="19"/>
      <c r="H34" s="19"/>
      <c r="I34" s="14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102">
        <f t="shared" si="0"/>
        <v>-30.19025614474469</v>
      </c>
      <c r="Y34" s="147"/>
      <c r="AB34" s="62"/>
      <c r="AC34" s="98"/>
      <c r="AD34" s="62"/>
      <c r="AE34" s="123"/>
      <c r="AF34" s="123"/>
    </row>
    <row r="35" spans="1:32" ht="12.75">
      <c r="A35" s="21" t="s">
        <v>31</v>
      </c>
      <c r="B35" s="173">
        <f>$N$9</f>
        <v>15.566204599336961</v>
      </c>
      <c r="C35" s="66" t="s">
        <v>3</v>
      </c>
      <c r="D35" s="18" t="s">
        <v>84</v>
      </c>
      <c r="E35" s="6"/>
      <c r="F35" s="19"/>
      <c r="G35" s="20"/>
      <c r="H35" s="6"/>
      <c r="I35" s="14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102">
        <f t="shared" si="0"/>
        <v>-29.672608411732305</v>
      </c>
      <c r="Y35" s="147"/>
      <c r="AB35" s="62"/>
      <c r="AC35" s="98"/>
      <c r="AD35" s="62"/>
      <c r="AE35" s="123"/>
      <c r="AF35" s="123"/>
    </row>
    <row r="36" spans="1:32" ht="12.75" customHeight="1">
      <c r="A36" s="21"/>
      <c r="B36" s="17"/>
      <c r="C36" s="65"/>
      <c r="D36" s="18"/>
      <c r="E36" s="19"/>
      <c r="F36" s="134"/>
      <c r="G36" s="20"/>
      <c r="H36" s="19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102">
        <f t="shared" si="0"/>
        <v>-29.16911259478502</v>
      </c>
      <c r="Y36" s="147"/>
      <c r="AB36" s="62"/>
      <c r="AC36" s="98"/>
      <c r="AD36" s="62"/>
      <c r="AE36" s="123"/>
      <c r="AF36" s="123"/>
    </row>
    <row r="37" spans="1:32" ht="12.75" customHeight="1">
      <c r="A37" s="153" t="s">
        <v>116</v>
      </c>
      <c r="B37" s="113"/>
      <c r="C37" s="26"/>
      <c r="D37" s="26"/>
      <c r="E37" s="19"/>
      <c r="F37" s="19"/>
      <c r="G37" s="134"/>
      <c r="H37" s="19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102">
        <f t="shared" si="0"/>
        <v>-28.67904907362755</v>
      </c>
      <c r="Y37" s="147"/>
      <c r="AB37" s="62"/>
      <c r="AC37" s="98"/>
      <c r="AD37" s="62"/>
      <c r="AE37" s="123"/>
      <c r="AF37" s="123"/>
    </row>
    <row r="38" spans="1:32" ht="12.75" customHeight="1">
      <c r="A38" s="91" t="s">
        <v>14</v>
      </c>
      <c r="B38" s="172">
        <f>$N$11</f>
        <v>4.908738521234052</v>
      </c>
      <c r="C38" s="66" t="s">
        <v>15</v>
      </c>
      <c r="D38" s="28" t="s">
        <v>60</v>
      </c>
      <c r="E38" s="19"/>
      <c r="F38" s="19"/>
      <c r="G38" s="19"/>
      <c r="H38" s="19"/>
      <c r="I38" s="14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102">
        <f t="shared" si="0"/>
        <v>-28.20174724421556</v>
      </c>
      <c r="Y38" s="147"/>
      <c r="AB38" s="62"/>
      <c r="AC38" s="98"/>
      <c r="AD38" s="62"/>
      <c r="AE38" s="123"/>
      <c r="AF38" s="123"/>
    </row>
    <row r="39" spans="1:32" ht="12.75" customHeight="1">
      <c r="A39" s="91" t="s">
        <v>57</v>
      </c>
      <c r="B39" s="170">
        <f>$N$12</f>
        <v>11.461564221926402</v>
      </c>
      <c r="C39" s="66" t="s">
        <v>7</v>
      </c>
      <c r="D39" s="18" t="s">
        <v>81</v>
      </c>
      <c r="E39" s="19"/>
      <c r="F39" s="19"/>
      <c r="G39" s="19"/>
      <c r="H39" s="19"/>
      <c r="I39" s="14"/>
      <c r="K39" s="100"/>
      <c r="L39" s="71"/>
      <c r="V39" s="98">
        <v>35</v>
      </c>
      <c r="W39" s="58">
        <f t="shared" si="1"/>
        <v>4.833333333333334</v>
      </c>
      <c r="X39" s="102">
        <f t="shared" si="0"/>
        <v>-27.736581371974175</v>
      </c>
      <c r="Y39" s="147"/>
      <c r="AB39" s="62"/>
      <c r="AC39" s="98"/>
      <c r="AD39" s="62"/>
      <c r="AE39" s="123"/>
      <c r="AF39" s="123"/>
    </row>
    <row r="40" spans="1:32" ht="12.75" customHeight="1">
      <c r="A40" s="93" t="s">
        <v>64</v>
      </c>
      <c r="B40" s="170">
        <f>$N$13</f>
        <v>14.461564221926402</v>
      </c>
      <c r="C40" s="66" t="s">
        <v>7</v>
      </c>
      <c r="D40" s="136" t="s">
        <v>161</v>
      </c>
      <c r="E40" s="19"/>
      <c r="F40" s="19"/>
      <c r="G40" s="19"/>
      <c r="H40" s="10"/>
      <c r="I40" s="11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102">
        <f t="shared" si="0"/>
        <v>-27.28296686144242</v>
      </c>
      <c r="Y40" s="147"/>
      <c r="AB40" s="62"/>
      <c r="AC40" s="98"/>
      <c r="AD40" s="62"/>
      <c r="AE40" s="123"/>
      <c r="AF40" s="123"/>
    </row>
    <row r="41" spans="1:32" ht="12.75" customHeight="1">
      <c r="A41" s="91" t="s">
        <v>50</v>
      </c>
      <c r="B41" s="171">
        <f>$N$14</f>
        <v>2.9460856713734223</v>
      </c>
      <c r="C41" s="66" t="s">
        <v>13</v>
      </c>
      <c r="D41" s="26" t="s">
        <v>67</v>
      </c>
      <c r="E41" s="10"/>
      <c r="F41" s="10"/>
      <c r="G41" s="10"/>
      <c r="H41" s="43" t="str">
        <f>IF($D$17&gt;=$B$41,"Pa&gt;=P(bot), O.K.","Pa&lt;P(bot)")</f>
        <v>Pa&gt;=P(bot), O.K.</v>
      </c>
      <c r="I41" s="23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102">
        <f t="shared" si="0"/>
        <v>-26.840356894172455</v>
      </c>
      <c r="Y41" s="147"/>
      <c r="AB41" s="62"/>
      <c r="AC41" s="98"/>
      <c r="AD41" s="62"/>
      <c r="AE41" s="123"/>
      <c r="AF41" s="123"/>
    </row>
    <row r="42" spans="1:32" ht="12.75">
      <c r="A42" s="63"/>
      <c r="B42" s="10"/>
      <c r="C42" s="10"/>
      <c r="D42" s="10"/>
      <c r="E42" s="10"/>
      <c r="F42" s="10"/>
      <c r="G42" s="10"/>
      <c r="H42" s="10"/>
      <c r="I42" s="11"/>
      <c r="J42" s="46"/>
      <c r="K42" s="100"/>
      <c r="M42" s="148"/>
      <c r="N42" s="98"/>
      <c r="O42" s="101"/>
      <c r="P42" s="144"/>
      <c r="V42" s="98">
        <v>38</v>
      </c>
      <c r="W42" s="58">
        <f t="shared" si="1"/>
        <v>5.083333333333333</v>
      </c>
      <c r="X42" s="102">
        <f t="shared" si="0"/>
        <v>-26.40823939300622</v>
      </c>
      <c r="Y42" s="147"/>
      <c r="AB42" s="62"/>
      <c r="AC42" s="98"/>
      <c r="AD42" s="62"/>
      <c r="AE42" s="123"/>
      <c r="AF42" s="123"/>
    </row>
    <row r="43" spans="1:32" ht="12.75">
      <c r="A43" s="9" t="s">
        <v>166</v>
      </c>
      <c r="B43" s="10" t="s">
        <v>190</v>
      </c>
      <c r="C43" s="224"/>
      <c r="D43" s="19"/>
      <c r="E43" s="19"/>
      <c r="F43" s="19"/>
      <c r="G43" s="20"/>
      <c r="H43" s="19"/>
      <c r="I43" s="226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1"/>
        <v>5.166666666666666</v>
      </c>
      <c r="X43" s="102">
        <f t="shared" si="0"/>
        <v>-25.98613427622059</v>
      </c>
      <c r="Y43" s="147"/>
      <c r="AB43" s="62"/>
      <c r="AC43" s="98"/>
      <c r="AD43" s="62"/>
      <c r="AE43" s="123"/>
      <c r="AF43" s="123"/>
    </row>
    <row r="44" spans="1:32" ht="12.75" customHeight="1">
      <c r="A44" s="63"/>
      <c r="B44" s="10"/>
      <c r="C44" s="10"/>
      <c r="D44" s="10"/>
      <c r="E44" s="132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1"/>
        <v>5.249999999999999</v>
      </c>
      <c r="X44" s="102">
        <f t="shared" si="0"/>
        <v>-25.57359096963688</v>
      </c>
      <c r="Y44" s="147"/>
      <c r="AB44" s="62"/>
      <c r="AC44" s="98"/>
      <c r="AD44" s="62"/>
      <c r="AE44" s="123"/>
      <c r="AF44" s="123"/>
    </row>
    <row r="45" spans="1:32" ht="12.75">
      <c r="A45" s="63"/>
      <c r="B45" s="10"/>
      <c r="C45" s="10"/>
      <c r="D45" s="10"/>
      <c r="E45" s="10"/>
      <c r="F45" s="10"/>
      <c r="G45" s="10"/>
      <c r="H45" s="10"/>
      <c r="I45" s="11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1"/>
        <v>5.333333333333332</v>
      </c>
      <c r="X45" s="102">
        <f t="shared" si="0"/>
        <v>-25.17018614875087</v>
      </c>
      <c r="Y45" s="147"/>
      <c r="AB45" s="62"/>
      <c r="AC45" s="98"/>
      <c r="AD45" s="62"/>
      <c r="AE45" s="123"/>
      <c r="AF45" s="123"/>
    </row>
    <row r="46" spans="1:32" ht="12.75">
      <c r="A46" s="5" t="s">
        <v>178</v>
      </c>
      <c r="B46" s="2"/>
      <c r="C46" s="2"/>
      <c r="D46" s="2"/>
      <c r="E46" s="2"/>
      <c r="F46" s="2"/>
      <c r="G46" s="2"/>
      <c r="H46" s="2"/>
      <c r="I46" s="227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1"/>
        <v>5.416666666666665</v>
      </c>
      <c r="X46" s="102">
        <f t="shared" si="0"/>
        <v>-24.775521686355145</v>
      </c>
      <c r="Y46" s="147"/>
      <c r="AB46" s="62"/>
      <c r="AC46" s="98"/>
      <c r="AD46" s="62"/>
      <c r="AE46" s="123"/>
      <c r="AF46" s="123"/>
    </row>
    <row r="47" spans="1:32" ht="12.75">
      <c r="A47" s="275"/>
      <c r="B47" s="289"/>
      <c r="C47" s="289"/>
      <c r="D47" s="289"/>
      <c r="E47" s="289"/>
      <c r="F47" s="289"/>
      <c r="G47" s="289"/>
      <c r="H47" s="289"/>
      <c r="I47" s="290"/>
      <c r="J47" s="46"/>
      <c r="K47" s="100"/>
      <c r="L47" s="69"/>
      <c r="M47" s="69"/>
      <c r="N47" s="102"/>
      <c r="O47" s="70"/>
      <c r="P47" s="51"/>
      <c r="V47" s="98">
        <v>43</v>
      </c>
      <c r="W47" s="58">
        <f t="shared" si="1"/>
        <v>5.499999999999998</v>
      </c>
      <c r="X47" s="102">
        <f t="shared" si="0"/>
        <v>-24.389222784076665</v>
      </c>
      <c r="Y47" s="147"/>
      <c r="AB47" s="62"/>
      <c r="AC47" s="98"/>
      <c r="AD47" s="62"/>
      <c r="AE47" s="123"/>
      <c r="AF47" s="123"/>
    </row>
    <row r="48" spans="1:32" ht="12.75" customHeight="1">
      <c r="A48" s="275"/>
      <c r="B48" s="289"/>
      <c r="C48" s="289"/>
      <c r="D48" s="289"/>
      <c r="E48" s="289"/>
      <c r="F48" s="289"/>
      <c r="G48" s="289"/>
      <c r="H48" s="289"/>
      <c r="I48" s="290"/>
      <c r="J48" s="46"/>
      <c r="K48" s="100"/>
      <c r="L48" s="71"/>
      <c r="M48" s="69"/>
      <c r="N48" s="73"/>
      <c r="O48" s="70"/>
      <c r="P48" s="51"/>
      <c r="V48" s="98">
        <v>44</v>
      </c>
      <c r="W48" s="58">
        <f t="shared" si="1"/>
        <v>5.583333333333331</v>
      </c>
      <c r="X48" s="102">
        <f t="shared" si="0"/>
        <v>-24.01093626881035</v>
      </c>
      <c r="Y48" s="147"/>
      <c r="AB48" s="62"/>
      <c r="AC48" s="98"/>
      <c r="AD48" s="62"/>
      <c r="AE48" s="123"/>
      <c r="AF48" s="123"/>
    </row>
    <row r="49" spans="1:32" ht="12.75">
      <c r="A49" s="275"/>
      <c r="B49" s="289"/>
      <c r="C49" s="289"/>
      <c r="D49" s="289"/>
      <c r="E49" s="289"/>
      <c r="F49" s="289"/>
      <c r="G49" s="289"/>
      <c r="H49" s="289"/>
      <c r="I49" s="290"/>
      <c r="K49" s="100"/>
      <c r="L49" s="69"/>
      <c r="M49" s="148"/>
      <c r="N49" s="70"/>
      <c r="O49" s="145"/>
      <c r="P49" s="145"/>
      <c r="V49" s="98">
        <v>45</v>
      </c>
      <c r="W49" s="58">
        <f>$W48+1/12</f>
        <v>5.666666666666664</v>
      </c>
      <c r="X49" s="102">
        <f t="shared" si="0"/>
        <v>-23.640329037250222</v>
      </c>
      <c r="Y49" s="147"/>
      <c r="AB49" s="62"/>
      <c r="AC49" s="98"/>
      <c r="AD49" s="62"/>
      <c r="AE49" s="123"/>
      <c r="AF49" s="123"/>
    </row>
    <row r="50" spans="1:32" ht="12.75">
      <c r="A50" s="275"/>
      <c r="B50" s="289"/>
      <c r="C50" s="289"/>
      <c r="D50" s="289"/>
      <c r="E50" s="289"/>
      <c r="F50" s="289"/>
      <c r="G50" s="289"/>
      <c r="H50" s="289"/>
      <c r="I50" s="290"/>
      <c r="K50" s="100"/>
      <c r="V50" s="98">
        <v>46</v>
      </c>
      <c r="W50" s="58">
        <f t="shared" si="1"/>
        <v>5.749999999999997</v>
      </c>
      <c r="X50" s="102">
        <f t="shared" si="0"/>
        <v>-23.277086633652075</v>
      </c>
      <c r="Y50" s="147"/>
      <c r="AB50" s="62"/>
      <c r="AC50" s="98"/>
      <c r="AD50" s="62"/>
      <c r="AE50" s="123"/>
      <c r="AF50" s="123"/>
    </row>
    <row r="51" spans="1:32" ht="12.75">
      <c r="A51" s="275"/>
      <c r="B51" s="328"/>
      <c r="C51" s="289"/>
      <c r="D51" s="289"/>
      <c r="E51" s="289"/>
      <c r="F51" s="289"/>
      <c r="G51" s="289"/>
      <c r="H51" s="329"/>
      <c r="I51" s="330"/>
      <c r="K51" s="100"/>
      <c r="V51" s="98">
        <v>47</v>
      </c>
      <c r="W51" s="58">
        <f t="shared" si="1"/>
        <v>5.83333333333333</v>
      </c>
      <c r="X51" s="102">
        <f t="shared" si="0"/>
        <v>-22.920911947647866</v>
      </c>
      <c r="Y51" s="147"/>
      <c r="AB51" s="62"/>
      <c r="AC51" s="98"/>
      <c r="AD51" s="62"/>
      <c r="AE51" s="123"/>
      <c r="AF51" s="123"/>
    </row>
    <row r="52" spans="1:32" ht="12.75">
      <c r="A52" s="276"/>
      <c r="B52" s="297"/>
      <c r="C52" s="297"/>
      <c r="D52" s="297"/>
      <c r="E52" s="297"/>
      <c r="F52" s="297"/>
      <c r="G52" s="297"/>
      <c r="H52" s="297"/>
      <c r="I52" s="331"/>
      <c r="K52" s="100"/>
      <c r="V52" s="98">
        <v>48</v>
      </c>
      <c r="W52" s="58">
        <f t="shared" si="1"/>
        <v>5.916666666666663</v>
      </c>
      <c r="X52" s="102">
        <f t="shared" si="0"/>
        <v>-22.571524020405032</v>
      </c>
      <c r="Y52" s="147"/>
      <c r="AB52" s="62"/>
      <c r="AC52" s="98"/>
      <c r="AD52" s="62"/>
      <c r="AE52" s="123"/>
      <c r="AF52" s="123"/>
    </row>
    <row r="53" spans="1:32" ht="12.75">
      <c r="A53" s="28"/>
      <c r="B53" s="28"/>
      <c r="C53" s="28"/>
      <c r="D53" s="28"/>
      <c r="E53" s="28"/>
      <c r="F53" s="6"/>
      <c r="G53" s="6"/>
      <c r="H53" s="209"/>
      <c r="I53" s="32"/>
      <c r="K53" s="100"/>
      <c r="V53" s="98">
        <v>49</v>
      </c>
      <c r="W53" s="58">
        <f t="shared" si="1"/>
        <v>5.9999999999999964</v>
      </c>
      <c r="X53" s="102">
        <f t="shared" si="0"/>
        <v>-22.22865694871389</v>
      </c>
      <c r="Y53" s="147"/>
      <c r="AB53" s="62"/>
      <c r="AC53" s="98"/>
      <c r="AD53" s="62"/>
      <c r="AE53" s="123"/>
      <c r="AF53" s="123"/>
    </row>
    <row r="54" spans="1:32" ht="12.75">
      <c r="A54" s="28"/>
      <c r="B54" s="28"/>
      <c r="C54" s="28"/>
      <c r="D54" s="28"/>
      <c r="E54" s="6"/>
      <c r="F54" s="28"/>
      <c r="G54" s="6"/>
      <c r="H54" s="28"/>
      <c r="I54" s="28"/>
      <c r="K54" s="100"/>
      <c r="V54" s="98">
        <v>50</v>
      </c>
      <c r="W54" s="58">
        <f t="shared" si="1"/>
        <v>6.0833333333333295</v>
      </c>
      <c r="X54" s="102">
        <f t="shared" si="0"/>
        <v>-21.892058877719165</v>
      </c>
      <c r="Y54" s="147"/>
      <c r="AB54" s="62"/>
      <c r="AC54" s="98"/>
      <c r="AD54" s="62"/>
      <c r="AE54" s="123"/>
      <c r="AF54" s="123"/>
    </row>
    <row r="55" spans="1:32" ht="12.75">
      <c r="A55" s="12"/>
      <c r="B55" s="17"/>
      <c r="C55" s="66"/>
      <c r="D55" s="18"/>
      <c r="E55" s="28"/>
      <c r="F55" s="28"/>
      <c r="G55" s="28"/>
      <c r="H55" s="28"/>
      <c r="I55" s="28"/>
      <c r="K55" s="100"/>
      <c r="V55" s="98">
        <v>51</v>
      </c>
      <c r="W55" s="58">
        <f t="shared" si="1"/>
        <v>6.1666666666666625</v>
      </c>
      <c r="X55" s="102">
        <f t="shared" si="0"/>
        <v>-21.56149107400615</v>
      </c>
      <c r="Y55" s="147"/>
      <c r="AB55" s="62"/>
      <c r="AC55" s="98"/>
      <c r="AD55" s="62"/>
      <c r="AE55" s="123"/>
      <c r="AF55" s="123"/>
    </row>
    <row r="56" spans="1:32" ht="12.75">
      <c r="A56" s="28"/>
      <c r="B56" s="28"/>
      <c r="C56" s="28"/>
      <c r="D56" s="28"/>
      <c r="E56" s="28"/>
      <c r="F56" s="28"/>
      <c r="G56" s="28"/>
      <c r="H56" s="28"/>
      <c r="I56" s="28"/>
      <c r="K56" s="100"/>
      <c r="V56" s="98">
        <v>52</v>
      </c>
      <c r="W56" s="58">
        <f t="shared" si="1"/>
        <v>6.249999999999996</v>
      </c>
      <c r="X56" s="102">
        <f t="shared" si="0"/>
        <v>-21.23672707162927</v>
      </c>
      <c r="Y56" s="147"/>
      <c r="AB56" s="62"/>
      <c r="AC56" s="98"/>
      <c r="AD56" s="62"/>
      <c r="AE56" s="123"/>
      <c r="AF56" s="123"/>
    </row>
    <row r="57" spans="1:32" ht="12.75">
      <c r="A57" s="28"/>
      <c r="B57" s="28"/>
      <c r="C57" s="28"/>
      <c r="D57" s="28"/>
      <c r="E57" s="28"/>
      <c r="F57" s="28"/>
      <c r="G57" s="28"/>
      <c r="H57" s="28"/>
      <c r="I57" s="28"/>
      <c r="K57" s="100"/>
      <c r="V57" s="98">
        <v>53</v>
      </c>
      <c r="W57" s="58">
        <f t="shared" si="1"/>
        <v>6.333333333333329</v>
      </c>
      <c r="X57" s="102">
        <f t="shared" si="0"/>
        <v>-20.917551884444002</v>
      </c>
      <c r="Y57" s="147"/>
      <c r="AB57" s="62"/>
      <c r="AC57" s="98"/>
      <c r="AD57" s="62"/>
      <c r="AE57" s="123"/>
      <c r="AF57" s="123"/>
    </row>
    <row r="58" spans="1:32" ht="12.75">
      <c r="A58" s="12"/>
      <c r="B58" s="17"/>
      <c r="C58" s="66"/>
      <c r="D58" s="18"/>
      <c r="E58" s="19"/>
      <c r="F58" s="28"/>
      <c r="G58" s="28"/>
      <c r="H58" s="28"/>
      <c r="I58" s="132"/>
      <c r="K58" s="100"/>
      <c r="V58" s="98">
        <v>54</v>
      </c>
      <c r="W58" s="58">
        <f t="shared" si="1"/>
        <v>6.416666666666662</v>
      </c>
      <c r="X58" s="102">
        <f t="shared" si="0"/>
        <v>-20.603761278786752</v>
      </c>
      <c r="Y58" s="147"/>
      <c r="AB58" s="62"/>
      <c r="AC58" s="98"/>
      <c r="AD58" s="62"/>
      <c r="AE58" s="123"/>
      <c r="AF58" s="123"/>
    </row>
    <row r="59" spans="1:32" ht="12.75">
      <c r="A59" s="28"/>
      <c r="B59" s="28"/>
      <c r="C59" s="28"/>
      <c r="D59" s="28"/>
      <c r="E59" s="28"/>
      <c r="F59" s="28"/>
      <c r="G59" s="28"/>
      <c r="H59" s="28"/>
      <c r="I59" s="28"/>
      <c r="K59" s="100"/>
      <c r="V59" s="98">
        <v>55</v>
      </c>
      <c r="W59" s="58">
        <f t="shared" si="1"/>
        <v>6.499999999999995</v>
      </c>
      <c r="X59" s="102">
        <f t="shared" si="0"/>
        <v>-20.295161101152928</v>
      </c>
      <c r="Y59" s="147"/>
      <c r="AB59" s="62"/>
      <c r="AC59" s="98"/>
      <c r="AD59" s="62"/>
      <c r="AE59" s="123"/>
      <c r="AF59" s="123"/>
    </row>
    <row r="60" spans="1:32" ht="12.75">
      <c r="A60" s="18"/>
      <c r="B60" s="15"/>
      <c r="C60" s="18"/>
      <c r="D60" s="18"/>
      <c r="E60" s="6"/>
      <c r="F60" s="28"/>
      <c r="G60" s="28"/>
      <c r="H60" s="28"/>
      <c r="I60" s="28"/>
      <c r="K60" s="100"/>
      <c r="N60" s="107"/>
      <c r="V60" s="98">
        <v>56</v>
      </c>
      <c r="W60" s="58">
        <f t="shared" si="1"/>
        <v>6.583333333333328</v>
      </c>
      <c r="X60" s="102">
        <f t="shared" si="0"/>
        <v>-19.99156665605995</v>
      </c>
      <c r="Y60" s="147"/>
      <c r="AB60" s="62"/>
      <c r="AC60" s="98"/>
      <c r="AD60" s="62"/>
      <c r="AE60" s="123"/>
      <c r="AF60" s="123"/>
    </row>
    <row r="61" spans="1:32" ht="12.75">
      <c r="A61" s="6"/>
      <c r="B61" s="28"/>
      <c r="C61" s="28"/>
      <c r="D61" s="28"/>
      <c r="E61" s="28"/>
      <c r="F61" s="28"/>
      <c r="G61" s="28"/>
      <c r="H61" s="28"/>
      <c r="I61" s="28"/>
      <c r="K61" s="100"/>
      <c r="V61" s="98">
        <v>57</v>
      </c>
      <c r="W61" s="58">
        <f t="shared" si="1"/>
        <v>6.666666666666661</v>
      </c>
      <c r="X61" s="102">
        <f t="shared" si="0"/>
        <v>-19.692802129758917</v>
      </c>
      <c r="Y61" s="147"/>
      <c r="AB61" s="62"/>
      <c r="AC61" s="98"/>
      <c r="AD61" s="62"/>
      <c r="AE61" s="123"/>
      <c r="AF61" s="123"/>
    </row>
    <row r="62" spans="1:32" ht="12.75">
      <c r="A62" s="12"/>
      <c r="B62" s="17"/>
      <c r="C62" s="66"/>
      <c r="D62" s="18"/>
      <c r="E62" s="6"/>
      <c r="F62" s="28"/>
      <c r="G62" s="28"/>
      <c r="H62" s="28"/>
      <c r="I62" s="28"/>
      <c r="K62" s="100"/>
      <c r="N62" s="104"/>
      <c r="O62" s="106"/>
      <c r="P62" s="106"/>
      <c r="V62" s="98">
        <v>58</v>
      </c>
      <c r="W62" s="58">
        <f t="shared" si="1"/>
        <v>6.749999999999994</v>
      </c>
      <c r="X62" s="102">
        <f t="shared" si="0"/>
        <v>-19.398700055882962</v>
      </c>
      <c r="Y62" s="147"/>
      <c r="AB62" s="62"/>
      <c r="AC62" s="98"/>
      <c r="AD62" s="62"/>
      <c r="AE62" s="123"/>
      <c r="AF62" s="123"/>
    </row>
    <row r="63" spans="1:32" ht="12.75">
      <c r="A63" s="28"/>
      <c r="B63" s="28"/>
      <c r="C63" s="28"/>
      <c r="D63" s="28"/>
      <c r="E63" s="28"/>
      <c r="F63" s="28"/>
      <c r="G63" s="28"/>
      <c r="H63" s="28"/>
      <c r="I63" s="28"/>
      <c r="K63" s="100"/>
      <c r="M63" s="104"/>
      <c r="N63" s="105"/>
      <c r="O63" s="106"/>
      <c r="P63" s="106"/>
      <c r="S63" s="116"/>
      <c r="V63" s="98">
        <v>59</v>
      </c>
      <c r="W63" s="58">
        <f t="shared" si="1"/>
        <v>6.833333333333327</v>
      </c>
      <c r="X63" s="102">
        <f t="shared" si="0"/>
        <v>-19.109100819498416</v>
      </c>
      <c r="Y63" s="147"/>
      <c r="AB63" s="62"/>
      <c r="AC63" s="98"/>
      <c r="AD63" s="62"/>
      <c r="AE63" s="123"/>
      <c r="AF63" s="123"/>
    </row>
    <row r="64" spans="1:32" ht="12.75">
      <c r="A64" s="6"/>
      <c r="B64" s="28"/>
      <c r="C64" s="28"/>
      <c r="D64" s="28"/>
      <c r="E64" s="28"/>
      <c r="F64" s="28"/>
      <c r="G64" s="28"/>
      <c r="H64" s="28"/>
      <c r="I64" s="28"/>
      <c r="K64" s="100"/>
      <c r="O64" s="106"/>
      <c r="P64" s="106"/>
      <c r="V64" s="98">
        <v>60</v>
      </c>
      <c r="W64" s="58">
        <f t="shared" si="1"/>
        <v>6.91666666666666</v>
      </c>
      <c r="X64" s="102">
        <f t="shared" si="0"/>
        <v>-18.823852196361905</v>
      </c>
      <c r="Y64" s="147"/>
      <c r="AB64" s="62"/>
      <c r="AC64" s="98"/>
      <c r="AD64" s="62"/>
      <c r="AE64" s="123"/>
      <c r="AF64" s="123"/>
    </row>
    <row r="65" spans="1:32" ht="12.75">
      <c r="A65" s="12"/>
      <c r="B65" s="17"/>
      <c r="C65" s="66"/>
      <c r="D65" s="18"/>
      <c r="E65" s="6"/>
      <c r="F65" s="28"/>
      <c r="G65" s="28"/>
      <c r="H65" s="28"/>
      <c r="I65" s="28"/>
      <c r="K65" s="100"/>
      <c r="M65" s="104"/>
      <c r="N65" s="102"/>
      <c r="O65" s="106"/>
      <c r="P65" s="106"/>
      <c r="V65" s="98">
        <v>61</v>
      </c>
      <c r="W65" s="58">
        <f t="shared" si="1"/>
        <v>6.999999999999993</v>
      </c>
      <c r="X65" s="102">
        <f t="shared" si="0"/>
        <v>-18.54280892448848</v>
      </c>
      <c r="Y65" s="147"/>
      <c r="AB65" s="62"/>
      <c r="AC65" s="98"/>
      <c r="AD65" s="62"/>
      <c r="AE65" s="123"/>
      <c r="AF65" s="123"/>
    </row>
    <row r="66" spans="1:32" ht="12.75">
      <c r="A66" s="28"/>
      <c r="B66" s="28"/>
      <c r="C66" s="28"/>
      <c r="D66" s="28"/>
      <c r="E66" s="28"/>
      <c r="F66" s="28"/>
      <c r="G66" s="28"/>
      <c r="H66" s="28"/>
      <c r="I66" s="28"/>
      <c r="K66" s="100"/>
      <c r="M66" s="104"/>
      <c r="N66" s="105"/>
      <c r="O66" s="70"/>
      <c r="P66" s="46"/>
      <c r="V66" s="98">
        <v>62</v>
      </c>
      <c r="W66" s="58">
        <f t="shared" si="1"/>
        <v>7.083333333333326</v>
      </c>
      <c r="X66" s="102">
        <f t="shared" si="0"/>
        <v>-18.26583230540507</v>
      </c>
      <c r="Y66" s="147"/>
      <c r="AB66" s="62"/>
      <c r="AC66" s="98"/>
      <c r="AD66" s="62"/>
      <c r="AE66" s="123"/>
      <c r="AF66" s="123"/>
    </row>
    <row r="67" spans="1:32" ht="12.75">
      <c r="A67" s="6"/>
      <c r="B67" s="28"/>
      <c r="C67" s="28"/>
      <c r="D67" s="28"/>
      <c r="E67" s="28"/>
      <c r="F67" s="28"/>
      <c r="G67" s="28"/>
      <c r="H67" s="28"/>
      <c r="I67" s="28"/>
      <c r="K67" s="100"/>
      <c r="M67" s="104"/>
      <c r="N67" s="105"/>
      <c r="O67" s="70"/>
      <c r="P67" s="46"/>
      <c r="Q67" s="98"/>
      <c r="V67" s="98">
        <v>63</v>
      </c>
      <c r="W67" s="58">
        <f t="shared" si="1"/>
        <v>7.166666666666659</v>
      </c>
      <c r="X67" s="102">
        <f t="shared" si="0"/>
        <v>-17.992789832705945</v>
      </c>
      <c r="Y67" s="147"/>
      <c r="AB67" s="62"/>
      <c r="AC67" s="98"/>
      <c r="AD67" s="62"/>
      <c r="AE67" s="123"/>
      <c r="AF67" s="123"/>
    </row>
    <row r="68" spans="1:32" ht="12.75">
      <c r="A68" s="12"/>
      <c r="B68" s="17"/>
      <c r="C68" s="66"/>
      <c r="D68" s="18"/>
      <c r="E68" s="6"/>
      <c r="F68" s="28"/>
      <c r="G68" s="28"/>
      <c r="H68" s="28"/>
      <c r="I68" s="28"/>
      <c r="K68" s="100"/>
      <c r="M68" s="69"/>
      <c r="N68" s="108"/>
      <c r="O68" s="106"/>
      <c r="P68" s="110"/>
      <c r="V68" s="98">
        <v>64</v>
      </c>
      <c r="W68" s="58">
        <f t="shared" si="1"/>
        <v>7.249999999999992</v>
      </c>
      <c r="X68" s="102">
        <f t="shared" si="0"/>
        <v>-17.723554845743212</v>
      </c>
      <c r="Y68" s="147"/>
      <c r="AB68" s="62"/>
      <c r="AC68" s="98"/>
      <c r="AD68" s="62"/>
      <c r="AE68" s="123"/>
      <c r="AF68" s="123"/>
    </row>
    <row r="69" spans="1:32" ht="12.75">
      <c r="A69" s="12"/>
      <c r="B69" s="17"/>
      <c r="C69" s="66"/>
      <c r="D69" s="18"/>
      <c r="E69" s="6"/>
      <c r="F69" s="28"/>
      <c r="G69" s="28"/>
      <c r="H69" s="6"/>
      <c r="I69" s="28"/>
      <c r="K69" s="100"/>
      <c r="M69" s="104"/>
      <c r="N69" s="108"/>
      <c r="O69" s="70"/>
      <c r="P69" s="110"/>
      <c r="S69" s="108"/>
      <c r="V69" s="98">
        <v>65</v>
      </c>
      <c r="W69" s="58">
        <f t="shared" si="1"/>
        <v>7.333333333333325</v>
      </c>
      <c r="X69" s="102">
        <f aca="true" t="shared" si="2" ref="X69:X132">$W69-(1.18*$N$4/($D$10*(($N$5*$D$14*$W69)/3))*(1+SQRT(1+1.88*$D$10*(($N$5*$D$14*$W69)/3)*($D$22+$D$11+$D$16)/$N$4)))</f>
        <v>-17.458006206480793</v>
      </c>
      <c r="Y69" s="147"/>
      <c r="AB69" s="62"/>
      <c r="AC69" s="98"/>
      <c r="AD69" s="62"/>
      <c r="AE69" s="123"/>
      <c r="AF69" s="123"/>
    </row>
    <row r="70" spans="1:32" ht="12.75">
      <c r="A70" s="28"/>
      <c r="B70" s="28"/>
      <c r="C70" s="28"/>
      <c r="D70" s="28"/>
      <c r="E70" s="28"/>
      <c r="F70" s="28"/>
      <c r="G70" s="28"/>
      <c r="H70" s="28"/>
      <c r="I70" s="28"/>
      <c r="K70" s="100"/>
      <c r="V70" s="98">
        <v>66</v>
      </c>
      <c r="W70" s="58">
        <f aca="true" t="shared" si="3" ref="W70:W133">$W69+1/12</f>
        <v>7.416666666666658</v>
      </c>
      <c r="X70" s="102">
        <f t="shared" si="2"/>
        <v>-17.1960279977154</v>
      </c>
      <c r="Y70" s="147"/>
      <c r="AB70" s="62"/>
      <c r="AC70" s="98"/>
      <c r="AD70" s="62"/>
      <c r="AE70" s="123"/>
      <c r="AF70" s="123"/>
    </row>
    <row r="71" spans="1:32" ht="12.75">
      <c r="A71" s="6"/>
      <c r="B71" s="28"/>
      <c r="C71" s="28"/>
      <c r="D71" s="28"/>
      <c r="E71" s="28"/>
      <c r="F71" s="28"/>
      <c r="G71" s="28"/>
      <c r="H71" s="28"/>
      <c r="I71" s="28"/>
      <c r="K71" s="100"/>
      <c r="M71" s="104"/>
      <c r="N71" s="108"/>
      <c r="O71" s="106"/>
      <c r="P71" s="106"/>
      <c r="V71" s="98">
        <v>67</v>
      </c>
      <c r="W71" s="58">
        <f t="shared" si="3"/>
        <v>7.499999999999991</v>
      </c>
      <c r="X71" s="102">
        <f t="shared" si="2"/>
        <v>-16.937509241026227</v>
      </c>
      <c r="Y71" s="147"/>
      <c r="AB71" s="62"/>
      <c r="AC71" s="98"/>
      <c r="AD71" s="62"/>
      <c r="AE71" s="123"/>
      <c r="AF71" s="123"/>
    </row>
    <row r="72" spans="1:32" ht="12.75">
      <c r="A72" s="12"/>
      <c r="B72" s="17"/>
      <c r="C72" s="66"/>
      <c r="D72" s="18"/>
      <c r="E72" s="6"/>
      <c r="F72" s="28"/>
      <c r="G72" s="28"/>
      <c r="H72" s="28"/>
      <c r="I72" s="28"/>
      <c r="M72" s="98"/>
      <c r="N72" s="105"/>
      <c r="O72" s="106"/>
      <c r="P72" s="106"/>
      <c r="V72" s="98">
        <v>68</v>
      </c>
      <c r="W72" s="58">
        <f t="shared" si="3"/>
        <v>7.583333333333324</v>
      </c>
      <c r="X72" s="102">
        <f t="shared" si="2"/>
        <v>-16.68234363295735</v>
      </c>
      <c r="Y72" s="147"/>
      <c r="AB72" s="62"/>
      <c r="AC72" s="98"/>
      <c r="AD72" s="62"/>
      <c r="AE72" s="123"/>
      <c r="AF72" s="123"/>
    </row>
    <row r="73" spans="1:32" ht="12.75">
      <c r="A73" s="12"/>
      <c r="B73" s="17"/>
      <c r="C73" s="66"/>
      <c r="D73" s="18"/>
      <c r="E73" s="6"/>
      <c r="F73" s="28"/>
      <c r="G73" s="28"/>
      <c r="H73" s="6"/>
      <c r="I73" s="28"/>
      <c r="M73" s="69"/>
      <c r="N73" s="108"/>
      <c r="O73" s="106"/>
      <c r="P73" s="112"/>
      <c r="V73" s="98">
        <v>69</v>
      </c>
      <c r="W73" s="58">
        <f t="shared" si="3"/>
        <v>7.666666666666657</v>
      </c>
      <c r="X73" s="102">
        <f t="shared" si="2"/>
        <v>-16.430429298065686</v>
      </c>
      <c r="Y73" s="147"/>
      <c r="AB73" s="62"/>
      <c r="AC73" s="98"/>
      <c r="AD73" s="62"/>
      <c r="AE73" s="123"/>
      <c r="AF73" s="123"/>
    </row>
    <row r="74" spans="1:32" ht="12.75">
      <c r="A74" s="28"/>
      <c r="B74" s="28"/>
      <c r="C74" s="28"/>
      <c r="D74" s="28"/>
      <c r="E74" s="28"/>
      <c r="F74" s="28"/>
      <c r="G74" s="28"/>
      <c r="H74" s="28"/>
      <c r="I74" s="28"/>
      <c r="M74" s="104"/>
      <c r="N74" s="102"/>
      <c r="O74" s="106"/>
      <c r="P74" s="106"/>
      <c r="V74" s="98">
        <v>70</v>
      </c>
      <c r="W74" s="58">
        <f t="shared" si="3"/>
        <v>7.74999999999999</v>
      </c>
      <c r="X74" s="102">
        <f t="shared" si="2"/>
        <v>-16.18166855758357</v>
      </c>
      <c r="Y74" s="147"/>
      <c r="AB74" s="62"/>
      <c r="AC74" s="98"/>
      <c r="AD74" s="62"/>
      <c r="AE74" s="123"/>
      <c r="AF74" s="123"/>
    </row>
    <row r="75" spans="1:32" ht="12.75">
      <c r="A75" s="6"/>
      <c r="B75" s="28"/>
      <c r="C75" s="28"/>
      <c r="D75" s="28"/>
      <c r="E75" s="28"/>
      <c r="F75" s="28"/>
      <c r="G75" s="28"/>
      <c r="H75" s="28"/>
      <c r="I75" s="28"/>
      <c r="M75" s="104"/>
      <c r="N75" s="105"/>
      <c r="O75" s="70"/>
      <c r="P75" s="46"/>
      <c r="V75" s="98">
        <v>71</v>
      </c>
      <c r="W75" s="58">
        <f t="shared" si="3"/>
        <v>7.833333333333323</v>
      </c>
      <c r="X75" s="102">
        <f t="shared" si="2"/>
        <v>-15.935967712550342</v>
      </c>
      <c r="Y75" s="147"/>
      <c r="AB75" s="62"/>
      <c r="AC75" s="98"/>
      <c r="AD75" s="62"/>
      <c r="AE75" s="123"/>
      <c r="AF75" s="123"/>
    </row>
    <row r="76" spans="1:32" ht="12.75">
      <c r="A76" s="12"/>
      <c r="B76" s="17"/>
      <c r="C76" s="66"/>
      <c r="D76" s="18"/>
      <c r="E76" s="6"/>
      <c r="F76" s="28"/>
      <c r="G76" s="28"/>
      <c r="H76" s="28"/>
      <c r="I76" s="132"/>
      <c r="M76" s="104"/>
      <c r="N76" s="105"/>
      <c r="O76" s="70"/>
      <c r="P76" s="46"/>
      <c r="Q76" s="98"/>
      <c r="V76" s="98">
        <v>72</v>
      </c>
      <c r="W76" s="58">
        <f t="shared" si="3"/>
        <v>7.916666666666656</v>
      </c>
      <c r="X76" s="102">
        <f t="shared" si="2"/>
        <v>-15.693236840362623</v>
      </c>
      <c r="Y76" s="147"/>
      <c r="AB76" s="62"/>
      <c r="AC76" s="98"/>
      <c r="AD76" s="62"/>
      <c r="AE76" s="123"/>
      <c r="AF76" s="123"/>
    </row>
    <row r="77" spans="1:32" ht="12.75">
      <c r="A77" s="12"/>
      <c r="B77" s="17"/>
      <c r="C77" s="66"/>
      <c r="D77" s="18"/>
      <c r="E77" s="6"/>
      <c r="F77" s="28"/>
      <c r="G77" s="28"/>
      <c r="H77" s="6"/>
      <c r="I77" s="28"/>
      <c r="M77" s="106"/>
      <c r="O77" s="96"/>
      <c r="P77" s="106"/>
      <c r="V77" s="98">
        <v>73</v>
      </c>
      <c r="W77" s="58">
        <f t="shared" si="3"/>
        <v>7.999999999999989</v>
      </c>
      <c r="X77" s="102">
        <f t="shared" si="2"/>
        <v>-15.45338960377973</v>
      </c>
      <c r="Y77" s="147"/>
      <c r="AB77" s="62"/>
      <c r="AC77" s="98"/>
      <c r="AD77" s="62"/>
      <c r="AE77" s="123"/>
      <c r="AF77" s="123"/>
    </row>
    <row r="78" spans="1:32" ht="12.75">
      <c r="A78" s="28"/>
      <c r="B78" s="28"/>
      <c r="C78" s="28"/>
      <c r="D78" s="28"/>
      <c r="E78" s="28"/>
      <c r="F78" s="28"/>
      <c r="G78" s="28"/>
      <c r="H78" s="28"/>
      <c r="I78" s="28"/>
      <c r="M78" s="104"/>
      <c r="N78" s="105"/>
      <c r="O78" s="106"/>
      <c r="P78" s="106"/>
      <c r="V78" s="98">
        <v>74</v>
      </c>
      <c r="W78" s="58">
        <f t="shared" si="3"/>
        <v>8.083333333333323</v>
      </c>
      <c r="X78" s="102">
        <f t="shared" si="2"/>
        <v>-15.216343071498839</v>
      </c>
      <c r="Y78" s="147"/>
      <c r="AB78" s="62"/>
      <c r="AC78" s="98"/>
      <c r="AD78" s="62"/>
      <c r="AE78" s="123"/>
      <c r="AF78" s="123"/>
    </row>
    <row r="79" spans="1:32" ht="12.75">
      <c r="A79" s="231"/>
      <c r="B79" s="15"/>
      <c r="C79" s="66"/>
      <c r="D79" s="68"/>
      <c r="E79" s="6"/>
      <c r="F79" s="6"/>
      <c r="G79" s="28"/>
      <c r="H79" s="28"/>
      <c r="I79" s="28"/>
      <c r="M79" s="104"/>
      <c r="N79" s="105"/>
      <c r="O79" s="106"/>
      <c r="P79" s="106"/>
      <c r="V79" s="98">
        <v>75</v>
      </c>
      <c r="W79" s="58">
        <f t="shared" si="3"/>
        <v>8.166666666666657</v>
      </c>
      <c r="X79" s="102">
        <f t="shared" si="2"/>
        <v>-14.982017549486446</v>
      </c>
      <c r="Y79" s="147"/>
      <c r="AB79" s="62"/>
      <c r="AC79" s="98"/>
      <c r="AD79" s="62"/>
      <c r="AE79" s="123"/>
      <c r="AF79" s="123"/>
    </row>
    <row r="80" spans="1:32" ht="12.75">
      <c r="A80" s="12"/>
      <c r="B80" s="15"/>
      <c r="C80" s="66"/>
      <c r="D80" s="18"/>
      <c r="E80" s="28"/>
      <c r="F80" s="28"/>
      <c r="G80" s="28"/>
      <c r="H80" s="28"/>
      <c r="I80" s="28"/>
      <c r="M80" s="115"/>
      <c r="N80" s="101"/>
      <c r="O80" s="70"/>
      <c r="P80" s="106"/>
      <c r="S80" s="73"/>
      <c r="V80" s="98">
        <v>76</v>
      </c>
      <c r="W80" s="58">
        <f t="shared" si="3"/>
        <v>8.249999999999991</v>
      </c>
      <c r="X80" s="102">
        <f t="shared" si="2"/>
        <v>-14.750336422317107</v>
      </c>
      <c r="Y80" s="147"/>
      <c r="AB80" s="62"/>
      <c r="AC80" s="98"/>
      <c r="AD80" s="62"/>
      <c r="AE80" s="123"/>
      <c r="AF80" s="123"/>
    </row>
    <row r="81" spans="1:32" ht="12.75">
      <c r="A81" s="12"/>
      <c r="B81" s="15"/>
      <c r="C81" s="66"/>
      <c r="D81" s="18"/>
      <c r="E81" s="28"/>
      <c r="F81" s="28"/>
      <c r="G81" s="28"/>
      <c r="H81" s="28"/>
      <c r="I81" s="28"/>
      <c r="O81" s="96"/>
      <c r="P81" s="106"/>
      <c r="V81" s="98">
        <v>77</v>
      </c>
      <c r="W81" s="58">
        <f t="shared" si="3"/>
        <v>8.333333333333325</v>
      </c>
      <c r="X81" s="102">
        <f t="shared" si="2"/>
        <v>-14.521226003830073</v>
      </c>
      <c r="Y81" s="147"/>
      <c r="AB81" s="62"/>
      <c r="AC81" s="98"/>
      <c r="AD81" s="62"/>
      <c r="AE81" s="123"/>
      <c r="AF81" s="123"/>
    </row>
    <row r="82" spans="1:32" ht="12.75">
      <c r="A82" s="12"/>
      <c r="B82" s="15"/>
      <c r="C82" s="66"/>
      <c r="D82" s="18"/>
      <c r="E82" s="28"/>
      <c r="F82" s="28"/>
      <c r="G82" s="28"/>
      <c r="H82" s="28"/>
      <c r="I82" s="28"/>
      <c r="M82" s="117"/>
      <c r="N82" s="73"/>
      <c r="O82" s="118"/>
      <c r="P82" s="106"/>
      <c r="V82" s="98">
        <v>78</v>
      </c>
      <c r="W82" s="58">
        <f t="shared" si="3"/>
        <v>8.416666666666659</v>
      </c>
      <c r="X82" s="102">
        <f t="shared" si="2"/>
        <v>-14.294615396468219</v>
      </c>
      <c r="Y82" s="147"/>
      <c r="AB82" s="62"/>
      <c r="AC82" s="98"/>
      <c r="AD82" s="62"/>
      <c r="AE82" s="123"/>
      <c r="AF82" s="123"/>
    </row>
    <row r="83" spans="1:32" ht="12.75">
      <c r="A83" s="12"/>
      <c r="B83" s="15"/>
      <c r="C83" s="66"/>
      <c r="D83" s="18"/>
      <c r="E83" s="28"/>
      <c r="F83" s="28"/>
      <c r="G83" s="6"/>
      <c r="H83" s="6"/>
      <c r="I83" s="28"/>
      <c r="M83" s="117"/>
      <c r="N83" s="73"/>
      <c r="O83" s="70"/>
      <c r="P83" s="106"/>
      <c r="V83" s="98">
        <v>79</v>
      </c>
      <c r="W83" s="58">
        <f t="shared" si="3"/>
        <v>8.499999999999993</v>
      </c>
      <c r="X83" s="102">
        <f t="shared" si="2"/>
        <v>-14.0704363587128</v>
      </c>
      <c r="Y83" s="147"/>
      <c r="AB83" s="62"/>
      <c r="AC83" s="98"/>
      <c r="AD83" s="62"/>
      <c r="AE83" s="123"/>
      <c r="AF83" s="123"/>
    </row>
    <row r="84" spans="1:32" ht="12.75">
      <c r="A84" s="12"/>
      <c r="B84" s="15"/>
      <c r="C84" s="66"/>
      <c r="D84" s="18"/>
      <c r="E84" s="28"/>
      <c r="F84" s="6"/>
      <c r="G84" s="6"/>
      <c r="H84" s="6"/>
      <c r="I84" s="6"/>
      <c r="O84" s="96"/>
      <c r="P84" s="106"/>
      <c r="V84" s="98">
        <v>80</v>
      </c>
      <c r="W84" s="58">
        <f t="shared" si="3"/>
        <v>8.583333333333327</v>
      </c>
      <c r="X84" s="102">
        <f t="shared" si="2"/>
        <v>-13.848623180072847</v>
      </c>
      <c r="Y84" s="147"/>
      <c r="AB84" s="62"/>
      <c r="AC84" s="98"/>
      <c r="AD84" s="62"/>
      <c r="AE84" s="123"/>
      <c r="AF84" s="123"/>
    </row>
    <row r="85" spans="1:32" ht="12.75">
      <c r="A85" s="12"/>
      <c r="B85" s="15"/>
      <c r="C85" s="66"/>
      <c r="D85" s="18"/>
      <c r="E85" s="28"/>
      <c r="F85" s="6"/>
      <c r="G85" s="6"/>
      <c r="H85" s="6"/>
      <c r="I85" s="6"/>
      <c r="M85" s="104"/>
      <c r="N85" s="119"/>
      <c r="O85" s="106"/>
      <c r="P85" s="106"/>
      <c r="V85" s="98">
        <v>81</v>
      </c>
      <c r="W85" s="58">
        <f t="shared" si="3"/>
        <v>8.66666666666666</v>
      </c>
      <c r="X85" s="102">
        <f t="shared" si="2"/>
        <v>-13.629112563128778</v>
      </c>
      <c r="Y85" s="147"/>
      <c r="AB85" s="62"/>
      <c r="AC85" s="98"/>
      <c r="AD85" s="62"/>
      <c r="AE85" s="123"/>
      <c r="AF85" s="123"/>
    </row>
    <row r="86" spans="1:32" ht="12.75">
      <c r="A86" s="28"/>
      <c r="B86" s="28"/>
      <c r="C86" s="28"/>
      <c r="D86" s="28"/>
      <c r="E86" s="28"/>
      <c r="F86" s="28"/>
      <c r="G86" s="28"/>
      <c r="H86" s="28"/>
      <c r="I86" s="28"/>
      <c r="M86" s="104"/>
      <c r="N86" s="105"/>
      <c r="O86" s="106"/>
      <c r="P86" s="106"/>
      <c r="V86" s="98">
        <v>82</v>
      </c>
      <c r="W86" s="58">
        <f t="shared" si="3"/>
        <v>8.749999999999995</v>
      </c>
      <c r="X86" s="102">
        <f t="shared" si="2"/>
        <v>-13.411843512167787</v>
      </c>
      <c r="Y86" s="147"/>
      <c r="AB86" s="62"/>
      <c r="AC86" s="98"/>
      <c r="AD86" s="62"/>
      <c r="AE86" s="123"/>
      <c r="AF86" s="123"/>
    </row>
    <row r="87" spans="1:32" ht="12.75">
      <c r="A87" s="231"/>
      <c r="B87" s="17"/>
      <c r="C87" s="26"/>
      <c r="D87" s="18"/>
      <c r="E87" s="28"/>
      <c r="F87" s="28"/>
      <c r="G87" s="28"/>
      <c r="H87" s="28"/>
      <c r="I87" s="6"/>
      <c r="M87" s="104"/>
      <c r="N87" s="105"/>
      <c r="O87" s="106"/>
      <c r="P87" s="106"/>
      <c r="V87" s="98">
        <v>83</v>
      </c>
      <c r="W87" s="58">
        <f t="shared" si="3"/>
        <v>8.833333333333329</v>
      </c>
      <c r="X87" s="102">
        <f t="shared" si="2"/>
        <v>-13.196757227982843</v>
      </c>
      <c r="Y87" s="147"/>
      <c r="AB87" s="62"/>
      <c r="AC87" s="98"/>
      <c r="AD87" s="62"/>
      <c r="AE87" s="123"/>
      <c r="AF87" s="123"/>
    </row>
    <row r="88" spans="1:32" ht="12.75">
      <c r="A88" s="28"/>
      <c r="B88" s="28"/>
      <c r="C88" s="28"/>
      <c r="D88" s="28"/>
      <c r="E88" s="28"/>
      <c r="F88" s="28"/>
      <c r="G88" s="28"/>
      <c r="H88" s="28"/>
      <c r="I88" s="28"/>
      <c r="M88" s="104"/>
      <c r="N88" s="105"/>
      <c r="O88" s="106"/>
      <c r="P88" s="106"/>
      <c r="V88" s="98">
        <v>84</v>
      </c>
      <c r="W88" s="58">
        <f t="shared" si="3"/>
        <v>8.916666666666663</v>
      </c>
      <c r="X88" s="102">
        <f t="shared" si="2"/>
        <v>-12.983797008438694</v>
      </c>
      <c r="Y88" s="147"/>
      <c r="AB88" s="62"/>
      <c r="AC88" s="98"/>
      <c r="AD88" s="62"/>
      <c r="AE88" s="123"/>
      <c r="AF88" s="123"/>
    </row>
    <row r="89" spans="1:32" ht="12.75">
      <c r="A89" s="28"/>
      <c r="B89" s="28"/>
      <c r="C89" s="28"/>
      <c r="D89" s="28"/>
      <c r="E89" s="28"/>
      <c r="F89" s="28"/>
      <c r="G89" s="28"/>
      <c r="H89" s="28"/>
      <c r="I89" s="6"/>
      <c r="M89" s="104"/>
      <c r="N89" s="73"/>
      <c r="O89" s="96"/>
      <c r="P89" s="106"/>
      <c r="V89" s="98">
        <v>85</v>
      </c>
      <c r="W89" s="58">
        <f t="shared" si="3"/>
        <v>8.999999999999996</v>
      </c>
      <c r="X89" s="102">
        <f t="shared" si="2"/>
        <v>-12.772908154437491</v>
      </c>
      <c r="Y89" s="147"/>
      <c r="AB89" s="62"/>
      <c r="AC89" s="98"/>
      <c r="AD89" s="62"/>
      <c r="AE89" s="123"/>
      <c r="AF89" s="123"/>
    </row>
    <row r="90" spans="1:32" ht="12.75">
      <c r="A90" s="28"/>
      <c r="B90" s="28"/>
      <c r="C90" s="28"/>
      <c r="D90" s="28"/>
      <c r="E90" s="28"/>
      <c r="F90" s="28"/>
      <c r="G90" s="28"/>
      <c r="H90" s="28"/>
      <c r="I90" s="28"/>
      <c r="M90" s="104"/>
      <c r="N90" s="73"/>
      <c r="O90" s="96"/>
      <c r="P90" s="106"/>
      <c r="V90" s="98">
        <v>86</v>
      </c>
      <c r="W90" s="58">
        <f t="shared" si="3"/>
        <v>9.08333333333333</v>
      </c>
      <c r="X90" s="102">
        <f t="shared" si="2"/>
        <v>-12.564037880943077</v>
      </c>
      <c r="Y90" s="147"/>
      <c r="AB90" s="62"/>
      <c r="AC90" s="98"/>
      <c r="AD90" s="62"/>
      <c r="AE90" s="123"/>
      <c r="AF90" s="123"/>
    </row>
    <row r="91" spans="1:32" ht="12.75">
      <c r="A91" s="28"/>
      <c r="B91" s="28"/>
      <c r="C91" s="28"/>
      <c r="D91" s="28"/>
      <c r="E91" s="28"/>
      <c r="F91" s="28"/>
      <c r="G91" s="28"/>
      <c r="H91" s="28"/>
      <c r="I91" s="28"/>
      <c r="M91" s="104"/>
      <c r="N91" s="38"/>
      <c r="O91" s="106"/>
      <c r="P91" s="72"/>
      <c r="R91" s="120"/>
      <c r="S91" s="100"/>
      <c r="V91" s="98">
        <v>87</v>
      </c>
      <c r="W91" s="58">
        <f t="shared" si="3"/>
        <v>9.166666666666664</v>
      </c>
      <c r="X91" s="102">
        <f t="shared" si="2"/>
        <v>-12.357135232747446</v>
      </c>
      <c r="Y91" s="147"/>
      <c r="AB91" s="62"/>
      <c r="AC91" s="98"/>
      <c r="AD91" s="62"/>
      <c r="AE91" s="123"/>
      <c r="AF91" s="123"/>
    </row>
    <row r="92" spans="1:32" ht="12.75">
      <c r="A92" s="28"/>
      <c r="B92" s="28"/>
      <c r="C92" s="28"/>
      <c r="D92" s="28"/>
      <c r="E92" s="28"/>
      <c r="F92" s="28"/>
      <c r="G92" s="28"/>
      <c r="H92" s="28"/>
      <c r="I92" s="28"/>
      <c r="M92" s="104"/>
      <c r="N92" s="38"/>
      <c r="O92" s="106"/>
      <c r="P92" s="72"/>
      <c r="R92" s="73"/>
      <c r="U92" s="108"/>
      <c r="V92" s="98">
        <v>88</v>
      </c>
      <c r="W92" s="58">
        <f t="shared" si="3"/>
        <v>9.249999999999998</v>
      </c>
      <c r="X92" s="102">
        <f t="shared" si="2"/>
        <v>-12.15215100468554</v>
      </c>
      <c r="Y92" s="147"/>
      <c r="AB92" s="62"/>
      <c r="AC92" s="98"/>
      <c r="AD92" s="62"/>
      <c r="AE92" s="123"/>
      <c r="AF92" s="123"/>
    </row>
    <row r="93" spans="1:32" ht="12.75">
      <c r="A93" s="28"/>
      <c r="B93" s="28"/>
      <c r="C93" s="28"/>
      <c r="D93" s="28"/>
      <c r="E93" s="28"/>
      <c r="F93" s="28"/>
      <c r="G93" s="28"/>
      <c r="H93" s="28"/>
      <c r="I93" s="28"/>
      <c r="M93" s="104"/>
      <c r="N93" s="105"/>
      <c r="O93" s="70"/>
      <c r="P93" s="70"/>
      <c r="V93" s="98">
        <v>89</v>
      </c>
      <c r="W93" s="58">
        <f t="shared" si="3"/>
        <v>9.333333333333332</v>
      </c>
      <c r="X93" s="102">
        <f t="shared" si="2"/>
        <v>-11.949037666025166</v>
      </c>
      <c r="Y93" s="147"/>
      <c r="AB93" s="62"/>
      <c r="AC93" s="98"/>
      <c r="AD93" s="62"/>
      <c r="AE93" s="123"/>
      <c r="AF93" s="123"/>
    </row>
    <row r="94" spans="1:32" ht="12.75">
      <c r="A94" s="232"/>
      <c r="B94" s="26"/>
      <c r="C94" s="28"/>
      <c r="D94" s="28"/>
      <c r="E94" s="28"/>
      <c r="F94" s="28"/>
      <c r="G94" s="28"/>
      <c r="H94" s="28"/>
      <c r="I94" s="28"/>
      <c r="M94" s="104"/>
      <c r="N94" s="105"/>
      <c r="O94" s="106"/>
      <c r="P94" s="106"/>
      <c r="V94" s="98">
        <v>90</v>
      </c>
      <c r="W94" s="58">
        <f t="shared" si="3"/>
        <v>9.416666666666666</v>
      </c>
      <c r="X94" s="102">
        <f t="shared" si="2"/>
        <v>-11.747749288777852</v>
      </c>
      <c r="Y94" s="147"/>
      <c r="AB94" s="62"/>
      <c r="AC94" s="98"/>
      <c r="AD94" s="62"/>
      <c r="AE94" s="123"/>
      <c r="AF94" s="123"/>
    </row>
    <row r="95" spans="1:32" ht="12.75">
      <c r="A95" s="28"/>
      <c r="B95" s="26"/>
      <c r="C95" s="28"/>
      <c r="D95" s="28"/>
      <c r="E95" s="28"/>
      <c r="F95" s="28"/>
      <c r="G95" s="28"/>
      <c r="H95" s="28"/>
      <c r="I95" s="28"/>
      <c r="M95" s="104"/>
      <c r="N95" s="38"/>
      <c r="O95" s="106"/>
      <c r="P95" s="72"/>
      <c r="V95" s="98">
        <v>91</v>
      </c>
      <c r="W95" s="58">
        <f t="shared" si="3"/>
        <v>9.5</v>
      </c>
      <c r="X95" s="102">
        <f t="shared" si="2"/>
        <v>-11.548241479694195</v>
      </c>
      <c r="Y95" s="147"/>
      <c r="AB95" s="62"/>
      <c r="AC95" s="98"/>
      <c r="AD95" s="62"/>
      <c r="AE95" s="123"/>
      <c r="AF95" s="123"/>
    </row>
    <row r="96" spans="1:32" ht="12.75">
      <c r="A96" s="28"/>
      <c r="B96" s="29"/>
      <c r="C96" s="28"/>
      <c r="D96" s="28"/>
      <c r="E96" s="28"/>
      <c r="F96" s="28"/>
      <c r="G96" s="28"/>
      <c r="H96" s="28"/>
      <c r="I96" s="28"/>
      <c r="M96" s="104"/>
      <c r="N96" s="38"/>
      <c r="O96" s="106"/>
      <c r="P96" s="72"/>
      <c r="V96" s="98">
        <v>92</v>
      </c>
      <c r="W96" s="58">
        <f t="shared" si="3"/>
        <v>9.583333333333334</v>
      </c>
      <c r="X96" s="102">
        <f t="shared" si="2"/>
        <v>-11.350471315723249</v>
      </c>
      <c r="Y96" s="147"/>
      <c r="AB96" s="62"/>
      <c r="AC96" s="98"/>
      <c r="AD96" s="62"/>
      <c r="AE96" s="123"/>
      <c r="AF96" s="123"/>
    </row>
    <row r="97" spans="1:32" ht="12.75">
      <c r="A97" s="28"/>
      <c r="B97" s="6"/>
      <c r="C97" s="28"/>
      <c r="D97" s="28"/>
      <c r="E97" s="28"/>
      <c r="F97" s="28"/>
      <c r="G97" s="28"/>
      <c r="H97" s="28"/>
      <c r="I97" s="28"/>
      <c r="M97" s="69"/>
      <c r="N97" s="38"/>
      <c r="O97" s="70"/>
      <c r="P97" s="72"/>
      <c r="S97" s="51"/>
      <c r="V97" s="98">
        <v>93</v>
      </c>
      <c r="W97" s="58">
        <f t="shared" si="3"/>
        <v>9.666666666666668</v>
      </c>
      <c r="X97" s="102">
        <f t="shared" si="2"/>
        <v>-11.154397282730908</v>
      </c>
      <c r="Y97" s="147"/>
      <c r="AB97" s="62"/>
      <c r="AC97" s="98"/>
      <c r="AD97" s="62"/>
      <c r="AE97" s="123"/>
      <c r="AF97" s="123"/>
    </row>
    <row r="98" spans="1:32" ht="12.75">
      <c r="A98" s="28"/>
      <c r="B98" s="28"/>
      <c r="C98" s="28"/>
      <c r="D98" s="28"/>
      <c r="E98" s="28"/>
      <c r="F98" s="28"/>
      <c r="G98" s="28"/>
      <c r="H98" s="6"/>
      <c r="I98" s="6"/>
      <c r="M98" s="69"/>
      <c r="N98" s="38"/>
      <c r="O98" s="70"/>
      <c r="P98" s="72"/>
      <c r="R98" s="106"/>
      <c r="V98" s="98">
        <v>94</v>
      </c>
      <c r="W98" s="58">
        <f t="shared" si="3"/>
        <v>9.750000000000002</v>
      </c>
      <c r="X98" s="102">
        <f t="shared" si="2"/>
        <v>-10.959979217285467</v>
      </c>
      <c r="Y98" s="147"/>
      <c r="AB98" s="62"/>
      <c r="AC98" s="98"/>
      <c r="AD98" s="62"/>
      <c r="AE98" s="123"/>
      <c r="AF98" s="123"/>
    </row>
    <row r="99" spans="1:32" ht="12.75">
      <c r="A99" s="28"/>
      <c r="B99" s="28"/>
      <c r="C99" s="28"/>
      <c r="D99" s="28"/>
      <c r="E99" s="6"/>
      <c r="F99" s="6"/>
      <c r="G99" s="6"/>
      <c r="H99" s="6"/>
      <c r="I99" s="28"/>
      <c r="M99" s="106"/>
      <c r="O99" s="96"/>
      <c r="P99" s="106"/>
      <c r="V99" s="98">
        <v>95</v>
      </c>
      <c r="W99" s="58">
        <f t="shared" si="3"/>
        <v>9.833333333333336</v>
      </c>
      <c r="X99" s="102">
        <f t="shared" si="2"/>
        <v>-10.767178251332009</v>
      </c>
      <c r="Y99" s="147"/>
      <c r="AB99" s="62"/>
      <c r="AC99" s="98"/>
      <c r="AD99" s="62"/>
      <c r="AE99" s="123"/>
      <c r="AF99" s="123"/>
    </row>
    <row r="100" spans="1:32" ht="12.75">
      <c r="A100" s="28"/>
      <c r="B100" s="28"/>
      <c r="C100" s="28"/>
      <c r="D100" s="28"/>
      <c r="E100" s="28"/>
      <c r="F100" s="28"/>
      <c r="G100" s="28"/>
      <c r="H100" s="28"/>
      <c r="I100" s="28"/>
      <c r="M100" s="69"/>
      <c r="N100" s="121"/>
      <c r="O100" s="106"/>
      <c r="P100" s="106"/>
      <c r="V100" s="98">
        <v>96</v>
      </c>
      <c r="W100" s="58">
        <f t="shared" si="3"/>
        <v>9.91666666666667</v>
      </c>
      <c r="X100" s="102">
        <f t="shared" si="2"/>
        <v>-10.575956759588562</v>
      </c>
      <c r="Y100" s="147"/>
      <c r="AB100" s="62"/>
      <c r="AC100" s="98"/>
      <c r="AD100" s="62"/>
      <c r="AE100" s="123"/>
      <c r="AF100" s="123"/>
    </row>
    <row r="101" spans="1:32" ht="12.75">
      <c r="A101" s="28"/>
      <c r="B101" s="28"/>
      <c r="C101" s="28"/>
      <c r="D101" s="28"/>
      <c r="E101" s="6"/>
      <c r="F101" s="6"/>
      <c r="G101" s="6"/>
      <c r="H101" s="209"/>
      <c r="I101" s="233"/>
      <c r="M101" s="69"/>
      <c r="N101" s="121"/>
      <c r="O101" s="106"/>
      <c r="P101" s="106"/>
      <c r="V101" s="98">
        <v>97</v>
      </c>
      <c r="W101" s="58">
        <f t="shared" si="3"/>
        <v>10.000000000000004</v>
      </c>
      <c r="X101" s="102">
        <f t="shared" si="2"/>
        <v>-10.386278309508285</v>
      </c>
      <c r="Y101" s="147"/>
      <c r="AB101" s="62"/>
      <c r="AC101" s="98"/>
      <c r="AD101" s="62"/>
      <c r="AE101" s="123"/>
      <c r="AF101" s="123"/>
    </row>
    <row r="102" spans="1:32" ht="12.75">
      <c r="A102" s="6"/>
      <c r="B102" s="6"/>
      <c r="C102" s="6"/>
      <c r="D102" s="6"/>
      <c r="E102" s="6"/>
      <c r="F102" s="6"/>
      <c r="G102" s="6"/>
      <c r="H102" s="32"/>
      <c r="I102" s="234"/>
      <c r="M102" s="69"/>
      <c r="N102" s="121"/>
      <c r="O102" s="106"/>
      <c r="P102" s="106"/>
      <c r="V102" s="98">
        <v>98</v>
      </c>
      <c r="W102" s="58">
        <f t="shared" si="3"/>
        <v>10.083333333333337</v>
      </c>
      <c r="X102" s="102">
        <f t="shared" si="2"/>
        <v>-10.198107613661938</v>
      </c>
      <c r="Y102" s="147"/>
      <c r="AB102" s="62"/>
      <c r="AC102" s="98"/>
      <c r="AD102" s="62"/>
      <c r="AE102" s="123"/>
      <c r="AF102" s="123"/>
    </row>
    <row r="103" spans="1:32" ht="12.75">
      <c r="A103" s="6"/>
      <c r="B103" s="18"/>
      <c r="C103" s="6"/>
      <c r="D103" s="6"/>
      <c r="E103" s="149"/>
      <c r="F103" s="149"/>
      <c r="G103" s="149"/>
      <c r="H103" s="150"/>
      <c r="I103" s="36"/>
      <c r="M103" s="104"/>
      <c r="N103" s="119"/>
      <c r="O103" s="106"/>
      <c r="P103" s="106"/>
      <c r="V103" s="98">
        <v>99</v>
      </c>
      <c r="W103" s="58">
        <f t="shared" si="3"/>
        <v>10.166666666666671</v>
      </c>
      <c r="X103" s="102">
        <f t="shared" si="2"/>
        <v>-10.011410484404372</v>
      </c>
      <c r="Y103" s="147"/>
      <c r="AB103" s="62"/>
      <c r="AC103" s="98"/>
      <c r="AD103" s="62"/>
      <c r="AE103" s="123"/>
      <c r="AF103" s="123"/>
    </row>
    <row r="104" spans="1:32" ht="12.75">
      <c r="A104" s="6"/>
      <c r="B104" s="18"/>
      <c r="C104" s="6"/>
      <c r="D104" s="6"/>
      <c r="E104" s="149"/>
      <c r="F104" s="149"/>
      <c r="G104" s="149"/>
      <c r="H104" s="150"/>
      <c r="I104" s="36"/>
      <c r="M104" s="114"/>
      <c r="N104" s="119"/>
      <c r="O104" s="96"/>
      <c r="P104" s="111"/>
      <c r="V104" s="98">
        <v>100</v>
      </c>
      <c r="W104" s="58">
        <f t="shared" si="3"/>
        <v>10.250000000000005</v>
      </c>
      <c r="X104" s="102">
        <f t="shared" si="2"/>
        <v>-9.826153790697413</v>
      </c>
      <c r="Y104" s="147"/>
      <c r="AB104" s="62"/>
      <c r="AC104" s="98"/>
      <c r="AD104" s="62"/>
      <c r="AE104" s="123"/>
      <c r="AF104" s="123"/>
    </row>
    <row r="105" spans="1:32" ht="12.75">
      <c r="A105" s="12"/>
      <c r="B105" s="29"/>
      <c r="C105" s="18"/>
      <c r="D105" s="6"/>
      <c r="E105" s="149"/>
      <c r="F105" s="149"/>
      <c r="G105" s="149"/>
      <c r="H105" s="150"/>
      <c r="I105" s="10"/>
      <c r="M105" s="104"/>
      <c r="N105" s="100"/>
      <c r="O105" s="106"/>
      <c r="P105" s="106"/>
      <c r="V105" s="98">
        <v>101</v>
      </c>
      <c r="W105" s="58">
        <f t="shared" si="3"/>
        <v>10.33333333333334</v>
      </c>
      <c r="X105" s="102">
        <f t="shared" si="2"/>
        <v>-9.642305416969805</v>
      </c>
      <c r="Y105" s="147"/>
      <c r="AB105" s="62"/>
      <c r="AC105" s="98"/>
      <c r="AD105" s="62"/>
      <c r="AE105" s="123"/>
      <c r="AF105" s="123"/>
    </row>
    <row r="106" spans="1:32" ht="12.75">
      <c r="A106" s="6"/>
      <c r="B106" s="6"/>
      <c r="C106" s="6"/>
      <c r="D106" s="19"/>
      <c r="E106" s="149"/>
      <c r="F106" s="149"/>
      <c r="G106" s="149"/>
      <c r="H106" s="149"/>
      <c r="I106" s="10"/>
      <c r="M106" s="104"/>
      <c r="N106" s="100"/>
      <c r="O106" s="106"/>
      <c r="P106" s="106"/>
      <c r="V106" s="98">
        <v>102</v>
      </c>
      <c r="W106" s="58">
        <f t="shared" si="3"/>
        <v>10.416666666666673</v>
      </c>
      <c r="X106" s="102">
        <f t="shared" si="2"/>
        <v>-9.459834223902229</v>
      </c>
      <c r="Y106" s="147"/>
      <c r="AB106" s="62"/>
      <c r="AC106" s="98"/>
      <c r="AD106" s="62"/>
      <c r="AE106" s="123"/>
      <c r="AF106" s="123"/>
    </row>
    <row r="107" spans="1:32" ht="12.75">
      <c r="A107" s="149"/>
      <c r="B107" s="149"/>
      <c r="C107" s="149"/>
      <c r="D107" s="149"/>
      <c r="E107" s="149"/>
      <c r="F107" s="149"/>
      <c r="G107" s="149"/>
      <c r="H107" s="149"/>
      <c r="I107" s="10"/>
      <c r="M107" s="104"/>
      <c r="N107" s="119"/>
      <c r="O107" s="106"/>
      <c r="P107" s="106"/>
      <c r="V107" s="98">
        <v>103</v>
      </c>
      <c r="W107" s="58">
        <f t="shared" si="3"/>
        <v>10.500000000000007</v>
      </c>
      <c r="X107" s="102">
        <f t="shared" si="2"/>
        <v>-9.278710011032494</v>
      </c>
      <c r="Y107" s="147"/>
      <c r="AB107" s="62"/>
      <c r="AC107" s="98"/>
      <c r="AD107" s="62"/>
      <c r="AE107" s="123"/>
      <c r="AF107" s="123"/>
    </row>
    <row r="108" spans="1:32" ht="12.75">
      <c r="A108" s="6"/>
      <c r="B108" s="12"/>
      <c r="C108" s="18"/>
      <c r="D108" s="18"/>
      <c r="E108" s="10"/>
      <c r="F108" s="10"/>
      <c r="G108" s="10"/>
      <c r="H108" s="10"/>
      <c r="I108" s="10"/>
      <c r="M108" s="114"/>
      <c r="N108" s="119"/>
      <c r="O108" s="96"/>
      <c r="P108" s="111"/>
      <c r="V108" s="98">
        <v>104</v>
      </c>
      <c r="W108" s="58">
        <f t="shared" si="3"/>
        <v>10.583333333333341</v>
      </c>
      <c r="X108" s="102">
        <f t="shared" si="2"/>
        <v>-9.098903481082528</v>
      </c>
      <c r="Y108" s="147"/>
      <c r="AB108" s="62"/>
      <c r="AC108" s="98"/>
      <c r="AD108" s="62"/>
      <c r="AE108" s="123"/>
      <c r="AF108" s="123"/>
    </row>
    <row r="109" spans="1:32" ht="12.75">
      <c r="A109" s="12"/>
      <c r="B109" s="38"/>
      <c r="C109" s="18"/>
      <c r="D109" s="18"/>
      <c r="E109" s="10"/>
      <c r="F109" s="10"/>
      <c r="G109" s="10"/>
      <c r="H109" s="10"/>
      <c r="I109" s="10"/>
      <c r="M109" s="114"/>
      <c r="N109" s="102"/>
      <c r="O109" s="96"/>
      <c r="P109" s="111"/>
      <c r="V109" s="98">
        <v>105</v>
      </c>
      <c r="W109" s="58">
        <f t="shared" si="3"/>
        <v>10.666666666666675</v>
      </c>
      <c r="X109" s="102">
        <f t="shared" si="2"/>
        <v>-8.92038620591481</v>
      </c>
      <c r="Y109" s="147"/>
      <c r="AB109" s="62"/>
      <c r="AC109" s="98"/>
      <c r="AD109" s="62"/>
      <c r="AE109" s="123"/>
      <c r="AF109" s="123"/>
    </row>
    <row r="110" spans="1:32" ht="12.75">
      <c r="A110" s="12"/>
      <c r="B110" s="38"/>
      <c r="C110" s="18"/>
      <c r="D110" s="18"/>
      <c r="E110" s="10"/>
      <c r="F110" s="10"/>
      <c r="G110" s="10"/>
      <c r="H110" s="39"/>
      <c r="I110" s="28"/>
      <c r="M110" s="114"/>
      <c r="N110" s="119"/>
      <c r="O110" s="96"/>
      <c r="P110" s="51"/>
      <c r="V110" s="98">
        <v>106</v>
      </c>
      <c r="W110" s="58">
        <f t="shared" si="3"/>
        <v>10.750000000000009</v>
      </c>
      <c r="X110" s="102">
        <f t="shared" si="2"/>
        <v>-8.743130594031532</v>
      </c>
      <c r="Y110" s="147"/>
      <c r="AB110" s="62"/>
      <c r="AC110" s="98"/>
      <c r="AD110" s="62"/>
      <c r="AE110" s="123"/>
      <c r="AF110" s="123"/>
    </row>
    <row r="111" spans="1:32" ht="12.75">
      <c r="A111" s="10"/>
      <c r="B111" s="10"/>
      <c r="C111" s="10"/>
      <c r="D111" s="10"/>
      <c r="E111" s="10"/>
      <c r="F111" s="10"/>
      <c r="G111" s="10"/>
      <c r="H111" s="10"/>
      <c r="I111" s="10"/>
      <c r="M111" s="104"/>
      <c r="N111" s="108"/>
      <c r="O111" s="106"/>
      <c r="P111" s="106"/>
      <c r="V111" s="98">
        <v>107</v>
      </c>
      <c r="W111" s="58">
        <f t="shared" si="3"/>
        <v>10.833333333333343</v>
      </c>
      <c r="X111" s="102">
        <f t="shared" si="2"/>
        <v>-8.56710985953507</v>
      </c>
      <c r="Y111" s="147"/>
      <c r="AB111" s="62"/>
      <c r="AC111" s="98"/>
      <c r="AD111" s="62"/>
      <c r="AE111" s="123"/>
      <c r="AF111" s="123"/>
    </row>
    <row r="112" spans="1:32" ht="12.75">
      <c r="A112" s="6"/>
      <c r="B112" s="6"/>
      <c r="C112" s="6"/>
      <c r="D112" s="18"/>
      <c r="E112" s="6"/>
      <c r="F112" s="6"/>
      <c r="G112" s="6"/>
      <c r="H112" s="6"/>
      <c r="I112" s="6"/>
      <c r="M112" s="104"/>
      <c r="N112" s="108"/>
      <c r="O112" s="106"/>
      <c r="P112" s="106"/>
      <c r="V112" s="98">
        <v>108</v>
      </c>
      <c r="W112" s="58">
        <f t="shared" si="3"/>
        <v>10.916666666666677</v>
      </c>
      <c r="X112" s="102">
        <f t="shared" si="2"/>
        <v>-8.39229799247317</v>
      </c>
      <c r="Y112" s="147"/>
      <c r="AB112" s="62"/>
      <c r="AC112" s="98"/>
      <c r="AD112" s="62"/>
      <c r="AE112" s="123"/>
      <c r="AF112" s="123"/>
    </row>
    <row r="113" spans="1:32" ht="12.75">
      <c r="A113" s="40"/>
      <c r="B113" s="38"/>
      <c r="C113" s="26"/>
      <c r="D113" s="26"/>
      <c r="E113" s="10"/>
      <c r="F113" s="10"/>
      <c r="G113" s="10"/>
      <c r="H113" s="10"/>
      <c r="I113" s="10"/>
      <c r="M113" s="114"/>
      <c r="N113" s="119"/>
      <c r="O113" s="96"/>
      <c r="P113" s="111"/>
      <c r="V113" s="98">
        <v>109</v>
      </c>
      <c r="W113" s="58">
        <f t="shared" si="3"/>
        <v>11.00000000000001</v>
      </c>
      <c r="X113" s="102">
        <f t="shared" si="2"/>
        <v>-8.218669730496945</v>
      </c>
      <c r="Y113" s="147"/>
      <c r="AB113" s="62"/>
      <c r="AC113" s="98"/>
      <c r="AD113" s="62"/>
      <c r="AE113" s="123"/>
      <c r="AF113" s="123"/>
    </row>
    <row r="114" spans="1:32" ht="12.75">
      <c r="A114" s="40"/>
      <c r="B114" s="41"/>
      <c r="C114" s="26"/>
      <c r="D114" s="26"/>
      <c r="E114" s="10"/>
      <c r="F114" s="10"/>
      <c r="G114" s="10"/>
      <c r="H114" s="10"/>
      <c r="I114" s="10"/>
      <c r="M114" s="104"/>
      <c r="N114" s="105"/>
      <c r="O114" s="106"/>
      <c r="P114" s="46"/>
      <c r="V114" s="98">
        <v>110</v>
      </c>
      <c r="W114" s="58">
        <f t="shared" si="3"/>
        <v>11.083333333333345</v>
      </c>
      <c r="X114" s="102">
        <f t="shared" si="2"/>
        <v>-8.046200531763857</v>
      </c>
      <c r="Y114" s="147"/>
      <c r="AB114" s="62"/>
      <c r="AC114" s="98"/>
      <c r="AD114" s="62"/>
      <c r="AE114" s="123"/>
      <c r="AF114" s="123"/>
    </row>
    <row r="115" spans="1:32" ht="12.75">
      <c r="A115" s="42"/>
      <c r="B115" s="41"/>
      <c r="C115" s="26"/>
      <c r="D115" s="27"/>
      <c r="E115" s="10"/>
      <c r="F115" s="10"/>
      <c r="G115" s="10"/>
      <c r="H115" s="10"/>
      <c r="I115" s="10"/>
      <c r="O115" s="96"/>
      <c r="P115" s="46"/>
      <c r="V115" s="98">
        <v>111</v>
      </c>
      <c r="W115" s="58">
        <f t="shared" si="3"/>
        <v>11.166666666666679</v>
      </c>
      <c r="X115" s="102">
        <f t="shared" si="2"/>
        <v>-7.874866549022052</v>
      </c>
      <c r="Y115" s="147"/>
      <c r="AB115" s="62"/>
      <c r="AC115" s="98"/>
      <c r="AD115" s="62"/>
      <c r="AE115" s="123"/>
      <c r="AF115" s="123"/>
    </row>
    <row r="116" spans="1:32" ht="12.75">
      <c r="A116" s="42"/>
      <c r="B116" s="41"/>
      <c r="C116" s="26"/>
      <c r="D116" s="27"/>
      <c r="E116" s="10"/>
      <c r="F116" s="10"/>
      <c r="G116" s="10"/>
      <c r="H116" s="10"/>
      <c r="I116" s="10"/>
      <c r="M116" s="106"/>
      <c r="O116" s="96"/>
      <c r="P116" s="122"/>
      <c r="V116" s="98">
        <v>112</v>
      </c>
      <c r="W116" s="58">
        <f t="shared" si="3"/>
        <v>11.250000000000012</v>
      </c>
      <c r="X116" s="102">
        <f t="shared" si="2"/>
        <v>-7.704644604815945</v>
      </c>
      <c r="Y116" s="147"/>
      <c r="AB116" s="62"/>
      <c r="AC116" s="98"/>
      <c r="AD116" s="62"/>
      <c r="AE116" s="123"/>
      <c r="AF116" s="123"/>
    </row>
    <row r="117" spans="1:32" ht="12.75">
      <c r="A117" s="10"/>
      <c r="B117" s="10"/>
      <c r="C117" s="10"/>
      <c r="D117" s="10"/>
      <c r="E117" s="10"/>
      <c r="F117" s="10"/>
      <c r="G117" s="43"/>
      <c r="H117" s="10"/>
      <c r="I117" s="10"/>
      <c r="M117" s="104"/>
      <c r="N117" s="105"/>
      <c r="O117" s="106"/>
      <c r="P117" s="106"/>
      <c r="V117" s="98">
        <v>113</v>
      </c>
      <c r="W117" s="58">
        <f t="shared" si="3"/>
        <v>11.333333333333346</v>
      </c>
      <c r="X117" s="102">
        <f t="shared" si="2"/>
        <v>-7.535512167756565</v>
      </c>
      <c r="Y117" s="147"/>
      <c r="AB117" s="62"/>
      <c r="AC117" s="98"/>
      <c r="AD117" s="62"/>
      <c r="AE117" s="123"/>
      <c r="AF117" s="123"/>
    </row>
    <row r="118" spans="1:32" ht="12.75">
      <c r="A118" s="44"/>
      <c r="B118" s="38"/>
      <c r="C118" s="18"/>
      <c r="D118" s="18"/>
      <c r="E118" s="6"/>
      <c r="F118" s="43"/>
      <c r="G118" s="6"/>
      <c r="H118" s="6"/>
      <c r="I118" s="6"/>
      <c r="M118" s="104"/>
      <c r="N118" s="105"/>
      <c r="O118" s="106"/>
      <c r="P118" s="106"/>
      <c r="V118" s="98">
        <v>114</v>
      </c>
      <c r="W118" s="58">
        <f t="shared" si="3"/>
        <v>11.41666666666668</v>
      </c>
      <c r="X118" s="102">
        <f t="shared" si="2"/>
        <v>-7.367447329803328</v>
      </c>
      <c r="Y118" s="147"/>
      <c r="AB118" s="62"/>
      <c r="AC118" s="98"/>
      <c r="AD118" s="62"/>
      <c r="AE118" s="123"/>
      <c r="AF118" s="123"/>
    </row>
    <row r="119" spans="1:32" ht="12.75">
      <c r="A119" s="10"/>
      <c r="B119" s="10"/>
      <c r="C119" s="10"/>
      <c r="D119" s="10"/>
      <c r="E119" s="10"/>
      <c r="F119" s="10"/>
      <c r="G119" s="10"/>
      <c r="H119" s="10"/>
      <c r="I119" s="10"/>
      <c r="M119" s="104"/>
      <c r="N119" s="105"/>
      <c r="O119" s="106"/>
      <c r="P119" s="106"/>
      <c r="V119" s="98">
        <v>115</v>
      </c>
      <c r="W119" s="58">
        <f t="shared" si="3"/>
        <v>11.500000000000014</v>
      </c>
      <c r="X119" s="102">
        <f t="shared" si="2"/>
        <v>-7.2004287845070145</v>
      </c>
      <c r="Y119" s="147"/>
      <c r="AB119" s="62"/>
      <c r="AC119" s="98"/>
      <c r="AD119" s="62"/>
      <c r="AE119" s="123"/>
      <c r="AF119" s="123"/>
    </row>
    <row r="120" spans="1:32" ht="12.75">
      <c r="A120" s="37"/>
      <c r="B120" s="45"/>
      <c r="C120" s="18"/>
      <c r="D120" s="26"/>
      <c r="E120" s="6"/>
      <c r="F120" s="6"/>
      <c r="G120" s="6"/>
      <c r="H120" s="6"/>
      <c r="I120" s="10"/>
      <c r="M120" s="104"/>
      <c r="N120" s="105"/>
      <c r="O120" s="106"/>
      <c r="P120" s="106"/>
      <c r="V120" s="98">
        <v>116</v>
      </c>
      <c r="W120" s="58">
        <f t="shared" si="3"/>
        <v>11.583333333333348</v>
      </c>
      <c r="X120" s="102">
        <f t="shared" si="2"/>
        <v>-7.034435806166494</v>
      </c>
      <c r="Y120" s="147"/>
      <c r="AB120" s="62"/>
      <c r="AC120" s="98"/>
      <c r="AD120" s="62"/>
      <c r="AE120" s="123"/>
      <c r="AF120" s="123"/>
    </row>
    <row r="121" spans="1:32" ht="12.75">
      <c r="A121" s="37"/>
      <c r="B121" s="38"/>
      <c r="C121" s="18"/>
      <c r="D121" s="26"/>
      <c r="E121" s="6"/>
      <c r="F121" s="6"/>
      <c r="G121" s="6"/>
      <c r="H121" s="6"/>
      <c r="I121" s="10"/>
      <c r="M121" s="106"/>
      <c r="O121" s="96"/>
      <c r="P121" s="106"/>
      <c r="V121" s="98">
        <v>117</v>
      </c>
      <c r="W121" s="58">
        <f t="shared" si="3"/>
        <v>11.666666666666682</v>
      </c>
      <c r="X121" s="102">
        <f t="shared" si="2"/>
        <v>-6.869448229854481</v>
      </c>
      <c r="Y121" s="147"/>
      <c r="AB121" s="62"/>
      <c r="AC121" s="98"/>
      <c r="AD121" s="62"/>
      <c r="AE121" s="123"/>
      <c r="AF121" s="123"/>
    </row>
    <row r="122" spans="1:32" ht="12.75">
      <c r="A122" s="22"/>
      <c r="B122" s="38"/>
      <c r="C122" s="29"/>
      <c r="D122" s="26"/>
      <c r="E122" s="6"/>
      <c r="F122" s="6"/>
      <c r="G122" s="6"/>
      <c r="H122" s="6"/>
      <c r="I122" s="10"/>
      <c r="M122" s="104"/>
      <c r="N122" s="108"/>
      <c r="O122" s="106"/>
      <c r="P122" s="106"/>
      <c r="V122" s="98">
        <v>118</v>
      </c>
      <c r="W122" s="58">
        <f t="shared" si="3"/>
        <v>11.750000000000016</v>
      </c>
      <c r="X122" s="102">
        <f t="shared" si="2"/>
        <v>-6.705446432270135</v>
      </c>
      <c r="Y122" s="147"/>
      <c r="AB122" s="62"/>
      <c r="AC122" s="98"/>
      <c r="AD122" s="62"/>
      <c r="AE122" s="123"/>
      <c r="AF122" s="123"/>
    </row>
    <row r="123" spans="1:32" ht="12.75">
      <c r="A123" s="28"/>
      <c r="B123" s="40"/>
      <c r="C123" s="18"/>
      <c r="D123" s="6"/>
      <c r="E123" s="6"/>
      <c r="F123" s="6"/>
      <c r="G123" s="6"/>
      <c r="H123" s="6"/>
      <c r="I123" s="28"/>
      <c r="M123" s="104"/>
      <c r="N123" s="105"/>
      <c r="O123" s="106"/>
      <c r="P123" s="106"/>
      <c r="V123" s="98">
        <v>119</v>
      </c>
      <c r="W123" s="58">
        <f t="shared" si="3"/>
        <v>11.83333333333335</v>
      </c>
      <c r="X123" s="102">
        <f t="shared" si="2"/>
        <v>-6.542411313378434</v>
      </c>
      <c r="Y123" s="147"/>
      <c r="AB123" s="62"/>
      <c r="AC123" s="98"/>
      <c r="AD123" s="62"/>
      <c r="AE123" s="123"/>
      <c r="AF123" s="123"/>
    </row>
    <row r="124" spans="1:32" ht="12.75">
      <c r="A124" s="40"/>
      <c r="B124" s="38"/>
      <c r="C124" s="18"/>
      <c r="D124" s="18"/>
      <c r="E124" s="6"/>
      <c r="F124" s="6"/>
      <c r="G124" s="6"/>
      <c r="H124" s="6"/>
      <c r="I124" s="28"/>
      <c r="M124" s="104"/>
      <c r="N124" s="105"/>
      <c r="O124" s="106"/>
      <c r="P124" s="106"/>
      <c r="T124" s="108"/>
      <c r="V124" s="98">
        <v>120</v>
      </c>
      <c r="W124" s="58">
        <f t="shared" si="3"/>
        <v>11.916666666666684</v>
      </c>
      <c r="X124" s="102">
        <f t="shared" si="2"/>
        <v>-6.380324278798822</v>
      </c>
      <c r="Y124" s="14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3"/>
        <v>12.000000000000018</v>
      </c>
      <c r="X125" s="102">
        <f t="shared" si="2"/>
        <v>-6.219167222907302</v>
      </c>
      <c r="Y125" s="14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3"/>
        <v>12.083333333333352</v>
      </c>
      <c r="X126" s="102">
        <f t="shared" si="2"/>
        <v>-6.058922512618343</v>
      </c>
      <c r="Y126" s="14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3"/>
        <v>12.166666666666686</v>
      </c>
      <c r="X127" s="102">
        <f t="shared" si="2"/>
        <v>-5.899572971814738</v>
      </c>
      <c r="Y127" s="14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3"/>
        <v>12.25000000000002</v>
      </c>
      <c r="X128" s="102">
        <f t="shared" si="2"/>
        <v>-5.741101866395107</v>
      </c>
      <c r="Y128" s="14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3"/>
        <v>12.333333333333353</v>
      </c>
      <c r="X129" s="102">
        <f t="shared" si="2"/>
        <v>-5.583492889910559</v>
      </c>
      <c r="Y129" s="14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3"/>
        <v>12.416666666666687</v>
      </c>
      <c r="X130" s="102">
        <f t="shared" si="2"/>
        <v>-5.426730149763413</v>
      </c>
      <c r="Y130" s="14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3"/>
        <v>12.500000000000021</v>
      </c>
      <c r="X131" s="102">
        <f t="shared" si="2"/>
        <v>-5.270798153942273</v>
      </c>
      <c r="Y131" s="14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3"/>
        <v>12.583333333333355</v>
      </c>
      <c r="X132" s="102">
        <f t="shared" si="2"/>
        <v>-5.115681798269181</v>
      </c>
      <c r="Y132" s="14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3"/>
        <v>12.66666666666669</v>
      </c>
      <c r="X133" s="102">
        <f aca="true" t="shared" si="4" ref="X133:X196">$W133-(1.18*$N$4/($D$10*(($N$5*$D$14*$W133)/3))*(1+SQRT(1+1.88*$D$10*(($N$5*$D$14*$W133)/3)*($D$22+$D$11+$D$16)/$N$4)))</f>
        <v>-4.961366354135759</v>
      </c>
      <c r="Y133" s="14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5" ref="W134:W197">$W133+1/12</f>
        <v>12.750000000000023</v>
      </c>
      <c r="X134" s="102">
        <f t="shared" si="4"/>
        <v>-4.807837456706492</v>
      </c>
      <c r="Y134" s="14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5"/>
        <v>12.833333333333357</v>
      </c>
      <c r="X135" s="102">
        <f t="shared" si="4"/>
        <v>-4.6550810935683415</v>
      </c>
      <c r="Y135" s="14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5"/>
        <v>12.916666666666691</v>
      </c>
      <c r="X136" s="102">
        <f t="shared" si="4"/>
        <v>-4.503083593807011</v>
      </c>
      <c r="Y136" s="14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5"/>
        <v>13.000000000000025</v>
      </c>
      <c r="X137" s="102">
        <f t="shared" si="4"/>
        <v>-4.35183161749114</v>
      </c>
      <c r="Y137" s="14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5"/>
        <v>13.083333333333359</v>
      </c>
      <c r="X138" s="102">
        <f t="shared" si="4"/>
        <v>-4.201312145546661</v>
      </c>
      <c r="Y138" s="14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5"/>
        <v>13.166666666666693</v>
      </c>
      <c r="X139" s="102">
        <f t="shared" si="4"/>
        <v>-4.051512470004365</v>
      </c>
      <c r="Y139" s="14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5"/>
        <v>13.250000000000027</v>
      </c>
      <c r="X140" s="102">
        <f t="shared" si="4"/>
        <v>-3.902420184604713</v>
      </c>
      <c r="Y140" s="14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5"/>
        <v>13.33333333333336</v>
      </c>
      <c r="X141" s="102">
        <f t="shared" si="4"/>
        <v>-3.754023175744525</v>
      </c>
      <c r="Y141" s="14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5"/>
        <v>13.416666666666694</v>
      </c>
      <c r="X142" s="102">
        <f t="shared" si="4"/>
        <v>-3.6063096137510673</v>
      </c>
      <c r="Y142" s="14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5"/>
        <v>13.500000000000028</v>
      </c>
      <c r="X143" s="102">
        <f t="shared" si="4"/>
        <v>-3.459267944469733</v>
      </c>
      <c r="Y143" s="14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5"/>
        <v>13.583333333333362</v>
      </c>
      <c r="X144" s="102">
        <f t="shared" si="4"/>
        <v>-3.3128868811520977</v>
      </c>
      <c r="Y144" s="14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5"/>
        <v>13.666666666666696</v>
      </c>
      <c r="X145" s="102">
        <f t="shared" si="4"/>
        <v>-3.1671553966318875</v>
      </c>
      <c r="Y145" s="14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5"/>
        <v>13.75000000000003</v>
      </c>
      <c r="X146" s="102">
        <f t="shared" si="4"/>
        <v>-3.0220627157768885</v>
      </c>
      <c r="Y146" s="14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5"/>
        <v>13.833333333333364</v>
      </c>
      <c r="X147" s="102">
        <f t="shared" si="4"/>
        <v>-2.8775983082054495</v>
      </c>
      <c r="Y147" s="14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5"/>
        <v>13.916666666666698</v>
      </c>
      <c r="X148" s="102">
        <f t="shared" si="4"/>
        <v>-2.733751881256749</v>
      </c>
      <c r="Y148" s="14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5"/>
        <v>14.000000000000032</v>
      </c>
      <c r="X149" s="102">
        <f t="shared" si="4"/>
        <v>-2.590513373204473</v>
      </c>
      <c r="Y149" s="14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5"/>
        <v>14.083333333333366</v>
      </c>
      <c r="X150" s="102">
        <f t="shared" si="4"/>
        <v>-2.4478729467041074</v>
      </c>
      <c r="Y150" s="14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5"/>
        <v>14.1666666666667</v>
      </c>
      <c r="X151" s="102">
        <f t="shared" si="4"/>
        <v>-2.305820982464404</v>
      </c>
      <c r="Y151" s="14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5"/>
        <v>14.250000000000034</v>
      </c>
      <c r="X152" s="102">
        <f t="shared" si="4"/>
        <v>-2.164348073134091</v>
      </c>
      <c r="Y152" s="14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5"/>
        <v>14.333333333333368</v>
      </c>
      <c r="X153" s="102">
        <f t="shared" si="4"/>
        <v>-2.0234450173952716</v>
      </c>
      <c r="Y153" s="14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5"/>
        <v>14.416666666666702</v>
      </c>
      <c r="X154" s="102">
        <f t="shared" si="4"/>
        <v>-1.8831028142553397</v>
      </c>
      <c r="Y154" s="14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5"/>
        <v>14.500000000000036</v>
      </c>
      <c r="X155" s="102">
        <f t="shared" si="4"/>
        <v>-1.7433126575296036</v>
      </c>
      <c r="Y155" s="14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5"/>
        <v>14.58333333333337</v>
      </c>
      <c r="X156" s="102">
        <f t="shared" si="4"/>
        <v>-1.6040659305072378</v>
      </c>
      <c r="Y156" s="14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5"/>
        <v>14.666666666666703</v>
      </c>
      <c r="X157" s="102">
        <f t="shared" si="4"/>
        <v>-1.465354200793353</v>
      </c>
      <c r="Y157" s="14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5"/>
        <v>14.750000000000037</v>
      </c>
      <c r="X158" s="102">
        <f t="shared" si="4"/>
        <v>-1.3271692153204473</v>
      </c>
      <c r="Y158" s="14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5"/>
        <v>14.833333333333371</v>
      </c>
      <c r="X159" s="102">
        <f t="shared" si="4"/>
        <v>-1.1895028955227787</v>
      </c>
      <c r="Y159" s="14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5"/>
        <v>14.916666666666705</v>
      </c>
      <c r="X160" s="102">
        <f t="shared" si="4"/>
        <v>-1.0523473326672956</v>
      </c>
      <c r="Y160" s="14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5"/>
        <v>15.000000000000039</v>
      </c>
      <c r="X161" s="102">
        <f t="shared" si="4"/>
        <v>-0.9156947833353826</v>
      </c>
      <c r="Y161" s="14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5"/>
        <v>15.083333333333373</v>
      </c>
      <c r="X162" s="102">
        <f t="shared" si="4"/>
        <v>-0.7795376650495704</v>
      </c>
      <c r="Y162" s="14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5"/>
        <v>15.166666666666707</v>
      </c>
      <c r="X163" s="102">
        <f t="shared" si="4"/>
        <v>-0.6438685520398515</v>
      </c>
      <c r="Y163" s="14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5"/>
        <v>15.25000000000004</v>
      </c>
      <c r="X164" s="102">
        <f t="shared" si="4"/>
        <v>-0.5086801711443911</v>
      </c>
      <c r="Y164" s="14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5"/>
        <v>15.333333333333375</v>
      </c>
      <c r="X165" s="102">
        <f t="shared" si="4"/>
        <v>-0.37396539783961913</v>
      </c>
      <c r="Y165" s="14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5"/>
        <v>15.416666666666709</v>
      </c>
      <c r="X166" s="102">
        <f t="shared" si="4"/>
        <v>-0.23971725239494468</v>
      </c>
      <c r="Y166" s="14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5"/>
        <v>15.500000000000043</v>
      </c>
      <c r="X167" s="102">
        <f t="shared" si="4"/>
        <v>-0.1059288961475211</v>
      </c>
      <c r="Y167" s="14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5"/>
        <v>15.583333333333377</v>
      </c>
      <c r="X168" s="102">
        <f t="shared" si="4"/>
        <v>0.027406372107337873</v>
      </c>
      <c r="Y168" s="14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5"/>
        <v>15.66666666666671</v>
      </c>
      <c r="X169" s="102">
        <f t="shared" si="4"/>
        <v>0.16029511961420795</v>
      </c>
      <c r="Y169" s="14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5"/>
        <v>15.750000000000044</v>
      </c>
      <c r="X170" s="102">
        <f t="shared" si="4"/>
        <v>0.292743783048266</v>
      </c>
      <c r="Y170" s="14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5"/>
        <v>15.833333333333378</v>
      </c>
      <c r="X171" s="102">
        <f t="shared" si="4"/>
        <v>0.42475867180231575</v>
      </c>
      <c r="Y171" s="14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5"/>
        <v>15.916666666666712</v>
      </c>
      <c r="X172" s="102">
        <f t="shared" si="4"/>
        <v>0.55634597117397</v>
      </c>
      <c r="Y172" s="14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5"/>
        <v>16.000000000000046</v>
      </c>
      <c r="X173" s="102">
        <f t="shared" si="4"/>
        <v>0.6875117454565238</v>
      </c>
      <c r="Y173" s="14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5"/>
        <v>16.08333333333338</v>
      </c>
      <c r="X174" s="102">
        <f t="shared" si="4"/>
        <v>0.8182619409368108</v>
      </c>
      <c r="Y174" s="14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5"/>
        <v>16.16666666666671</v>
      </c>
      <c r="X175" s="102">
        <f t="shared" si="4"/>
        <v>0.948602388803506</v>
      </c>
      <c r="Y175" s="14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5"/>
        <v>16.250000000000043</v>
      </c>
      <c r="X176" s="102">
        <f t="shared" si="4"/>
        <v>1.0785388079687745</v>
      </c>
      <c r="Y176" s="14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5"/>
        <v>16.333333333333375</v>
      </c>
      <c r="X177" s="102">
        <f t="shared" si="4"/>
        <v>1.2080768078065276</v>
      </c>
      <c r="Y177" s="14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5"/>
        <v>16.416666666666707</v>
      </c>
      <c r="X178" s="102">
        <f t="shared" si="4"/>
        <v>1.337221890809925</v>
      </c>
      <c r="Y178" s="14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5"/>
        <v>16.50000000000004</v>
      </c>
      <c r="X179" s="102">
        <f t="shared" si="4"/>
        <v>1.4659794551711354</v>
      </c>
      <c r="Y179" s="14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5"/>
        <v>16.58333333333337</v>
      </c>
      <c r="X180" s="102">
        <f t="shared" si="4"/>
        <v>1.5943547972858507</v>
      </c>
      <c r="Y180" s="14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5"/>
        <v>16.666666666666703</v>
      </c>
      <c r="X181" s="102">
        <f t="shared" si="4"/>
        <v>1.7223531141851804</v>
      </c>
      <c r="Y181" s="14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5"/>
        <v>16.750000000000036</v>
      </c>
      <c r="X182" s="102">
        <f t="shared" si="4"/>
        <v>1.849979505897407</v>
      </c>
      <c r="Y182" s="14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5"/>
        <v>16.833333333333368</v>
      </c>
      <c r="X183" s="102">
        <f t="shared" si="4"/>
        <v>1.9772389777419423</v>
      </c>
      <c r="Y183" s="14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5"/>
        <v>16.9166666666667</v>
      </c>
      <c r="X184" s="102">
        <f t="shared" si="4"/>
        <v>2.1041364425577775</v>
      </c>
      <c r="Y184" s="14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5"/>
        <v>17.000000000000032</v>
      </c>
      <c r="X185" s="102">
        <f t="shared" si="4"/>
        <v>2.2306767228685764</v>
      </c>
      <c r="Y185" s="14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5"/>
        <v>17.083333333333364</v>
      </c>
      <c r="X186" s="102">
        <f t="shared" si="4"/>
        <v>2.356864552986588</v>
      </c>
      <c r="Y186" s="14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5"/>
        <v>17.166666666666696</v>
      </c>
      <c r="X187" s="102">
        <f t="shared" si="4"/>
        <v>2.482704581057318</v>
      </c>
      <c r="Y187" s="14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5"/>
        <v>17.25000000000003</v>
      </c>
      <c r="X188" s="102">
        <f t="shared" si="4"/>
        <v>2.6082013710470004</v>
      </c>
      <c r="Y188" s="14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5"/>
        <v>17.33333333333336</v>
      </c>
      <c r="X189" s="102">
        <f t="shared" si="4"/>
        <v>2.7333594046746637</v>
      </c>
      <c r="Y189" s="14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5"/>
        <v>17.416666666666693</v>
      </c>
      <c r="X190" s="102">
        <f t="shared" si="4"/>
        <v>2.858183083290628</v>
      </c>
      <c r="Y190" s="14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5"/>
        <v>17.500000000000025</v>
      </c>
      <c r="X191" s="102">
        <f t="shared" si="4"/>
        <v>2.9826767297031935</v>
      </c>
      <c r="Y191" s="14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5"/>
        <v>17.583333333333357</v>
      </c>
      <c r="X192" s="102">
        <f t="shared" si="4"/>
        <v>3.106844589955161</v>
      </c>
      <c r="Y192" s="14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5"/>
        <v>17.66666666666669</v>
      </c>
      <c r="X193" s="102">
        <f t="shared" si="4"/>
        <v>3.2306908350517904</v>
      </c>
      <c r="Y193" s="14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5"/>
        <v>17.75000000000002</v>
      </c>
      <c r="X194" s="102">
        <f t="shared" si="4"/>
        <v>3.354219562641804</v>
      </c>
      <c r="Y194" s="14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5"/>
        <v>17.833333333333353</v>
      </c>
      <c r="X195" s="102">
        <f t="shared" si="4"/>
        <v>3.477434798652844</v>
      </c>
      <c r="Y195" s="14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5"/>
        <v>17.916666666666686</v>
      </c>
      <c r="X196" s="102">
        <f t="shared" si="4"/>
        <v>3.600340498882918</v>
      </c>
      <c r="Y196" s="14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5"/>
        <v>18.000000000000018</v>
      </c>
      <c r="X197" s="102">
        <f aca="true" t="shared" si="6" ref="X197:X260">$W197-(1.18*$N$4/($D$10*(($N$5*$D$14*$W197)/3))*(1+SQRT(1+1.88*$D$10*(($N$5*$D$14*$W197)/3)*($D$22+$D$11+$D$16)/$N$4)))</f>
        <v>3.722940550549149</v>
      </c>
      <c r="Y197" s="14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IF($K$2="Yes",IF(#REF!&gt;0,IF($B$195&gt;$B$196,"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7" ref="W198:W261">$W197+1/12</f>
        <v>18.08333333333335</v>
      </c>
      <c r="X198" s="102">
        <f t="shared" si="6"/>
        <v>3.8452387737952023</v>
      </c>
      <c r="Y198" s="14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7"/>
        <v>18.166666666666682</v>
      </c>
      <c r="X199" s="102">
        <f t="shared" si="6"/>
        <v>3.9672389231586838</v>
      </c>
      <c r="Y199" s="14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7"/>
        <v>18.250000000000014</v>
      </c>
      <c r="X200" s="102">
        <f t="shared" si="6"/>
        <v>4.088944688999719</v>
      </c>
      <c r="Y200" s="14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7"/>
        <v>18.333333333333346</v>
      </c>
      <c r="X201" s="102">
        <f t="shared" si="6"/>
        <v>4.210359698891965</v>
      </c>
      <c r="Y201" s="14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7"/>
        <v>18.41666666666668</v>
      </c>
      <c r="X202" s="102">
        <f t="shared" si="6"/>
        <v>4.3314875189772035</v>
      </c>
      <c r="Y202" s="14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7"/>
        <v>18.50000000000001</v>
      </c>
      <c r="X203" s="102">
        <f t="shared" si="6"/>
        <v>4.4523316552845245</v>
      </c>
      <c r="Y203" s="14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7"/>
        <v>18.583333333333343</v>
      </c>
      <c r="X204" s="102">
        <f t="shared" si="6"/>
        <v>4.5728955550154</v>
      </c>
      <c r="Y204" s="14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7"/>
        <v>18.666666666666675</v>
      </c>
      <c r="X205" s="102">
        <f t="shared" si="6"/>
        <v>4.693182607795444</v>
      </c>
      <c r="Y205" s="14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7"/>
        <v>18.750000000000007</v>
      </c>
      <c r="X206" s="102">
        <f t="shared" si="6"/>
        <v>4.813196146894052</v>
      </c>
      <c r="Y206" s="14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7"/>
        <v>18.83333333333334</v>
      </c>
      <c r="X207" s="102">
        <f t="shared" si="6"/>
        <v>4.932939450412768</v>
      </c>
      <c r="Y207" s="14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7"/>
        <v>18.91666666666667</v>
      </c>
      <c r="X208" s="102">
        <f t="shared" si="6"/>
        <v>5.052415742443378</v>
      </c>
      <c r="Y208" s="14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7"/>
        <v>19.000000000000004</v>
      </c>
      <c r="X209" s="102">
        <f t="shared" si="6"/>
        <v>5.171628194196627</v>
      </c>
      <c r="Y209" s="14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7"/>
        <v>19.083333333333336</v>
      </c>
      <c r="X210" s="102">
        <f t="shared" si="6"/>
        <v>5.29057992510238</v>
      </c>
      <c r="Y210" s="14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7"/>
        <v>19.166666666666668</v>
      </c>
      <c r="X211" s="102">
        <f t="shared" si="6"/>
        <v>5.409274003882187</v>
      </c>
      <c r="Y211" s="14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7"/>
        <v>19.25</v>
      </c>
      <c r="X212" s="102">
        <f t="shared" si="6"/>
        <v>5.52771344959489</v>
      </c>
      <c r="Y212" s="14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7"/>
        <v>19.333333333333332</v>
      </c>
      <c r="X213" s="102">
        <f t="shared" si="6"/>
        <v>5.6459012326562785</v>
      </c>
      <c r="Y213" s="14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7"/>
        <v>19.416666666666664</v>
      </c>
      <c r="X214" s="102">
        <f t="shared" si="6"/>
        <v>5.763840275833315</v>
      </c>
      <c r="Y214" s="14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7"/>
        <v>19.499999999999996</v>
      </c>
      <c r="X215" s="102">
        <f t="shared" si="6"/>
        <v>5.881533455213903</v>
      </c>
      <c r="Y215" s="14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7"/>
        <v>19.58333333333333</v>
      </c>
      <c r="X216" s="102">
        <f t="shared" si="6"/>
        <v>5.998983601152705</v>
      </c>
      <c r="Y216" s="14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7"/>
        <v>19.66666666666666</v>
      </c>
      <c r="X217" s="102">
        <f t="shared" si="6"/>
        <v>6.116193499193837</v>
      </c>
      <c r="Y217" s="14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7"/>
        <v>19.749999999999993</v>
      </c>
      <c r="X218" s="102">
        <f t="shared" si="6"/>
        <v>6.233165890971037</v>
      </c>
      <c r="Y218" s="14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7"/>
        <v>19.833333333333325</v>
      </c>
      <c r="X219" s="102">
        <f t="shared" si="6"/>
        <v>6.349903475085963</v>
      </c>
      <c r="Y219" s="14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7"/>
        <v>19.916666666666657</v>
      </c>
      <c r="X220" s="102">
        <f t="shared" si="6"/>
        <v>6.466408907965262</v>
      </c>
      <c r="Y220" s="14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7"/>
        <v>19.99999999999999</v>
      </c>
      <c r="X221" s="102">
        <f t="shared" si="6"/>
        <v>6.582684804696983</v>
      </c>
      <c r="Y221" s="14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7"/>
        <v>20.08333333333332</v>
      </c>
      <c r="X222" s="102">
        <f t="shared" si="6"/>
        <v>6.698733739846945</v>
      </c>
      <c r="Y222" s="14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7"/>
        <v>20.166666666666654</v>
      </c>
      <c r="X223" s="102">
        <f t="shared" si="6"/>
        <v>6.814558248255581</v>
      </c>
      <c r="Y223" s="14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7"/>
        <v>20.249999999999986</v>
      </c>
      <c r="X224" s="102">
        <f t="shared" si="6"/>
        <v>6.930160825815863</v>
      </c>
      <c r="Y224" s="14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7"/>
        <v>20.333333333333318</v>
      </c>
      <c r="X225" s="102">
        <f t="shared" si="6"/>
        <v>7.045543930232794</v>
      </c>
      <c r="Y225" s="14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7"/>
        <v>20.41666666666665</v>
      </c>
      <c r="X226" s="102">
        <f t="shared" si="6"/>
        <v>7.160709981764956</v>
      </c>
      <c r="Y226" s="14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7"/>
        <v>20.499999999999982</v>
      </c>
      <c r="X227" s="102">
        <f t="shared" si="6"/>
        <v>7.2756613639487036</v>
      </c>
      <c r="Y227" s="14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7"/>
        <v>20.583333333333314</v>
      </c>
      <c r="X228" s="102">
        <f t="shared" si="6"/>
        <v>7.3904004243053585</v>
      </c>
      <c r="Y228" s="14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7"/>
        <v>20.666666666666647</v>
      </c>
      <c r="X229" s="102">
        <f t="shared" si="6"/>
        <v>7.504929475031961</v>
      </c>
      <c r="Y229" s="14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7"/>
        <v>20.74999999999998</v>
      </c>
      <c r="X230" s="102">
        <f t="shared" si="6"/>
        <v>7.61925079367599</v>
      </c>
      <c r="Y230" s="14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7"/>
        <v>20.83333333333331</v>
      </c>
      <c r="X231" s="102">
        <f t="shared" si="6"/>
        <v>7.733366623794497</v>
      </c>
      <c r="Y231" s="14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7"/>
        <v>20.916666666666643</v>
      </c>
      <c r="X232" s="102">
        <f t="shared" si="6"/>
        <v>7.847279175598064</v>
      </c>
      <c r="Y232" s="14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7"/>
        <v>20.999999999999975</v>
      </c>
      <c r="X233" s="102">
        <f t="shared" si="6"/>
        <v>7.960990626580015</v>
      </c>
      <c r="Y233" s="14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7"/>
        <v>21.083333333333307</v>
      </c>
      <c r="X234" s="102">
        <f t="shared" si="6"/>
        <v>8.074503122131249</v>
      </c>
      <c r="Y234" s="14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7"/>
        <v>21.16666666666664</v>
      </c>
      <c r="X235" s="102">
        <f t="shared" si="6"/>
        <v>8.18781877614112</v>
      </c>
      <c r="Y235" s="14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7"/>
        <v>21.24999999999997</v>
      </c>
      <c r="X236" s="102">
        <f t="shared" si="6"/>
        <v>8.300939671584674</v>
      </c>
      <c r="Y236" s="14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7"/>
        <v>21.333333333333304</v>
      </c>
      <c r="X237" s="102">
        <f t="shared" si="6"/>
        <v>8.413867861096678</v>
      </c>
      <c r="Y237" s="14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7"/>
        <v>21.416666666666636</v>
      </c>
      <c r="X238" s="102">
        <f t="shared" si="6"/>
        <v>8.526605367532742</v>
      </c>
      <c r="Y238" s="14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7"/>
        <v>21.499999999999968</v>
      </c>
      <c r="X239" s="102">
        <f t="shared" si="6"/>
        <v>8.639154184517864</v>
      </c>
      <c r="Y239" s="14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7"/>
        <v>21.5833333333333</v>
      </c>
      <c r="X240" s="102">
        <f t="shared" si="6"/>
        <v>8.75151627698278</v>
      </c>
      <c r="Y240" s="14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7"/>
        <v>21.666666666666632</v>
      </c>
      <c r="X241" s="102">
        <f t="shared" si="6"/>
        <v>8.863693581688397</v>
      </c>
      <c r="Y241" s="14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7"/>
        <v>21.749999999999964</v>
      </c>
      <c r="X242" s="102">
        <f t="shared" si="6"/>
        <v>8.975688007738606</v>
      </c>
      <c r="Y242" s="14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7"/>
        <v>21.833333333333297</v>
      </c>
      <c r="X243" s="102">
        <f t="shared" si="6"/>
        <v>9.087501437081837</v>
      </c>
      <c r="Y243" s="14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7"/>
        <v>21.91666666666663</v>
      </c>
      <c r="X244" s="102">
        <f t="shared" si="6"/>
        <v>9.199135725001579</v>
      </c>
      <c r="Y244" s="14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7"/>
        <v>21.99999999999996</v>
      </c>
      <c r="X245" s="102">
        <f t="shared" si="6"/>
        <v>9.310592700596185</v>
      </c>
      <c r="Y245" s="14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7"/>
        <v>22.083333333333293</v>
      </c>
      <c r="X246" s="102">
        <f t="shared" si="6"/>
        <v>9.421874167248237</v>
      </c>
      <c r="Y246" s="14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7"/>
        <v>22.166666666666625</v>
      </c>
      <c r="X247" s="102">
        <f t="shared" si="6"/>
        <v>9.532981903083721</v>
      </c>
      <c r="Y247" s="14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7"/>
        <v>22.249999999999957</v>
      </c>
      <c r="X248" s="102">
        <f t="shared" si="6"/>
        <v>9.643917661421291</v>
      </c>
      <c r="Y248" s="14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7"/>
        <v>22.33333333333329</v>
      </c>
      <c r="X249" s="102">
        <f t="shared" si="6"/>
        <v>9.754683171211834</v>
      </c>
      <c r="Y249" s="14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7"/>
        <v>22.41666666666662</v>
      </c>
      <c r="X250" s="102">
        <f t="shared" si="6"/>
        <v>9.865280137468654</v>
      </c>
      <c r="Y250" s="147"/>
      <c r="AC250" s="98"/>
    </row>
    <row r="251" spans="22:29" ht="12.75">
      <c r="V251" s="98">
        <v>247</v>
      </c>
      <c r="W251" s="58">
        <f t="shared" si="7"/>
        <v>22.499999999999954</v>
      </c>
      <c r="X251" s="102">
        <f t="shared" si="6"/>
        <v>9.97571024168842</v>
      </c>
      <c r="Y251" s="147"/>
      <c r="AC251" s="98"/>
    </row>
    <row r="252" spans="22:29" ht="12.75">
      <c r="V252" s="98">
        <v>248</v>
      </c>
      <c r="W252" s="58">
        <f t="shared" si="7"/>
        <v>22.583333333333286</v>
      </c>
      <c r="X252" s="102">
        <f t="shared" si="6"/>
        <v>10.08597514226318</v>
      </c>
      <c r="Y252" s="147"/>
      <c r="AC252" s="98"/>
    </row>
    <row r="253" spans="22:29" ht="12.75">
      <c r="V253" s="98">
        <v>249</v>
      </c>
      <c r="W253" s="58">
        <f t="shared" si="7"/>
        <v>22.666666666666618</v>
      </c>
      <c r="X253" s="102">
        <f t="shared" si="6"/>
        <v>10.19607647488364</v>
      </c>
      <c r="Y253" s="147"/>
      <c r="AC253" s="98"/>
    </row>
    <row r="254" spans="22:29" ht="12.75">
      <c r="V254" s="98">
        <v>250</v>
      </c>
      <c r="W254" s="58">
        <f t="shared" si="7"/>
        <v>22.74999999999995</v>
      </c>
      <c r="X254" s="102">
        <f t="shared" si="6"/>
        <v>10.306015852933902</v>
      </c>
      <c r="Y254" s="147"/>
      <c r="AC254" s="98"/>
    </row>
    <row r="255" spans="22:29" ht="12.75">
      <c r="V255" s="98">
        <v>251</v>
      </c>
      <c r="W255" s="58">
        <f t="shared" si="7"/>
        <v>22.833333333333282</v>
      </c>
      <c r="X255" s="102">
        <f t="shared" si="6"/>
        <v>10.41579486787791</v>
      </c>
      <c r="Y255" s="147"/>
      <c r="AC255" s="98"/>
    </row>
    <row r="256" spans="22:29" ht="12.75">
      <c r="V256" s="98">
        <v>252</v>
      </c>
      <c r="W256" s="58">
        <f t="shared" si="7"/>
        <v>22.916666666666615</v>
      </c>
      <c r="X256" s="102">
        <f t="shared" si="6"/>
        <v>10.525415089637804</v>
      </c>
      <c r="Y256" s="147"/>
      <c r="AC256" s="98"/>
    </row>
    <row r="257" spans="22:29" ht="12.75">
      <c r="V257" s="98">
        <v>253</v>
      </c>
      <c r="W257" s="58">
        <f t="shared" si="7"/>
        <v>22.999999999999947</v>
      </c>
      <c r="X257" s="102">
        <f t="shared" si="6"/>
        <v>10.634878066964337</v>
      </c>
      <c r="Y257" s="147"/>
      <c r="AC257" s="98"/>
    </row>
    <row r="258" spans="22:29" ht="12.75">
      <c r="V258" s="98">
        <v>254</v>
      </c>
      <c r="W258" s="58">
        <f t="shared" si="7"/>
        <v>23.08333333333328</v>
      </c>
      <c r="X258" s="102">
        <f t="shared" si="6"/>
        <v>10.74418532779961</v>
      </c>
      <c r="Y258" s="147"/>
      <c r="AC258" s="98"/>
    </row>
    <row r="259" spans="22:29" ht="12.75">
      <c r="V259" s="98">
        <v>255</v>
      </c>
      <c r="W259" s="58">
        <f t="shared" si="7"/>
        <v>23.16666666666661</v>
      </c>
      <c r="X259" s="102">
        <f t="shared" si="6"/>
        <v>10.853338379632262</v>
      </c>
      <c r="Y259" s="147"/>
      <c r="AC259" s="98"/>
    </row>
    <row r="260" spans="22:29" ht="12.75">
      <c r="V260" s="98">
        <v>256</v>
      </c>
      <c r="W260" s="58">
        <f t="shared" si="7"/>
        <v>23.249999999999943</v>
      </c>
      <c r="X260" s="102">
        <f t="shared" si="6"/>
        <v>10.96233870984536</v>
      </c>
      <c r="Y260" s="147"/>
      <c r="AC260" s="98"/>
    </row>
    <row r="261" spans="22:29" ht="12.75">
      <c r="V261" s="98">
        <v>257</v>
      </c>
      <c r="W261" s="58">
        <f t="shared" si="7"/>
        <v>23.333333333333275</v>
      </c>
      <c r="X261" s="102">
        <f aca="true" t="shared" si="8" ref="X261:X324">$W261-(1.18*$N$4/($D$10*(($N$5*$D$14*$W261)/3))*(1+SQRT(1+1.88*$D$10*(($N$5*$D$14*$W261)/3)*($D$22+$D$11+$D$16)/$N$4)))</f>
        <v>11.071187786057067</v>
      </c>
      <c r="Y261" s="147"/>
      <c r="AC261" s="98"/>
    </row>
    <row r="262" spans="22:29" ht="12.75">
      <c r="V262" s="98">
        <v>258</v>
      </c>
      <c r="W262" s="58">
        <f aca="true" t="shared" si="9" ref="W262:W325">$W261+1/12</f>
        <v>23.416666666666607</v>
      </c>
      <c r="X262" s="102">
        <f t="shared" si="8"/>
        <v>11.179887056454366</v>
      </c>
      <c r="Y262" s="147"/>
      <c r="AC262" s="98"/>
    </row>
    <row r="263" spans="22:29" ht="12.75">
      <c r="V263" s="98">
        <v>259</v>
      </c>
      <c r="W263" s="58">
        <f t="shared" si="9"/>
        <v>23.49999999999994</v>
      </c>
      <c r="X263" s="102">
        <f t="shared" si="8"/>
        <v>11.288437950119954</v>
      </c>
      <c r="Y263" s="147"/>
      <c r="AC263" s="98"/>
    </row>
    <row r="264" spans="22:29" ht="12.75">
      <c r="V264" s="98">
        <v>260</v>
      </c>
      <c r="W264" s="58">
        <f t="shared" si="9"/>
        <v>23.58333333333327</v>
      </c>
      <c r="X264" s="102">
        <f t="shared" si="8"/>
        <v>11.396841877352472</v>
      </c>
      <c r="Y264" s="147"/>
      <c r="AC264" s="98"/>
    </row>
    <row r="265" spans="22:29" ht="12.75">
      <c r="V265" s="98">
        <v>261</v>
      </c>
      <c r="W265" s="58">
        <f t="shared" si="9"/>
        <v>23.666666666666604</v>
      </c>
      <c r="X265" s="102">
        <f t="shared" si="8"/>
        <v>11.505100229980235</v>
      </c>
      <c r="Y265" s="147"/>
      <c r="AC265" s="98"/>
    </row>
    <row r="266" spans="22:29" ht="12.75">
      <c r="V266" s="98">
        <v>262</v>
      </c>
      <c r="W266" s="58">
        <f t="shared" si="9"/>
        <v>23.749999999999936</v>
      </c>
      <c r="X266" s="102">
        <f t="shared" si="8"/>
        <v>11.613214381668618</v>
      </c>
      <c r="Y266" s="147"/>
      <c r="AC266" s="98"/>
    </row>
    <row r="267" spans="22:29" ht="12.75">
      <c r="V267" s="98">
        <v>263</v>
      </c>
      <c r="W267" s="58">
        <f t="shared" si="9"/>
        <v>23.833333333333268</v>
      </c>
      <c r="X267" s="102">
        <f t="shared" si="8"/>
        <v>11.721185688221269</v>
      </c>
      <c r="Y267" s="147"/>
      <c r="AC267" s="98"/>
    </row>
    <row r="268" spans="22:29" ht="12.75">
      <c r="V268" s="98">
        <v>264</v>
      </c>
      <c r="W268" s="58">
        <f t="shared" si="9"/>
        <v>23.9166666666666</v>
      </c>
      <c r="X268" s="102">
        <f t="shared" si="8"/>
        <v>11.82901548787523</v>
      </c>
      <c r="Y268" s="147"/>
      <c r="AC268" s="98"/>
    </row>
    <row r="269" spans="22:29" ht="12.75">
      <c r="V269" s="98">
        <v>265</v>
      </c>
      <c r="W269" s="58">
        <f t="shared" si="9"/>
        <v>23.999999999999932</v>
      </c>
      <c r="X269" s="102">
        <f t="shared" si="8"/>
        <v>11.936705101590213</v>
      </c>
      <c r="Y269" s="147"/>
      <c r="AC269" s="98"/>
    </row>
    <row r="270" spans="22:29" ht="12.75">
      <c r="V270" s="98">
        <v>266</v>
      </c>
      <c r="W270" s="58">
        <f t="shared" si="9"/>
        <v>24.083333333333265</v>
      </c>
      <c r="X270" s="102">
        <f t="shared" si="8"/>
        <v>12.044255833332045</v>
      </c>
      <c r="Y270" s="147"/>
      <c r="AC270" s="98"/>
    </row>
    <row r="271" spans="22:29" ht="12.75">
      <c r="V271" s="98">
        <v>267</v>
      </c>
      <c r="W271" s="58">
        <f t="shared" si="9"/>
        <v>24.166666666666597</v>
      </c>
      <c r="X271" s="102">
        <f t="shared" si="8"/>
        <v>12.151668970350533</v>
      </c>
      <c r="Y271" s="147"/>
      <c r="AC271" s="98"/>
    </row>
    <row r="272" spans="22:29" ht="12.75">
      <c r="V272" s="98">
        <v>268</v>
      </c>
      <c r="W272" s="58">
        <f t="shared" si="9"/>
        <v>24.24999999999993</v>
      </c>
      <c r="X272" s="102">
        <f t="shared" si="8"/>
        <v>12.258945783451809</v>
      </c>
      <c r="Y272" s="147"/>
      <c r="AC272" s="98"/>
    </row>
    <row r="273" spans="22:29" ht="12.75">
      <c r="V273" s="98">
        <v>269</v>
      </c>
      <c r="W273" s="58">
        <f t="shared" si="9"/>
        <v>24.33333333333326</v>
      </c>
      <c r="X273" s="102">
        <f t="shared" si="8"/>
        <v>12.366087527265286</v>
      </c>
      <c r="Y273" s="147"/>
      <c r="AC273" s="98"/>
    </row>
    <row r="274" spans="22:29" ht="12.75">
      <c r="V274" s="98">
        <v>270</v>
      </c>
      <c r="W274" s="58">
        <f t="shared" si="9"/>
        <v>24.416666666666593</v>
      </c>
      <c r="X274" s="102">
        <f t="shared" si="8"/>
        <v>12.473095440505396</v>
      </c>
      <c r="Y274" s="147"/>
      <c r="AC274" s="98"/>
    </row>
    <row r="275" spans="22:29" ht="12.75">
      <c r="V275" s="98">
        <v>271</v>
      </c>
      <c r="W275" s="58">
        <f t="shared" si="9"/>
        <v>24.499999999999925</v>
      </c>
      <c r="X275" s="102">
        <f t="shared" si="8"/>
        <v>12.579970746228177</v>
      </c>
      <c r="Y275" s="147"/>
      <c r="AC275" s="98"/>
    </row>
    <row r="276" spans="22:29" ht="12.75">
      <c r="V276" s="98">
        <v>272</v>
      </c>
      <c r="W276" s="58">
        <f t="shared" si="9"/>
        <v>24.583333333333258</v>
      </c>
      <c r="X276" s="102">
        <f t="shared" si="8"/>
        <v>12.686714652082868</v>
      </c>
      <c r="Y276" s="147"/>
      <c r="AC276" s="98"/>
    </row>
    <row r="277" spans="22:29" ht="12.75">
      <c r="V277" s="98">
        <v>273</v>
      </c>
      <c r="W277" s="58">
        <f t="shared" si="9"/>
        <v>24.66666666666659</v>
      </c>
      <c r="X277" s="102">
        <f t="shared" si="8"/>
        <v>12.793328350558586</v>
      </c>
      <c r="Y277" s="147"/>
      <c r="AC277" s="98"/>
    </row>
    <row r="278" spans="22:29" ht="12.75">
      <c r="V278" s="98">
        <v>274</v>
      </c>
      <c r="W278" s="58">
        <f t="shared" si="9"/>
        <v>24.749999999999922</v>
      </c>
      <c r="X278" s="102">
        <f t="shared" si="8"/>
        <v>12.899813019226242</v>
      </c>
      <c r="Y278" s="147"/>
      <c r="AC278" s="98"/>
    </row>
    <row r="279" spans="22:29" ht="12.75">
      <c r="V279" s="98">
        <v>275</v>
      </c>
      <c r="W279" s="58">
        <f t="shared" si="9"/>
        <v>24.833333333333254</v>
      </c>
      <c r="X279" s="102">
        <f t="shared" si="8"/>
        <v>13.006169820975774</v>
      </c>
      <c r="Y279" s="147"/>
      <c r="AC279" s="98"/>
    </row>
    <row r="280" spans="22:29" ht="12.75">
      <c r="V280" s="98">
        <v>276</v>
      </c>
      <c r="W280" s="58">
        <f t="shared" si="9"/>
        <v>24.916666666666586</v>
      </c>
      <c r="X280" s="102">
        <f t="shared" si="8"/>
        <v>13.112399904248802</v>
      </c>
      <c r="Y280" s="147"/>
      <c r="AC280" s="98"/>
    </row>
    <row r="281" spans="22:29" ht="12.75">
      <c r="V281" s="98">
        <v>277</v>
      </c>
      <c r="W281" s="58">
        <f t="shared" si="9"/>
        <v>24.99999999999992</v>
      </c>
      <c r="X281" s="102">
        <f t="shared" si="8"/>
        <v>13.21850440326684</v>
      </c>
      <c r="Y281" s="147"/>
      <c r="AC281" s="98"/>
    </row>
    <row r="282" spans="22:29" ht="12.75">
      <c r="V282" s="98">
        <v>278</v>
      </c>
      <c r="W282" s="58">
        <f t="shared" si="9"/>
        <v>25.08333333333325</v>
      </c>
      <c r="X282" s="102">
        <f t="shared" si="8"/>
        <v>13.32448443825511</v>
      </c>
      <c r="Y282" s="147"/>
      <c r="AC282" s="98"/>
    </row>
    <row r="283" spans="22:29" ht="12.75">
      <c r="V283" s="98">
        <v>279</v>
      </c>
      <c r="W283" s="58">
        <f t="shared" si="9"/>
        <v>25.166666666666583</v>
      </c>
      <c r="X283" s="102">
        <f t="shared" si="8"/>
        <v>13.430341115662127</v>
      </c>
      <c r="Y283" s="147"/>
      <c r="AC283" s="98"/>
    </row>
    <row r="284" spans="22:29" ht="12.75">
      <c r="V284" s="98">
        <v>280</v>
      </c>
      <c r="W284" s="58">
        <f t="shared" si="9"/>
        <v>25.249999999999915</v>
      </c>
      <c r="X284" s="102">
        <f t="shared" si="8"/>
        <v>13.536075528375079</v>
      </c>
      <c r="Y284" s="147"/>
      <c r="AC284" s="98"/>
    </row>
    <row r="285" spans="22:29" ht="12.75">
      <c r="V285" s="98">
        <v>281</v>
      </c>
      <c r="W285" s="58">
        <f t="shared" si="9"/>
        <v>25.333333333333247</v>
      </c>
      <c r="X285" s="102">
        <f t="shared" si="8"/>
        <v>13.641688755931154</v>
      </c>
      <c r="Y285" s="147"/>
      <c r="AC285" s="98"/>
    </row>
    <row r="286" spans="22:29" ht="12.75">
      <c r="V286" s="98">
        <v>282</v>
      </c>
      <c r="W286" s="58">
        <f t="shared" si="9"/>
        <v>25.41666666666658</v>
      </c>
      <c r="X286" s="102">
        <f t="shared" si="8"/>
        <v>13.747181864724844</v>
      </c>
      <c r="Y286" s="147"/>
      <c r="AC286" s="98"/>
    </row>
    <row r="287" spans="22:29" ht="12.75">
      <c r="V287" s="98">
        <v>283</v>
      </c>
      <c r="W287" s="58">
        <f t="shared" si="9"/>
        <v>25.49999999999991</v>
      </c>
      <c r="X287" s="102">
        <f t="shared" si="8"/>
        <v>13.852555908211405</v>
      </c>
      <c r="Y287" s="147"/>
      <c r="AC287" s="98"/>
    </row>
    <row r="288" spans="22:29" ht="12.75">
      <c r="V288" s="98">
        <v>284</v>
      </c>
      <c r="W288" s="58">
        <f t="shared" si="9"/>
        <v>25.583333333333243</v>
      </c>
      <c r="X288" s="102">
        <f t="shared" si="8"/>
        <v>13.957811927106446</v>
      </c>
      <c r="Y288" s="147"/>
      <c r="AC288" s="98"/>
    </row>
    <row r="289" spans="22:29" ht="12.75">
      <c r="V289" s="98">
        <v>285</v>
      </c>
      <c r="W289" s="58">
        <f t="shared" si="9"/>
        <v>25.666666666666575</v>
      </c>
      <c r="X289" s="102">
        <f t="shared" si="8"/>
        <v>14.062950949581818</v>
      </c>
      <c r="Y289" s="147"/>
      <c r="AC289" s="98"/>
    </row>
    <row r="290" spans="22:29" ht="12.75">
      <c r="V290" s="98">
        <v>286</v>
      </c>
      <c r="W290" s="58">
        <f t="shared" si="9"/>
        <v>25.749999999999908</v>
      </c>
      <c r="X290" s="102">
        <f t="shared" si="8"/>
        <v>14.16797399145785</v>
      </c>
      <c r="Y290" s="147"/>
      <c r="AC290" s="98"/>
    </row>
    <row r="291" spans="22:29" ht="12.75">
      <c r="V291" s="98">
        <v>287</v>
      </c>
      <c r="W291" s="58">
        <f t="shared" si="9"/>
        <v>25.83333333333324</v>
      </c>
      <c r="X291" s="102">
        <f t="shared" si="8"/>
        <v>14.272882056392014</v>
      </c>
      <c r="Y291" s="147"/>
      <c r="AC291" s="98"/>
    </row>
    <row r="292" spans="22:29" ht="12.75">
      <c r="V292" s="98">
        <v>288</v>
      </c>
      <c r="W292" s="58">
        <f t="shared" si="9"/>
        <v>25.916666666666572</v>
      </c>
      <c r="X292" s="102">
        <f t="shared" si="8"/>
        <v>14.377676136064101</v>
      </c>
      <c r="Y292" s="147"/>
      <c r="AC292" s="98"/>
    </row>
    <row r="293" spans="22:29" ht="12.75">
      <c r="V293" s="98">
        <v>289</v>
      </c>
      <c r="W293" s="58">
        <f t="shared" si="9"/>
        <v>25.999999999999904</v>
      </c>
      <c r="X293" s="102">
        <f t="shared" si="8"/>
        <v>14.482357210357982</v>
      </c>
      <c r="Y293" s="147"/>
      <c r="AC293" s="98"/>
    </row>
    <row r="294" spans="22:29" ht="12.75">
      <c r="V294" s="98">
        <v>290</v>
      </c>
      <c r="W294" s="58">
        <f t="shared" si="9"/>
        <v>26.083333333333236</v>
      </c>
      <c r="X294" s="102">
        <f t="shared" si="8"/>
        <v>14.586926247540024</v>
      </c>
      <c r="Y294" s="147"/>
      <c r="AC294" s="98"/>
    </row>
    <row r="295" spans="22:29" ht="12.75">
      <c r="V295" s="98">
        <v>291</v>
      </c>
      <c r="W295" s="58">
        <f t="shared" si="9"/>
        <v>26.16666666666657</v>
      </c>
      <c r="X295" s="102">
        <f t="shared" si="8"/>
        <v>14.691384204434238</v>
      </c>
      <c r="Y295" s="147"/>
      <c r="AC295" s="98"/>
    </row>
    <row r="296" spans="22:29" ht="12.75">
      <c r="V296" s="98">
        <v>292</v>
      </c>
      <c r="W296" s="58">
        <f t="shared" si="9"/>
        <v>26.2499999999999</v>
      </c>
      <c r="X296" s="102">
        <f t="shared" si="8"/>
        <v>14.795732026594235</v>
      </c>
      <c r="Y296" s="147"/>
      <c r="AC296" s="98"/>
    </row>
    <row r="297" spans="22:29" ht="12.75">
      <c r="V297" s="98">
        <v>293</v>
      </c>
      <c r="W297" s="58">
        <f t="shared" si="9"/>
        <v>26.333333333333233</v>
      </c>
      <c r="X297" s="102">
        <f t="shared" si="8"/>
        <v>14.899970648472044</v>
      </c>
      <c r="Y297" s="147"/>
      <c r="AC297" s="98"/>
    </row>
    <row r="298" spans="22:29" ht="12.75">
      <c r="V298" s="98">
        <v>294</v>
      </c>
      <c r="W298" s="58">
        <f t="shared" si="9"/>
        <v>26.416666666666565</v>
      </c>
      <c r="X298" s="102">
        <f t="shared" si="8"/>
        <v>15.004100993583863</v>
      </c>
      <c r="Y298" s="147"/>
      <c r="AC298" s="98"/>
    </row>
    <row r="299" spans="22:29" ht="12.75">
      <c r="V299" s="98">
        <v>295</v>
      </c>
      <c r="W299" s="58">
        <f t="shared" si="9"/>
        <v>26.499999999999897</v>
      </c>
      <c r="X299" s="102">
        <f t="shared" si="8"/>
        <v>15.108123974672823</v>
      </c>
      <c r="Y299" s="147"/>
      <c r="AC299" s="98"/>
    </row>
    <row r="300" spans="22:29" ht="12.75">
      <c r="V300" s="98">
        <v>296</v>
      </c>
      <c r="W300" s="58">
        <f t="shared" si="9"/>
        <v>26.58333333333323</v>
      </c>
      <c r="X300" s="102">
        <f t="shared" si="8"/>
        <v>15.212040493868816</v>
      </c>
      <c r="Y300" s="147"/>
      <c r="AC300" s="98"/>
    </row>
    <row r="301" spans="22:29" ht="12.75">
      <c r="V301" s="98">
        <v>297</v>
      </c>
      <c r="W301" s="58">
        <f t="shared" si="9"/>
        <v>26.66666666666656</v>
      </c>
      <c r="X301" s="102">
        <f t="shared" si="8"/>
        <v>15.315851442845434</v>
      </c>
      <c r="Y301" s="147"/>
      <c r="AC301" s="98"/>
    </row>
    <row r="302" spans="22:29" ht="12.75">
      <c r="V302" s="98">
        <v>298</v>
      </c>
      <c r="W302" s="58">
        <f t="shared" si="9"/>
        <v>26.749999999999893</v>
      </c>
      <c r="X302" s="102">
        <f t="shared" si="8"/>
        <v>15.419557702974108</v>
      </c>
      <c r="Y302" s="147"/>
      <c r="AC302" s="98"/>
    </row>
    <row r="303" spans="22:29" ht="12.75">
      <c r="V303" s="98">
        <v>299</v>
      </c>
      <c r="W303" s="58">
        <f t="shared" si="9"/>
        <v>26.833333333333226</v>
      </c>
      <c r="X303" s="102">
        <f t="shared" si="8"/>
        <v>15.523160145475511</v>
      </c>
      <c r="Y303" s="147"/>
      <c r="AC303" s="98"/>
    </row>
    <row r="304" spans="22:29" ht="12.75">
      <c r="V304" s="98">
        <v>300</v>
      </c>
      <c r="W304" s="58">
        <f t="shared" si="9"/>
        <v>26.916666666666558</v>
      </c>
      <c r="X304" s="102">
        <f t="shared" si="8"/>
        <v>15.626659631568224</v>
      </c>
      <c r="Y304" s="147"/>
      <c r="AC304" s="98"/>
    </row>
    <row r="305" spans="22:29" ht="12.75">
      <c r="V305" s="98">
        <v>301</v>
      </c>
      <c r="W305" s="58">
        <f t="shared" si="9"/>
        <v>26.99999999999989</v>
      </c>
      <c r="X305" s="102">
        <f t="shared" si="8"/>
        <v>15.730057012614807</v>
      </c>
      <c r="Y305" s="147"/>
      <c r="AC305" s="98"/>
    </row>
    <row r="306" spans="22:29" ht="12.75">
      <c r="V306" s="98">
        <v>302</v>
      </c>
      <c r="W306" s="58">
        <f t="shared" si="9"/>
        <v>27.083333333333222</v>
      </c>
      <c r="X306" s="102">
        <f t="shared" si="8"/>
        <v>15.833353130265252</v>
      </c>
      <c r="Y306" s="147"/>
      <c r="AC306" s="98"/>
    </row>
    <row r="307" spans="22:29" ht="12.75">
      <c r="V307" s="98">
        <v>303</v>
      </c>
      <c r="W307" s="58">
        <f t="shared" si="9"/>
        <v>27.166666666666554</v>
      </c>
      <c r="X307" s="102">
        <f t="shared" si="8"/>
        <v>15.936548816597933</v>
      </c>
      <c r="Y307" s="147"/>
      <c r="AC307" s="98"/>
    </row>
    <row r="308" spans="22:29" ht="12.75">
      <c r="V308" s="98">
        <v>304</v>
      </c>
      <c r="W308" s="58">
        <f t="shared" si="9"/>
        <v>27.249999999999886</v>
      </c>
      <c r="X308" s="102">
        <f t="shared" si="8"/>
        <v>16.039644894258046</v>
      </c>
      <c r="Y308" s="147"/>
      <c r="AC308" s="98"/>
    </row>
    <row r="309" spans="22:29" ht="12.75">
      <c r="V309" s="98">
        <v>305</v>
      </c>
      <c r="W309" s="58">
        <f t="shared" si="9"/>
        <v>27.33333333333322</v>
      </c>
      <c r="X309" s="102">
        <f t="shared" si="8"/>
        <v>16.14264217659367</v>
      </c>
      <c r="Y309" s="147"/>
      <c r="AC309" s="98"/>
    </row>
    <row r="310" spans="22:29" ht="12.75">
      <c r="V310" s="98">
        <v>306</v>
      </c>
      <c r="W310" s="58">
        <f t="shared" si="9"/>
        <v>27.41666666666655</v>
      </c>
      <c r="X310" s="102">
        <f t="shared" si="8"/>
        <v>16.245541467789387</v>
      </c>
      <c r="Y310" s="147"/>
      <c r="AC310" s="98"/>
    </row>
    <row r="311" spans="22:29" ht="12.75">
      <c r="V311" s="98">
        <v>307</v>
      </c>
      <c r="W311" s="58">
        <f t="shared" si="9"/>
        <v>27.499999999999883</v>
      </c>
      <c r="X311" s="102">
        <f t="shared" si="8"/>
        <v>16.348343562997627</v>
      </c>
      <c r="Y311" s="147"/>
      <c r="AC311" s="98"/>
    </row>
    <row r="312" spans="22:29" ht="12.75">
      <c r="V312" s="98">
        <v>308</v>
      </c>
      <c r="W312" s="58">
        <f t="shared" si="9"/>
        <v>27.583333333333215</v>
      </c>
      <c r="X312" s="102">
        <f t="shared" si="8"/>
        <v>16.45104924846772</v>
      </c>
      <c r="Y312" s="147"/>
      <c r="AC312" s="98"/>
    </row>
    <row r="313" spans="22:29" ht="12.75">
      <c r="V313" s="98">
        <v>309</v>
      </c>
      <c r="W313" s="58">
        <f t="shared" si="9"/>
        <v>27.666666666666547</v>
      </c>
      <c r="X313" s="102">
        <f t="shared" si="8"/>
        <v>16.55365930167269</v>
      </c>
      <c r="Y313" s="147"/>
      <c r="AC313" s="98"/>
    </row>
    <row r="314" spans="22:29" ht="12.75">
      <c r="V314" s="98">
        <v>310</v>
      </c>
      <c r="W314" s="58">
        <f t="shared" si="9"/>
        <v>27.74999999999988</v>
      </c>
      <c r="X314" s="102">
        <f t="shared" si="8"/>
        <v>16.65617449143389</v>
      </c>
      <c r="Y314" s="147"/>
      <c r="AC314" s="98"/>
    </row>
    <row r="315" spans="22:29" ht="12.75">
      <c r="V315" s="98">
        <v>311</v>
      </c>
      <c r="W315" s="58">
        <f t="shared" si="9"/>
        <v>27.83333333333321</v>
      </c>
      <c r="X315" s="102">
        <f t="shared" si="8"/>
        <v>16.75859557804348</v>
      </c>
      <c r="Y315" s="147"/>
      <c r="AC315" s="98"/>
    </row>
    <row r="316" spans="22:29" ht="12.75">
      <c r="V316" s="98">
        <v>312</v>
      </c>
      <c r="W316" s="58">
        <f t="shared" si="9"/>
        <v>27.916666666666544</v>
      </c>
      <c r="X316" s="102">
        <f t="shared" si="8"/>
        <v>16.860923313384788</v>
      </c>
      <c r="Y316" s="147"/>
      <c r="AC316" s="98"/>
    </row>
    <row r="317" spans="22:29" ht="12.75">
      <c r="V317" s="98">
        <v>313</v>
      </c>
      <c r="W317" s="58">
        <f t="shared" si="9"/>
        <v>27.999999999999876</v>
      </c>
      <c r="X317" s="102">
        <f t="shared" si="8"/>
        <v>16.963158441050652</v>
      </c>
      <c r="Y317" s="147"/>
      <c r="AC317" s="98"/>
    </row>
    <row r="318" spans="22:29" ht="12.75">
      <c r="V318" s="98">
        <v>314</v>
      </c>
      <c r="W318" s="58">
        <f t="shared" si="9"/>
        <v>28.083333333333208</v>
      </c>
      <c r="X318" s="102">
        <f t="shared" si="8"/>
        <v>17.065301696459695</v>
      </c>
      <c r="Y318" s="147"/>
      <c r="AC318" s="98"/>
    </row>
    <row r="319" spans="22:29" ht="12.75">
      <c r="V319" s="98">
        <v>315</v>
      </c>
      <c r="W319" s="58">
        <f t="shared" si="9"/>
        <v>28.16666666666654</v>
      </c>
      <c r="X319" s="102">
        <f t="shared" si="8"/>
        <v>17.167353806970674</v>
      </c>
      <c r="Y319" s="147"/>
      <c r="AC319" s="98"/>
    </row>
    <row r="320" spans="22:29" ht="12.75">
      <c r="V320" s="98">
        <v>316</v>
      </c>
      <c r="W320" s="58">
        <f t="shared" si="9"/>
        <v>28.249999999999872</v>
      </c>
      <c r="X320" s="102">
        <f t="shared" si="8"/>
        <v>17.26931549199484</v>
      </c>
      <c r="Y320" s="147"/>
      <c r="AC320" s="98"/>
    </row>
    <row r="321" spans="22:29" ht="12.75">
      <c r="V321" s="98">
        <v>317</v>
      </c>
      <c r="W321" s="58">
        <f t="shared" si="9"/>
        <v>28.333333333333204</v>
      </c>
      <c r="X321" s="102">
        <f t="shared" si="8"/>
        <v>17.371187463106434</v>
      </c>
      <c r="Y321" s="147"/>
      <c r="AC321" s="98"/>
    </row>
    <row r="322" spans="22:29" ht="12.75">
      <c r="V322" s="98">
        <v>318</v>
      </c>
      <c r="W322" s="58">
        <f t="shared" si="9"/>
        <v>28.416666666666536</v>
      </c>
      <c r="X322" s="102">
        <f t="shared" si="8"/>
        <v>17.472970424151324</v>
      </c>
      <c r="Y322" s="147"/>
      <c r="AC322" s="98"/>
    </row>
    <row r="323" spans="22:29" ht="12.75">
      <c r="V323" s="98">
        <v>319</v>
      </c>
      <c r="W323" s="58">
        <f t="shared" si="9"/>
        <v>28.49999999999987</v>
      </c>
      <c r="X323" s="102">
        <f t="shared" si="8"/>
        <v>17.574665071353778</v>
      </c>
      <c r="Y323" s="147"/>
      <c r="AC323" s="98"/>
    </row>
    <row r="324" spans="22:29" ht="12.75">
      <c r="V324" s="98">
        <v>320</v>
      </c>
      <c r="W324" s="58">
        <f t="shared" si="9"/>
        <v>28.5833333333332</v>
      </c>
      <c r="X324" s="102">
        <f t="shared" si="8"/>
        <v>17.6762720934215</v>
      </c>
      <c r="Y324" s="147"/>
      <c r="AC324" s="98"/>
    </row>
    <row r="325" spans="22:29" ht="12.75">
      <c r="V325" s="98">
        <v>321</v>
      </c>
      <c r="W325" s="58">
        <f t="shared" si="9"/>
        <v>28.666666666666533</v>
      </c>
      <c r="X325" s="102">
        <f aca="true" t="shared" si="10" ref="X325:X388">$W325-(1.18*$N$4/($D$10*(($N$5*$D$14*$W325)/3))*(1+SQRT(1+1.88*$D$10*(($N$5*$D$14*$W325)/3)*($D$22+$D$11+$D$16)/$N$4)))</f>
        <v>17.777792171648866</v>
      </c>
      <c r="Y325" s="147"/>
      <c r="AC325" s="98"/>
    </row>
    <row r="326" spans="22:29" ht="12.75">
      <c r="V326" s="98">
        <v>322</v>
      </c>
      <c r="W326" s="58">
        <f aca="true" t="shared" si="11" ref="W326:W389">$W325+1/12</f>
        <v>28.749999999999865</v>
      </c>
      <c r="X326" s="102">
        <f t="shared" si="10"/>
        <v>17.879225980018475</v>
      </c>
      <c r="Y326" s="147"/>
      <c r="AC326" s="98"/>
    </row>
    <row r="327" spans="22:29" ht="12.75">
      <c r="V327" s="98">
        <v>323</v>
      </c>
      <c r="W327" s="58">
        <f t="shared" si="11"/>
        <v>28.833333333333197</v>
      </c>
      <c r="X327" s="102">
        <f t="shared" si="10"/>
        <v>17.980574185301002</v>
      </c>
      <c r="Y327" s="147"/>
      <c r="AC327" s="98"/>
    </row>
    <row r="328" spans="22:29" ht="12.75">
      <c r="V328" s="98">
        <v>324</v>
      </c>
      <c r="W328" s="58">
        <f t="shared" si="11"/>
        <v>28.91666666666653</v>
      </c>
      <c r="X328" s="102">
        <f t="shared" si="10"/>
        <v>18.08183744715339</v>
      </c>
      <c r="Y328" s="147"/>
      <c r="AC328" s="98"/>
    </row>
    <row r="329" spans="22:29" ht="12.75">
      <c r="V329" s="98">
        <v>325</v>
      </c>
      <c r="W329" s="58">
        <f t="shared" si="11"/>
        <v>28.99999999999986</v>
      </c>
      <c r="X329" s="102">
        <f t="shared" si="10"/>
        <v>18.183016418215423</v>
      </c>
      <c r="Y329" s="147"/>
      <c r="AC329" s="98"/>
    </row>
    <row r="330" spans="22:29" ht="12.75">
      <c r="V330" s="98">
        <v>326</v>
      </c>
      <c r="W330" s="58">
        <f t="shared" si="11"/>
        <v>29.083333333333194</v>
      </c>
      <c r="X330" s="102">
        <f t="shared" si="10"/>
        <v>18.28411174420473</v>
      </c>
      <c r="Y330" s="147"/>
      <c r="AC330" s="98"/>
    </row>
    <row r="331" spans="22:29" ht="12.75">
      <c r="V331" s="98">
        <v>327</v>
      </c>
      <c r="W331" s="58">
        <f t="shared" si="11"/>
        <v>29.166666666666526</v>
      </c>
      <c r="X331" s="102">
        <f t="shared" si="10"/>
        <v>18.385124064010203</v>
      </c>
      <c r="Y331" s="147"/>
      <c r="AC331" s="98"/>
    </row>
    <row r="332" spans="22:29" ht="12.75">
      <c r="V332" s="98">
        <v>328</v>
      </c>
      <c r="W332" s="58">
        <f t="shared" si="11"/>
        <v>29.249999999999858</v>
      </c>
      <c r="X332" s="102">
        <f t="shared" si="10"/>
        <v>18.486054009783906</v>
      </c>
      <c r="Y332" s="147"/>
      <c r="AC332" s="98"/>
    </row>
    <row r="333" spans="22:29" ht="12.75">
      <c r="V333" s="98">
        <v>329</v>
      </c>
      <c r="W333" s="58">
        <f t="shared" si="11"/>
        <v>29.33333333333319</v>
      </c>
      <c r="X333" s="102">
        <f t="shared" si="10"/>
        <v>18.586902207031464</v>
      </c>
      <c r="Y333" s="147"/>
      <c r="AC333" s="98"/>
    </row>
    <row r="334" spans="22:29" ht="12.75">
      <c r="V334" s="98">
        <v>330</v>
      </c>
      <c r="W334" s="58">
        <f t="shared" si="11"/>
        <v>29.416666666666522</v>
      </c>
      <c r="X334" s="102">
        <f t="shared" si="10"/>
        <v>18.68766927470103</v>
      </c>
      <c r="Y334" s="147"/>
      <c r="AC334" s="98"/>
    </row>
    <row r="335" spans="22:29" ht="12.75">
      <c r="V335" s="98">
        <v>331</v>
      </c>
      <c r="W335" s="58">
        <f t="shared" si="11"/>
        <v>29.499999999999854</v>
      </c>
      <c r="X335" s="102">
        <f t="shared" si="10"/>
        <v>18.788355825270717</v>
      </c>
      <c r="Y335" s="147"/>
      <c r="AC335" s="98"/>
    </row>
    <row r="336" spans="22:29" ht="12.75">
      <c r="V336" s="98">
        <v>332</v>
      </c>
      <c r="W336" s="58">
        <f t="shared" si="11"/>
        <v>29.583333333333186</v>
      </c>
      <c r="X336" s="102">
        <f t="shared" si="10"/>
        <v>18.888962464834727</v>
      </c>
      <c r="Y336" s="147"/>
      <c r="AC336" s="98"/>
    </row>
    <row r="337" spans="22:29" ht="12.75">
      <c r="V337" s="98">
        <v>333</v>
      </c>
      <c r="W337" s="58">
        <f t="shared" si="11"/>
        <v>29.66666666666652</v>
      </c>
      <c r="X337" s="102">
        <f t="shared" si="10"/>
        <v>18.989489793188</v>
      </c>
      <c r="Y337" s="147"/>
      <c r="AC337" s="98"/>
    </row>
    <row r="338" spans="22:29" ht="12.75">
      <c r="V338" s="98">
        <v>334</v>
      </c>
      <c r="W338" s="58">
        <f t="shared" si="11"/>
        <v>29.74999999999985</v>
      </c>
      <c r="X338" s="102">
        <f t="shared" si="10"/>
        <v>19.08993840390957</v>
      </c>
      <c r="Y338" s="147"/>
      <c r="AC338" s="98"/>
    </row>
    <row r="339" spans="22:29" ht="12.75">
      <c r="V339" s="98">
        <v>335</v>
      </c>
      <c r="W339" s="58">
        <f t="shared" si="11"/>
        <v>29.833333333333183</v>
      </c>
      <c r="X339" s="102">
        <f t="shared" si="10"/>
        <v>19.190308884444512</v>
      </c>
      <c r="Y339" s="147"/>
      <c r="AC339" s="98"/>
    </row>
    <row r="340" spans="22:29" ht="12.75">
      <c r="V340" s="98">
        <v>336</v>
      </c>
      <c r="W340" s="58">
        <f t="shared" si="11"/>
        <v>29.916666666666515</v>
      </c>
      <c r="X340" s="102">
        <f t="shared" si="10"/>
        <v>19.29060181618467</v>
      </c>
      <c r="Y340" s="147"/>
      <c r="AC340" s="98"/>
    </row>
    <row r="341" spans="22:29" ht="12.75">
      <c r="V341" s="98">
        <v>337</v>
      </c>
      <c r="W341" s="58">
        <f t="shared" si="11"/>
        <v>29.999999999999847</v>
      </c>
      <c r="X341" s="102">
        <f t="shared" si="10"/>
        <v>19.39081777454798</v>
      </c>
      <c r="Y341" s="147"/>
      <c r="AC341" s="98"/>
    </row>
    <row r="342" spans="22:29" ht="12.75">
      <c r="V342" s="98">
        <v>338</v>
      </c>
      <c r="W342" s="58">
        <f t="shared" si="11"/>
        <v>30.08333333333318</v>
      </c>
      <c r="X342" s="102">
        <f t="shared" si="10"/>
        <v>19.490957329056677</v>
      </c>
      <c r="Y342" s="147"/>
      <c r="AC342" s="98"/>
    </row>
    <row r="343" spans="22:29" ht="12.75">
      <c r="V343" s="98">
        <v>339</v>
      </c>
      <c r="W343" s="58">
        <f t="shared" si="11"/>
        <v>30.16666666666651</v>
      </c>
      <c r="X343" s="102">
        <f t="shared" si="10"/>
        <v>19.591021043414116</v>
      </c>
      <c r="Y343" s="147"/>
      <c r="AC343" s="98"/>
    </row>
    <row r="344" spans="22:29" ht="12.75">
      <c r="V344" s="98">
        <v>340</v>
      </c>
      <c r="W344" s="58">
        <f t="shared" si="11"/>
        <v>30.249999999999844</v>
      </c>
      <c r="X344" s="102">
        <f t="shared" si="10"/>
        <v>19.691009475580493</v>
      </c>
      <c r="Y344" s="147"/>
      <c r="AC344" s="98"/>
    </row>
    <row r="345" spans="22:29" ht="12.75">
      <c r="V345" s="98">
        <v>341</v>
      </c>
      <c r="W345" s="58">
        <f t="shared" si="11"/>
        <v>30.333333333333176</v>
      </c>
      <c r="X345" s="102">
        <f t="shared" si="10"/>
        <v>19.790923177847294</v>
      </c>
      <c r="Y345" s="147"/>
      <c r="AC345" s="98"/>
    </row>
    <row r="346" spans="22:29" ht="12.75">
      <c r="V346" s="98">
        <v>342</v>
      </c>
      <c r="W346" s="58">
        <f t="shared" si="11"/>
        <v>30.416666666666508</v>
      </c>
      <c r="X346" s="102">
        <f t="shared" si="10"/>
        <v>19.890762696910613</v>
      </c>
      <c r="Y346" s="147"/>
      <c r="AC346" s="98"/>
    </row>
    <row r="347" spans="22:29" ht="12.75">
      <c r="V347" s="98">
        <v>343</v>
      </c>
      <c r="W347" s="58">
        <f t="shared" si="11"/>
        <v>30.49999999999984</v>
      </c>
      <c r="X347" s="102">
        <f t="shared" si="10"/>
        <v>19.990528573943326</v>
      </c>
      <c r="Y347" s="147"/>
      <c r="AC347" s="98"/>
    </row>
    <row r="348" spans="22:29" ht="12.75">
      <c r="V348" s="98">
        <v>344</v>
      </c>
      <c r="W348" s="58">
        <f t="shared" si="11"/>
        <v>30.583333333333172</v>
      </c>
      <c r="X348" s="102">
        <f t="shared" si="10"/>
        <v>20.0902213446661</v>
      </c>
      <c r="Y348" s="147"/>
      <c r="AC348" s="98"/>
    </row>
    <row r="349" spans="22:29" ht="12.75">
      <c r="V349" s="98">
        <v>345</v>
      </c>
      <c r="W349" s="58">
        <f t="shared" si="11"/>
        <v>30.666666666666504</v>
      </c>
      <c r="X349" s="102">
        <f t="shared" si="10"/>
        <v>20.18984153941734</v>
      </c>
      <c r="Y349" s="147"/>
      <c r="AC349" s="98"/>
    </row>
    <row r="350" spans="22:29" ht="12.75">
      <c r="V350" s="98">
        <v>346</v>
      </c>
      <c r="W350" s="58">
        <f t="shared" si="11"/>
        <v>30.749999999999837</v>
      </c>
      <c r="X350" s="102">
        <f t="shared" si="10"/>
        <v>20.289389683222</v>
      </c>
      <c r="Y350" s="147"/>
      <c r="AC350" s="98"/>
    </row>
    <row r="351" spans="22:29" ht="12.75">
      <c r="V351" s="98">
        <v>347</v>
      </c>
      <c r="W351" s="58">
        <f t="shared" si="11"/>
        <v>30.83333333333317</v>
      </c>
      <c r="X351" s="102">
        <f t="shared" si="10"/>
        <v>20.388866295859373</v>
      </c>
      <c r="Y351" s="147"/>
      <c r="AC351" s="98"/>
    </row>
    <row r="352" spans="22:29" ht="12.75">
      <c r="V352" s="98">
        <v>348</v>
      </c>
      <c r="W352" s="58">
        <f t="shared" si="11"/>
        <v>30.9166666666665</v>
      </c>
      <c r="X352" s="102">
        <f t="shared" si="10"/>
        <v>20.48827189192979</v>
      </c>
      <c r="Y352" s="147"/>
      <c r="AC352" s="98"/>
    </row>
    <row r="353" spans="22:29" ht="12.75">
      <c r="V353" s="98">
        <v>349</v>
      </c>
      <c r="W353" s="58">
        <f t="shared" si="11"/>
        <v>30.999999999999833</v>
      </c>
      <c r="X353" s="102">
        <f t="shared" si="10"/>
        <v>20.58760698092034</v>
      </c>
      <c r="Y353" s="147"/>
      <c r="AC353" s="98"/>
    </row>
    <row r="354" spans="22:29" ht="12.75">
      <c r="V354" s="98">
        <v>350</v>
      </c>
      <c r="W354" s="58">
        <f t="shared" si="11"/>
        <v>31.083333333333165</v>
      </c>
      <c r="X354" s="102">
        <f t="shared" si="10"/>
        <v>20.686872067269533</v>
      </c>
      <c r="Y354" s="147"/>
      <c r="AC354" s="98"/>
    </row>
    <row r="355" spans="22:29" ht="12.75">
      <c r="V355" s="98">
        <v>351</v>
      </c>
      <c r="W355" s="58">
        <f t="shared" si="11"/>
        <v>31.166666666666497</v>
      </c>
      <c r="X355" s="102">
        <f t="shared" si="10"/>
        <v>20.786067650430994</v>
      </c>
      <c r="Y355" s="147"/>
      <c r="AC355" s="98"/>
    </row>
    <row r="356" spans="22:29" ht="12.75">
      <c r="V356" s="98">
        <v>352</v>
      </c>
      <c r="W356" s="58">
        <f t="shared" si="11"/>
        <v>31.24999999999983</v>
      </c>
      <c r="X356" s="102">
        <f t="shared" si="10"/>
        <v>20.885194224936164</v>
      </c>
      <c r="Y356" s="147"/>
      <c r="AC356" s="98"/>
    </row>
    <row r="357" spans="22:29" ht="12.75">
      <c r="V357" s="98">
        <v>353</v>
      </c>
      <c r="W357" s="58">
        <f t="shared" si="11"/>
        <v>31.33333333333316</v>
      </c>
      <c r="X357" s="102">
        <f t="shared" si="10"/>
        <v>20.984252280456083</v>
      </c>
      <c r="Y357" s="147"/>
      <c r="AC357" s="98"/>
    </row>
    <row r="358" spans="22:29" ht="12.75">
      <c r="V358" s="98">
        <v>354</v>
      </c>
      <c r="W358" s="58">
        <f t="shared" si="11"/>
        <v>31.416666666666494</v>
      </c>
      <c r="X358" s="102">
        <f t="shared" si="10"/>
        <v>21.083242301862185</v>
      </c>
      <c r="Y358" s="147"/>
      <c r="AC358" s="98"/>
    </row>
    <row r="359" spans="22:29" ht="12.75">
      <c r="V359" s="98">
        <v>355</v>
      </c>
      <c r="W359" s="58">
        <f t="shared" si="11"/>
        <v>31.499999999999826</v>
      </c>
      <c r="X359" s="102">
        <f t="shared" si="10"/>
        <v>21.182164769286224</v>
      </c>
      <c r="Y359" s="147"/>
      <c r="AC359" s="98"/>
    </row>
    <row r="360" spans="22:29" ht="12.75">
      <c r="V360" s="98">
        <v>356</v>
      </c>
      <c r="W360" s="58">
        <f t="shared" si="11"/>
        <v>31.583333333333158</v>
      </c>
      <c r="X360" s="102">
        <f t="shared" si="10"/>
        <v>21.281020158179217</v>
      </c>
      <c r="Y360" s="147"/>
      <c r="AC360" s="98"/>
    </row>
    <row r="361" spans="22:29" ht="12.75">
      <c r="V361" s="98">
        <v>357</v>
      </c>
      <c r="W361" s="58">
        <f t="shared" si="11"/>
        <v>31.66666666666649</v>
      </c>
      <c r="X361" s="102">
        <f t="shared" si="10"/>
        <v>21.379808939369582</v>
      </c>
      <c r="Y361" s="147"/>
      <c r="AC361" s="98"/>
    </row>
    <row r="362" spans="22:29" ht="12.75">
      <c r="V362" s="98">
        <v>358</v>
      </c>
      <c r="W362" s="58">
        <f t="shared" si="11"/>
        <v>31.749999999999822</v>
      </c>
      <c r="X362" s="102">
        <f t="shared" si="10"/>
        <v>21.478531579120357</v>
      </c>
      <c r="Y362" s="147"/>
      <c r="AC362" s="98"/>
    </row>
    <row r="363" spans="22:29" ht="12.75">
      <c r="V363" s="98">
        <v>359</v>
      </c>
      <c r="W363" s="58">
        <f t="shared" si="11"/>
        <v>31.833333333333155</v>
      </c>
      <c r="X363" s="102">
        <f t="shared" si="10"/>
        <v>21.577188539185546</v>
      </c>
      <c r="Y363" s="147"/>
      <c r="AC363" s="98"/>
    </row>
    <row r="364" spans="22:29" ht="12.75">
      <c r="V364" s="98">
        <v>360</v>
      </c>
      <c r="W364" s="58">
        <f t="shared" si="11"/>
        <v>31.916666666666487</v>
      </c>
      <c r="X364" s="102">
        <f t="shared" si="10"/>
        <v>21.675780276865652</v>
      </c>
      <c r="Y364" s="147"/>
      <c r="AC364" s="98"/>
    </row>
    <row r="365" spans="22:29" ht="12.75">
      <c r="V365" s="98">
        <v>361</v>
      </c>
      <c r="W365" s="58">
        <f t="shared" si="11"/>
        <v>31.99999999999982</v>
      </c>
      <c r="X365" s="102">
        <f t="shared" si="10"/>
        <v>21.774307245062374</v>
      </c>
      <c r="Y365" s="147"/>
      <c r="AC365" s="98"/>
    </row>
    <row r="366" spans="22:29" ht="12.75">
      <c r="V366" s="98">
        <v>362</v>
      </c>
      <c r="W366" s="58">
        <f t="shared" si="11"/>
        <v>32.08333333333315</v>
      </c>
      <c r="X366" s="102">
        <f t="shared" si="10"/>
        <v>21.872769892332474</v>
      </c>
      <c r="Y366" s="147"/>
      <c r="AC366" s="98"/>
    </row>
    <row r="367" spans="22:29" ht="12.75">
      <c r="V367" s="98">
        <v>363</v>
      </c>
      <c r="W367" s="58">
        <f t="shared" si="11"/>
        <v>32.16666666666649</v>
      </c>
      <c r="X367" s="102">
        <f t="shared" si="10"/>
        <v>21.97116866294087</v>
      </c>
      <c r="Y367" s="147"/>
      <c r="AC367" s="98"/>
    </row>
    <row r="368" spans="22:29" ht="12.75">
      <c r="V368" s="98">
        <v>364</v>
      </c>
      <c r="W368" s="58">
        <f t="shared" si="11"/>
        <v>32.24999999999982</v>
      </c>
      <c r="X368" s="102">
        <f t="shared" si="10"/>
        <v>22.069503996912893</v>
      </c>
      <c r="Y368" s="147"/>
      <c r="AC368" s="98"/>
    </row>
    <row r="369" spans="22:29" ht="12.75">
      <c r="V369" s="98">
        <v>365</v>
      </c>
      <c r="W369" s="58">
        <f t="shared" si="11"/>
        <v>32.33333333333316</v>
      </c>
      <c r="X369" s="102">
        <f t="shared" si="10"/>
        <v>22.167776330085857</v>
      </c>
      <c r="Y369" s="147"/>
      <c r="AC369" s="98"/>
    </row>
    <row r="370" spans="22:29" ht="12.75">
      <c r="V370" s="98">
        <v>366</v>
      </c>
      <c r="W370" s="58">
        <f t="shared" si="11"/>
        <v>32.416666666666494</v>
      </c>
      <c r="X370" s="102">
        <f t="shared" si="10"/>
        <v>22.265986094159764</v>
      </c>
      <c r="Y370" s="147"/>
      <c r="AC370" s="98"/>
    </row>
    <row r="371" spans="22:29" ht="12.75">
      <c r="V371" s="98">
        <v>367</v>
      </c>
      <c r="W371" s="58">
        <f t="shared" si="11"/>
        <v>32.49999999999983</v>
      </c>
      <c r="X371" s="102">
        <f t="shared" si="10"/>
        <v>22.364133716747347</v>
      </c>
      <c r="Y371" s="147"/>
      <c r="AC371" s="98"/>
    </row>
    <row r="372" spans="22:29" ht="12.75">
      <c r="V372" s="98">
        <v>368</v>
      </c>
      <c r="W372" s="58">
        <f t="shared" si="11"/>
        <v>32.583333333333165</v>
      </c>
      <c r="X372" s="102">
        <f t="shared" si="10"/>
        <v>22.46221962142335</v>
      </c>
      <c r="Y372" s="147"/>
      <c r="AC372" s="98"/>
    </row>
    <row r="373" spans="22:29" ht="12.75">
      <c r="V373" s="98">
        <v>369</v>
      </c>
      <c r="W373" s="58">
        <f t="shared" si="11"/>
        <v>32.6666666666665</v>
      </c>
      <c r="X373" s="102">
        <f t="shared" si="10"/>
        <v>22.560244227773083</v>
      </c>
      <c r="Y373" s="147"/>
      <c r="AC373" s="98"/>
    </row>
    <row r="374" spans="22:29" ht="12.75">
      <c r="V374" s="98">
        <v>370</v>
      </c>
      <c r="W374" s="58">
        <f t="shared" si="11"/>
        <v>32.74999999999984</v>
      </c>
      <c r="X374" s="102">
        <f t="shared" si="10"/>
        <v>22.65820795144026</v>
      </c>
      <c r="Y374" s="147"/>
      <c r="AC374" s="98"/>
    </row>
    <row r="375" spans="22:29" ht="12.75">
      <c r="V375" s="98">
        <v>371</v>
      </c>
      <c r="W375" s="58">
        <f t="shared" si="11"/>
        <v>32.83333333333317</v>
      </c>
      <c r="X375" s="102">
        <f t="shared" si="10"/>
        <v>22.75611120417416</v>
      </c>
      <c r="Y375" s="147"/>
      <c r="AC375" s="98"/>
    </row>
    <row r="376" spans="22:29" ht="12.75">
      <c r="V376" s="98">
        <v>372</v>
      </c>
      <c r="W376" s="58">
        <f t="shared" si="11"/>
        <v>32.91666666666651</v>
      </c>
      <c r="X376" s="102">
        <f t="shared" si="10"/>
        <v>22.853954393876123</v>
      </c>
      <c r="Y376" s="147"/>
      <c r="AC376" s="98"/>
    </row>
    <row r="377" spans="22:29" ht="12.75">
      <c r="V377" s="98">
        <v>373</v>
      </c>
      <c r="W377" s="58">
        <f t="shared" si="11"/>
        <v>32.999999999999844</v>
      </c>
      <c r="X377" s="102">
        <f t="shared" si="10"/>
        <v>22.951737924645293</v>
      </c>
      <c r="Y377" s="147"/>
      <c r="AC377" s="98"/>
    </row>
    <row r="378" spans="22:29" ht="12.75">
      <c r="V378" s="98">
        <v>374</v>
      </c>
      <c r="W378" s="58">
        <f t="shared" si="11"/>
        <v>33.08333333333318</v>
      </c>
      <c r="X378" s="102">
        <f t="shared" si="10"/>
        <v>23.049462196823804</v>
      </c>
      <c r="Y378" s="147"/>
      <c r="AC378" s="98"/>
    </row>
    <row r="379" spans="22:29" ht="12.75">
      <c r="V379" s="98">
        <v>375</v>
      </c>
      <c r="W379" s="58">
        <f t="shared" si="11"/>
        <v>33.166666666666515</v>
      </c>
      <c r="X379" s="102">
        <f t="shared" si="10"/>
        <v>23.14712760704124</v>
      </c>
      <c r="Y379" s="147"/>
      <c r="AC379" s="98"/>
    </row>
    <row r="380" spans="22:29" ht="12.75">
      <c r="V380" s="98">
        <v>376</v>
      </c>
      <c r="W380" s="58">
        <f t="shared" si="11"/>
        <v>33.24999999999985</v>
      </c>
      <c r="X380" s="102">
        <f t="shared" si="10"/>
        <v>23.244734548258513</v>
      </c>
      <c r="Y380" s="147"/>
      <c r="AC380" s="98"/>
    </row>
    <row r="381" spans="22:29" ht="12.75">
      <c r="V381" s="98">
        <v>377</v>
      </c>
      <c r="W381" s="58">
        <f t="shared" si="11"/>
        <v>33.33333333333319</v>
      </c>
      <c r="X381" s="102">
        <f t="shared" si="10"/>
        <v>23.342283409811017</v>
      </c>
      <c r="Y381" s="147"/>
      <c r="AC381" s="98"/>
    </row>
    <row r="382" spans="22:29" ht="12.75">
      <c r="V382" s="98">
        <v>378</v>
      </c>
      <c r="W382" s="58">
        <f t="shared" si="11"/>
        <v>33.41666666666652</v>
      </c>
      <c r="X382" s="102">
        <f t="shared" si="10"/>
        <v>23.43977457745131</v>
      </c>
      <c r="Y382" s="147"/>
      <c r="AC382" s="98"/>
    </row>
    <row r="383" spans="22:29" ht="12.75">
      <c r="V383" s="98">
        <v>379</v>
      </c>
      <c r="W383" s="58">
        <f t="shared" si="11"/>
        <v>33.49999999999986</v>
      </c>
      <c r="X383" s="102">
        <f t="shared" si="10"/>
        <v>23.537208433391054</v>
      </c>
      <c r="Y383" s="147"/>
      <c r="AC383" s="98"/>
    </row>
    <row r="384" spans="22:29" ht="12.75">
      <c r="V384" s="98">
        <v>380</v>
      </c>
      <c r="W384" s="58">
        <f t="shared" si="11"/>
        <v>33.583333333333194</v>
      </c>
      <c r="X384" s="102">
        <f t="shared" si="10"/>
        <v>23.634585356342427</v>
      </c>
      <c r="Y384" s="147"/>
      <c r="AC384" s="98"/>
    </row>
    <row r="385" spans="22:29" ht="12.75">
      <c r="V385" s="98">
        <v>381</v>
      </c>
      <c r="W385" s="58">
        <f t="shared" si="11"/>
        <v>33.66666666666653</v>
      </c>
      <c r="X385" s="102">
        <f t="shared" si="10"/>
        <v>23.73190572155894</v>
      </c>
      <c r="Y385" s="147"/>
      <c r="AC385" s="98"/>
    </row>
    <row r="386" spans="22:29" ht="12.75">
      <c r="V386" s="98">
        <v>382</v>
      </c>
      <c r="W386" s="58">
        <f t="shared" si="11"/>
        <v>33.749999999999865</v>
      </c>
      <c r="X386" s="102">
        <f t="shared" si="10"/>
        <v>23.829169900875662</v>
      </c>
      <c r="Y386" s="147"/>
      <c r="AC386" s="98"/>
    </row>
    <row r="387" spans="22:29" ht="12.75">
      <c r="V387" s="98">
        <v>383</v>
      </c>
      <c r="W387" s="58">
        <f t="shared" si="11"/>
        <v>33.8333333333332</v>
      </c>
      <c r="X387" s="102">
        <f t="shared" si="10"/>
        <v>23.926378262748884</v>
      </c>
      <c r="Y387" s="147"/>
      <c r="AC387" s="98"/>
    </row>
    <row r="388" spans="22:29" ht="12.75">
      <c r="V388" s="98">
        <v>384</v>
      </c>
      <c r="W388" s="58">
        <f t="shared" si="11"/>
        <v>33.916666666666536</v>
      </c>
      <c r="X388" s="102">
        <f t="shared" si="10"/>
        <v>24.023531172295243</v>
      </c>
      <c r="Y388" s="147"/>
      <c r="AC388" s="98"/>
    </row>
    <row r="389" spans="22:29" ht="12.75">
      <c r="V389" s="98">
        <v>385</v>
      </c>
      <c r="W389" s="58">
        <f t="shared" si="11"/>
        <v>33.99999999999987</v>
      </c>
      <c r="X389" s="102">
        <f aca="true" t="shared" si="12" ref="X389:X452">$W389-(1.18*$N$4/($D$10*(($N$5*$D$14*$W389)/3))*(1+SQRT(1+1.88*$D$10*(($N$5*$D$14*$W389)/3)*($D$22+$D$11+$D$16)/$N$4)))</f>
        <v>24.120628991330243</v>
      </c>
      <c r="Y389" s="147"/>
      <c r="AC389" s="98"/>
    </row>
    <row r="390" spans="22:29" ht="12.75">
      <c r="V390" s="98">
        <v>386</v>
      </c>
      <c r="W390" s="58">
        <f aca="true" t="shared" si="13" ref="W390:W453">$W389+1/12</f>
        <v>34.08333333333321</v>
      </c>
      <c r="X390" s="102">
        <f t="shared" si="12"/>
        <v>24.21767207840631</v>
      </c>
      <c r="Y390" s="147"/>
      <c r="AC390" s="98"/>
    </row>
    <row r="391" spans="22:29" ht="12.75">
      <c r="V391" s="98">
        <v>387</v>
      </c>
      <c r="W391" s="58">
        <f t="shared" si="13"/>
        <v>34.16666666666654</v>
      </c>
      <c r="X391" s="102">
        <f t="shared" si="12"/>
        <v>24.31466078885026</v>
      </c>
      <c r="Y391" s="147"/>
      <c r="AC391" s="98"/>
    </row>
    <row r="392" spans="22:29" ht="12.75">
      <c r="V392" s="98">
        <v>388</v>
      </c>
      <c r="W392" s="58">
        <f t="shared" si="13"/>
        <v>34.24999999999988</v>
      </c>
      <c r="X392" s="102">
        <f t="shared" si="12"/>
        <v>24.411595474800276</v>
      </c>
      <c r="Y392" s="147"/>
      <c r="AC392" s="98"/>
    </row>
    <row r="393" spans="22:29" ht="12.75">
      <c r="V393" s="98">
        <v>389</v>
      </c>
      <c r="W393" s="58">
        <f t="shared" si="13"/>
        <v>34.333333333333215</v>
      </c>
      <c r="X393" s="102">
        <f t="shared" si="12"/>
        <v>24.50847648524233</v>
      </c>
      <c r="Y393" s="147"/>
      <c r="AC393" s="98"/>
    </row>
    <row r="394" spans="22:29" ht="12.75">
      <c r="V394" s="98">
        <v>390</v>
      </c>
      <c r="W394" s="58">
        <f t="shared" si="13"/>
        <v>34.41666666666655</v>
      </c>
      <c r="X394" s="102">
        <f t="shared" si="12"/>
        <v>24.605304166046153</v>
      </c>
      <c r="Y394" s="147"/>
      <c r="AC394" s="98"/>
    </row>
    <row r="395" spans="22:29" ht="12.75">
      <c r="V395" s="98">
        <v>391</v>
      </c>
      <c r="W395" s="58">
        <f t="shared" si="13"/>
        <v>34.499999999999886</v>
      </c>
      <c r="X395" s="102">
        <f t="shared" si="12"/>
        <v>24.702078860000686</v>
      </c>
      <c r="Y395" s="147"/>
      <c r="AC395" s="98"/>
    </row>
    <row r="396" spans="22:29" ht="12.75">
      <c r="V396" s="98">
        <v>392</v>
      </c>
      <c r="W396" s="58">
        <f t="shared" si="13"/>
        <v>34.58333333333322</v>
      </c>
      <c r="X396" s="102">
        <f t="shared" si="12"/>
        <v>24.79880090684901</v>
      </c>
      <c r="Y396" s="147"/>
      <c r="AC396" s="98"/>
    </row>
    <row r="397" spans="22:29" ht="12.75">
      <c r="V397" s="98">
        <v>393</v>
      </c>
      <c r="W397" s="58">
        <f t="shared" si="13"/>
        <v>34.66666666666656</v>
      </c>
      <c r="X397" s="102">
        <f t="shared" si="12"/>
        <v>24.895470643322852</v>
      </c>
      <c r="Y397" s="147"/>
      <c r="AC397" s="98"/>
    </row>
    <row r="398" spans="22:29" ht="12.75">
      <c r="V398" s="98">
        <v>394</v>
      </c>
      <c r="W398" s="58">
        <f t="shared" si="13"/>
        <v>34.74999999999989</v>
      </c>
      <c r="X398" s="102">
        <f t="shared" si="12"/>
        <v>24.992088403176567</v>
      </c>
      <c r="Y398" s="147"/>
      <c r="AC398" s="98"/>
    </row>
    <row r="399" spans="22:29" ht="12.75">
      <c r="V399" s="98">
        <v>395</v>
      </c>
      <c r="W399" s="58">
        <f t="shared" si="13"/>
        <v>34.83333333333323</v>
      </c>
      <c r="X399" s="102">
        <f t="shared" si="12"/>
        <v>25.088654517220697</v>
      </c>
      <c r="Y399" s="147"/>
      <c r="AC399" s="98"/>
    </row>
    <row r="400" spans="22:29" ht="12.75">
      <c r="V400" s="98">
        <v>396</v>
      </c>
      <c r="W400" s="58">
        <f t="shared" si="13"/>
        <v>34.916666666666565</v>
      </c>
      <c r="X400" s="102">
        <f t="shared" si="12"/>
        <v>25.18516931335502</v>
      </c>
      <c r="Y400" s="147"/>
      <c r="AC400" s="98"/>
    </row>
    <row r="401" spans="22:29" ht="12.75">
      <c r="V401" s="98">
        <v>397</v>
      </c>
      <c r="W401" s="58">
        <f t="shared" si="13"/>
        <v>34.9999999999999</v>
      </c>
      <c r="X401" s="102">
        <f t="shared" si="12"/>
        <v>25.281633116601213</v>
      </c>
      <c r="Y401" s="147"/>
      <c r="AC401" s="98"/>
    </row>
    <row r="402" spans="22:29" ht="12.75">
      <c r="V402" s="98">
        <v>398</v>
      </c>
      <c r="W402" s="58">
        <f t="shared" si="13"/>
        <v>35.083333333333236</v>
      </c>
      <c r="X402" s="102">
        <f t="shared" si="12"/>
        <v>25.378046249135007</v>
      </c>
      <c r="Y402" s="147"/>
      <c r="AC402" s="98"/>
    </row>
    <row r="403" spans="22:29" ht="12.75">
      <c r="V403" s="98">
        <v>399</v>
      </c>
      <c r="W403" s="58">
        <f t="shared" si="13"/>
        <v>35.16666666666657</v>
      </c>
      <c r="X403" s="102">
        <f t="shared" si="12"/>
        <v>25.474409030317958</v>
      </c>
      <c r="Y403" s="147"/>
      <c r="AC403" s="98"/>
    </row>
    <row r="404" spans="22:29" ht="12.75">
      <c r="V404" s="98">
        <v>400</v>
      </c>
      <c r="W404" s="58">
        <f t="shared" si="13"/>
        <v>35.24999999999991</v>
      </c>
      <c r="X404" s="102">
        <f t="shared" si="12"/>
        <v>25.570721776728735</v>
      </c>
      <c r="Y404" s="147"/>
      <c r="AC404" s="98"/>
    </row>
    <row r="405" spans="22:29" ht="12.75">
      <c r="V405" s="98">
        <v>401</v>
      </c>
      <c r="W405" s="58">
        <f t="shared" si="13"/>
        <v>35.33333333333324</v>
      </c>
      <c r="X405" s="102">
        <f t="shared" si="12"/>
        <v>25.666984802194058</v>
      </c>
      <c r="Y405" s="147"/>
      <c r="AC405" s="98"/>
    </row>
    <row r="406" spans="22:29" ht="12.75">
      <c r="V406" s="98">
        <v>402</v>
      </c>
      <c r="W406" s="58">
        <f t="shared" si="13"/>
        <v>35.41666666666658</v>
      </c>
      <c r="X406" s="102">
        <f t="shared" si="12"/>
        <v>25.763198417819122</v>
      </c>
      <c r="Y406" s="147"/>
      <c r="AC406" s="98"/>
    </row>
    <row r="407" spans="22:29" ht="12.75">
      <c r="V407" s="98">
        <v>403</v>
      </c>
      <c r="W407" s="58">
        <f t="shared" si="13"/>
        <v>35.499999999999915</v>
      </c>
      <c r="X407" s="102">
        <f t="shared" si="12"/>
        <v>25.859362932017728</v>
      </c>
      <c r="Y407" s="147"/>
      <c r="AC407" s="98"/>
    </row>
    <row r="408" spans="22:29" ht="12.75">
      <c r="V408" s="98">
        <v>404</v>
      </c>
      <c r="W408" s="58">
        <f t="shared" si="13"/>
        <v>35.58333333333325</v>
      </c>
      <c r="X408" s="102">
        <f t="shared" si="12"/>
        <v>25.9554786505419</v>
      </c>
      <c r="Y408" s="147"/>
      <c r="AC408" s="98"/>
    </row>
    <row r="409" spans="22:29" ht="12.75">
      <c r="V409" s="98">
        <v>405</v>
      </c>
      <c r="W409" s="58">
        <f t="shared" si="13"/>
        <v>35.666666666666586</v>
      </c>
      <c r="X409" s="102">
        <f t="shared" si="12"/>
        <v>26.05154587651117</v>
      </c>
      <c r="Y409" s="147"/>
      <c r="AC409" s="98"/>
    </row>
    <row r="410" spans="22:29" ht="12.75">
      <c r="V410" s="98">
        <v>406</v>
      </c>
      <c r="W410" s="58">
        <f t="shared" si="13"/>
        <v>35.74999999999992</v>
      </c>
      <c r="X410" s="102">
        <f t="shared" si="12"/>
        <v>26.147564910441467</v>
      </c>
      <c r="Y410" s="147"/>
      <c r="AC410" s="98"/>
    </row>
    <row r="411" spans="22:29" ht="12.75">
      <c r="V411" s="98">
        <v>407</v>
      </c>
      <c r="W411" s="58">
        <f t="shared" si="13"/>
        <v>35.83333333333326</v>
      </c>
      <c r="X411" s="102">
        <f t="shared" si="12"/>
        <v>26.243536050273605</v>
      </c>
      <c r="Y411" s="147"/>
      <c r="AC411" s="98"/>
    </row>
    <row r="412" spans="22:29" ht="12.75">
      <c r="V412" s="98">
        <v>408</v>
      </c>
      <c r="W412" s="58">
        <f t="shared" si="13"/>
        <v>35.91666666666659</v>
      </c>
      <c r="X412" s="102">
        <f t="shared" si="12"/>
        <v>26.339459591401383</v>
      </c>
      <c r="Y412" s="147"/>
      <c r="AC412" s="98"/>
    </row>
    <row r="413" spans="22:29" ht="12.75">
      <c r="V413" s="98">
        <v>409</v>
      </c>
      <c r="W413" s="58">
        <f t="shared" si="13"/>
        <v>35.99999999999993</v>
      </c>
      <c r="X413" s="102">
        <f t="shared" si="12"/>
        <v>26.435335826699355</v>
      </c>
      <c r="Y413" s="147"/>
      <c r="AC413" s="98"/>
    </row>
    <row r="414" spans="22:29" ht="12.75">
      <c r="V414" s="98">
        <v>410</v>
      </c>
      <c r="W414" s="58">
        <f t="shared" si="13"/>
        <v>36.083333333333265</v>
      </c>
      <c r="X414" s="102">
        <f t="shared" si="12"/>
        <v>26.531165046550186</v>
      </c>
      <c r="Y414" s="147"/>
      <c r="AC414" s="98"/>
    </row>
    <row r="415" spans="22:29" ht="12.75">
      <c r="V415" s="98">
        <v>411</v>
      </c>
      <c r="W415" s="58">
        <f t="shared" si="13"/>
        <v>36.1666666666666</v>
      </c>
      <c r="X415" s="102">
        <f t="shared" si="12"/>
        <v>26.62694753887169</v>
      </c>
      <c r="Y415" s="147"/>
      <c r="AC415" s="98"/>
    </row>
    <row r="416" spans="22:29" ht="12.75">
      <c r="V416" s="98">
        <v>412</v>
      </c>
      <c r="W416" s="58">
        <f t="shared" si="13"/>
        <v>36.249999999999936</v>
      </c>
      <c r="X416" s="102">
        <f t="shared" si="12"/>
        <v>26.72268358914346</v>
      </c>
      <c r="Y416" s="147"/>
      <c r="AC416" s="98"/>
    </row>
    <row r="417" spans="22:29" ht="12.75">
      <c r="V417" s="98">
        <v>413</v>
      </c>
      <c r="W417" s="58">
        <f t="shared" si="13"/>
        <v>36.33333333333327</v>
      </c>
      <c r="X417" s="102">
        <f t="shared" si="12"/>
        <v>26.8183734804332</v>
      </c>
      <c r="Y417" s="147"/>
      <c r="AC417" s="98"/>
    </row>
    <row r="418" spans="22:29" ht="12.75">
      <c r="V418" s="98">
        <v>414</v>
      </c>
      <c r="W418" s="58">
        <f t="shared" si="13"/>
        <v>36.41666666666661</v>
      </c>
      <c r="X418" s="102">
        <f t="shared" si="12"/>
        <v>26.914017493422683</v>
      </c>
      <c r="Y418" s="147"/>
      <c r="AC418" s="98"/>
    </row>
    <row r="419" spans="22:29" ht="12.75">
      <c r="V419" s="98">
        <v>415</v>
      </c>
      <c r="W419" s="58">
        <f t="shared" si="13"/>
        <v>36.49999999999994</v>
      </c>
      <c r="X419" s="102">
        <f t="shared" si="12"/>
        <v>27.009615906433385</v>
      </c>
      <c r="Y419" s="147"/>
      <c r="AC419" s="98"/>
    </row>
    <row r="420" spans="22:29" ht="12.75">
      <c r="V420" s="98">
        <v>416</v>
      </c>
      <c r="W420" s="58">
        <f t="shared" si="13"/>
        <v>36.58333333333328</v>
      </c>
      <c r="X420" s="102">
        <f t="shared" si="12"/>
        <v>27.10516899545177</v>
      </c>
      <c r="Y420" s="147"/>
      <c r="AC420" s="98"/>
    </row>
    <row r="421" spans="22:29" ht="12.75">
      <c r="V421" s="98">
        <v>417</v>
      </c>
      <c r="W421" s="58">
        <f t="shared" si="13"/>
        <v>36.666666666666615</v>
      </c>
      <c r="X421" s="102">
        <f t="shared" si="12"/>
        <v>27.200677034154253</v>
      </c>
      <c r="Y421" s="147"/>
      <c r="AC421" s="98"/>
    </row>
    <row r="422" spans="22:29" ht="12.75">
      <c r="V422" s="98">
        <v>418</v>
      </c>
      <c r="W422" s="58">
        <f t="shared" si="13"/>
        <v>36.74999999999995</v>
      </c>
      <c r="X422" s="102">
        <f t="shared" si="12"/>
        <v>27.29614029393185</v>
      </c>
      <c r="Y422" s="147"/>
      <c r="AC422" s="98"/>
    </row>
    <row r="423" spans="22:29" ht="12.75">
      <c r="V423" s="98">
        <v>419</v>
      </c>
      <c r="W423" s="58">
        <f t="shared" si="13"/>
        <v>36.833333333333286</v>
      </c>
      <c r="X423" s="102">
        <f t="shared" si="12"/>
        <v>27.391559043914476</v>
      </c>
      <c r="Y423" s="147"/>
      <c r="AC423" s="98"/>
    </row>
    <row r="424" spans="22:29" ht="12.75">
      <c r="V424" s="98">
        <v>420</v>
      </c>
      <c r="W424" s="58">
        <f t="shared" si="13"/>
        <v>36.91666666666662</v>
      </c>
      <c r="X424" s="102">
        <f t="shared" si="12"/>
        <v>27.486933550994976</v>
      </c>
      <c r="Y424" s="147"/>
      <c r="AC424" s="98"/>
    </row>
    <row r="425" spans="22:29" ht="12.75">
      <c r="V425" s="98">
        <v>421</v>
      </c>
      <c r="W425" s="58">
        <f t="shared" si="13"/>
        <v>36.99999999999996</v>
      </c>
      <c r="X425" s="102">
        <f t="shared" si="12"/>
        <v>27.58226407985282</v>
      </c>
      <c r="Y425" s="147"/>
      <c r="AC425" s="98"/>
    </row>
    <row r="426" spans="22:29" ht="12.75">
      <c r="V426" s="98">
        <v>422</v>
      </c>
      <c r="W426" s="58">
        <f t="shared" si="13"/>
        <v>37.08333333333329</v>
      </c>
      <c r="X426" s="102">
        <f t="shared" si="12"/>
        <v>27.677550892977475</v>
      </c>
      <c r="Y426" s="147"/>
      <c r="AC426" s="98"/>
    </row>
    <row r="427" spans="22:29" ht="12.75">
      <c r="V427" s="98">
        <v>423</v>
      </c>
      <c r="W427" s="58">
        <f t="shared" si="13"/>
        <v>37.16666666666663</v>
      </c>
      <c r="X427" s="102">
        <f t="shared" si="12"/>
        <v>27.772794250691526</v>
      </c>
      <c r="Y427" s="147"/>
      <c r="AC427" s="98"/>
    </row>
    <row r="428" spans="22:29" ht="12.75">
      <c r="V428" s="98">
        <v>424</v>
      </c>
      <c r="W428" s="58">
        <f t="shared" si="13"/>
        <v>37.249999999999964</v>
      </c>
      <c r="X428" s="102">
        <f t="shared" si="12"/>
        <v>27.86799441117344</v>
      </c>
      <c r="Y428" s="147"/>
      <c r="AC428" s="98"/>
    </row>
    <row r="429" spans="22:29" ht="12.75">
      <c r="V429" s="98">
        <v>425</v>
      </c>
      <c r="W429" s="58">
        <f t="shared" si="13"/>
        <v>37.3333333333333</v>
      </c>
      <c r="X429" s="102">
        <f t="shared" si="12"/>
        <v>27.963151630480116</v>
      </c>
      <c r="Y429" s="147"/>
      <c r="AC429" s="98"/>
    </row>
    <row r="430" spans="22:29" ht="12.75">
      <c r="V430" s="98">
        <v>426</v>
      </c>
      <c r="W430" s="58">
        <f t="shared" si="13"/>
        <v>37.416666666666636</v>
      </c>
      <c r="X430" s="102">
        <f t="shared" si="12"/>
        <v>28.058266162569048</v>
      </c>
      <c r="Y430" s="147"/>
      <c r="AC430" s="98"/>
    </row>
    <row r="431" spans="22:29" ht="12.75">
      <c r="V431" s="98">
        <v>427</v>
      </c>
      <c r="W431" s="58">
        <f t="shared" si="13"/>
        <v>37.49999999999997</v>
      </c>
      <c r="X431" s="102">
        <f t="shared" si="12"/>
        <v>28.15333825932031</v>
      </c>
      <c r="Y431" s="147"/>
      <c r="AC431" s="98"/>
    </row>
    <row r="432" spans="22:29" ht="12.75">
      <c r="V432" s="98">
        <v>428</v>
      </c>
      <c r="W432" s="58">
        <f t="shared" si="13"/>
        <v>37.58333333333331</v>
      </c>
      <c r="X432" s="102">
        <f t="shared" si="12"/>
        <v>28.2483681705582</v>
      </c>
      <c r="Y432" s="147"/>
      <c r="AC432" s="98"/>
    </row>
    <row r="433" spans="22:29" ht="12.75">
      <c r="V433" s="98">
        <v>429</v>
      </c>
      <c r="W433" s="58">
        <f t="shared" si="13"/>
        <v>37.66666666666664</v>
      </c>
      <c r="X433" s="102">
        <f t="shared" si="12"/>
        <v>28.343356144072615</v>
      </c>
      <c r="Y433" s="147"/>
      <c r="AC433" s="98"/>
    </row>
    <row r="434" spans="22:29" ht="12.75">
      <c r="V434" s="98">
        <v>430</v>
      </c>
      <c r="W434" s="58">
        <f t="shared" si="13"/>
        <v>37.74999999999998</v>
      </c>
      <c r="X434" s="102">
        <f t="shared" si="12"/>
        <v>28.438302425640167</v>
      </c>
      <c r="Y434" s="147"/>
      <c r="AC434" s="98"/>
    </row>
    <row r="435" spans="22:29" ht="12.75">
      <c r="V435" s="98">
        <v>431</v>
      </c>
      <c r="W435" s="58">
        <f t="shared" si="13"/>
        <v>37.833333333333314</v>
      </c>
      <c r="X435" s="102">
        <f t="shared" si="12"/>
        <v>28.53320725904505</v>
      </c>
      <c r="Y435" s="147"/>
      <c r="AC435" s="98"/>
    </row>
    <row r="436" spans="22:29" ht="12.75">
      <c r="V436" s="98">
        <v>432</v>
      </c>
      <c r="W436" s="58">
        <f t="shared" si="13"/>
        <v>37.91666666666665</v>
      </c>
      <c r="X436" s="102">
        <f t="shared" si="12"/>
        <v>28.628070886099593</v>
      </c>
      <c r="Y436" s="147"/>
      <c r="AC436" s="98"/>
    </row>
    <row r="437" spans="22:29" ht="12.75">
      <c r="V437" s="98">
        <v>433</v>
      </c>
      <c r="W437" s="58">
        <f t="shared" si="13"/>
        <v>37.999999999999986</v>
      </c>
      <c r="X437" s="102">
        <f t="shared" si="12"/>
        <v>28.72289354666463</v>
      </c>
      <c r="Y437" s="147"/>
      <c r="AC437" s="98"/>
    </row>
    <row r="438" spans="22:29" ht="12.75">
      <c r="V438" s="98">
        <v>434</v>
      </c>
      <c r="W438" s="58">
        <f t="shared" si="13"/>
        <v>38.08333333333332</v>
      </c>
      <c r="X438" s="102">
        <f t="shared" si="12"/>
        <v>28.817675478669543</v>
      </c>
      <c r="Y438" s="147"/>
      <c r="AC438" s="98"/>
    </row>
    <row r="439" spans="22:29" ht="12.75">
      <c r="V439" s="98">
        <v>435</v>
      </c>
      <c r="W439" s="58">
        <f t="shared" si="13"/>
        <v>38.16666666666666</v>
      </c>
      <c r="X439" s="102">
        <f t="shared" si="12"/>
        <v>28.91241691813209</v>
      </c>
      <c r="Y439" s="147"/>
      <c r="AC439" s="98"/>
    </row>
    <row r="440" spans="22:29" ht="12.75">
      <c r="V440" s="98">
        <v>436</v>
      </c>
      <c r="W440" s="58">
        <f t="shared" si="13"/>
        <v>38.24999999999999</v>
      </c>
      <c r="X440" s="102">
        <f t="shared" si="12"/>
        <v>29.007118099177994</v>
      </c>
      <c r="Y440" s="147"/>
      <c r="AC440" s="98"/>
    </row>
    <row r="441" spans="22:29" ht="12.75">
      <c r="V441" s="98">
        <v>437</v>
      </c>
      <c r="W441" s="58">
        <f t="shared" si="13"/>
        <v>38.33333333333333</v>
      </c>
      <c r="X441" s="102">
        <f t="shared" si="12"/>
        <v>29.10177925406026</v>
      </c>
      <c r="Y441" s="147"/>
      <c r="AC441" s="98"/>
    </row>
    <row r="442" spans="22:29" ht="12.75">
      <c r="V442" s="98">
        <v>438</v>
      </c>
      <c r="W442" s="58">
        <f t="shared" si="13"/>
        <v>38.416666666666664</v>
      </c>
      <c r="X442" s="102">
        <f t="shared" si="12"/>
        <v>29.196400613178284</v>
      </c>
      <c r="Y442" s="147"/>
      <c r="AC442" s="98"/>
    </row>
    <row r="443" spans="22:29" ht="12.75">
      <c r="V443" s="98">
        <v>439</v>
      </c>
      <c r="W443" s="58">
        <f t="shared" si="13"/>
        <v>38.5</v>
      </c>
      <c r="X443" s="102">
        <f t="shared" si="12"/>
        <v>29.290982405096692</v>
      </c>
      <c r="Y443" s="147"/>
      <c r="AC443" s="98"/>
    </row>
    <row r="444" spans="22:29" ht="12.75">
      <c r="V444" s="98">
        <v>440</v>
      </c>
      <c r="W444" s="58">
        <f t="shared" si="13"/>
        <v>38.583333333333336</v>
      </c>
      <c r="X444" s="102">
        <f t="shared" si="12"/>
        <v>29.38552485656399</v>
      </c>
      <c r="Y444" s="147"/>
      <c r="AC444" s="98"/>
    </row>
    <row r="445" spans="22:29" ht="12.75">
      <c r="V445" s="98">
        <v>441</v>
      </c>
      <c r="W445" s="58">
        <f t="shared" si="13"/>
        <v>38.66666666666667</v>
      </c>
      <c r="X445" s="102">
        <f t="shared" si="12"/>
        <v>29.480028192530924</v>
      </c>
      <c r="Y445" s="147"/>
      <c r="AC445" s="98"/>
    </row>
    <row r="446" spans="22:29" ht="12.75">
      <c r="V446" s="98">
        <v>442</v>
      </c>
      <c r="W446" s="58">
        <f t="shared" si="13"/>
        <v>38.75000000000001</v>
      </c>
      <c r="X446" s="102">
        <f t="shared" si="12"/>
        <v>29.57449263616868</v>
      </c>
      <c r="Y446" s="147"/>
      <c r="AC446" s="98"/>
    </row>
    <row r="447" spans="22:29" ht="12.75">
      <c r="V447" s="98">
        <v>443</v>
      </c>
      <c r="W447" s="58">
        <f t="shared" si="13"/>
        <v>38.83333333333334</v>
      </c>
      <c r="X447" s="102">
        <f t="shared" si="12"/>
        <v>29.66891840888681</v>
      </c>
      <c r="Y447" s="147"/>
      <c r="AC447" s="98"/>
    </row>
    <row r="448" spans="22:29" ht="12.75">
      <c r="V448" s="98">
        <v>444</v>
      </c>
      <c r="W448" s="58">
        <f t="shared" si="13"/>
        <v>38.91666666666668</v>
      </c>
      <c r="X448" s="102">
        <f t="shared" si="12"/>
        <v>29.76330573035097</v>
      </c>
      <c r="Y448" s="147"/>
      <c r="AC448" s="98"/>
    </row>
    <row r="449" spans="22:29" ht="12.75">
      <c r="V449" s="98">
        <v>445</v>
      </c>
      <c r="W449" s="58">
        <f t="shared" si="13"/>
        <v>39.000000000000014</v>
      </c>
      <c r="X449" s="102">
        <f t="shared" si="12"/>
        <v>29.85765481850042</v>
      </c>
      <c r="Y449" s="147"/>
      <c r="AC449" s="98"/>
    </row>
    <row r="450" spans="22:29" ht="12.75">
      <c r="V450" s="98">
        <v>446</v>
      </c>
      <c r="W450" s="58">
        <f t="shared" si="13"/>
        <v>39.08333333333335</v>
      </c>
      <c r="X450" s="102">
        <f t="shared" si="12"/>
        <v>29.951965889565322</v>
      </c>
      <c r="Y450" s="147"/>
      <c r="AC450" s="98"/>
    </row>
    <row r="451" spans="22:29" ht="12.75">
      <c r="V451" s="98">
        <v>447</v>
      </c>
      <c r="W451" s="58">
        <f t="shared" si="13"/>
        <v>39.166666666666686</v>
      </c>
      <c r="X451" s="102">
        <f t="shared" si="12"/>
        <v>30.046239158083836</v>
      </c>
      <c r="Y451" s="147"/>
      <c r="AC451" s="98"/>
    </row>
    <row r="452" spans="22:29" ht="12.75">
      <c r="V452" s="98">
        <v>448</v>
      </c>
      <c r="W452" s="58">
        <f t="shared" si="13"/>
        <v>39.25000000000002</v>
      </c>
      <c r="X452" s="102">
        <f t="shared" si="12"/>
        <v>30.14047483691897</v>
      </c>
      <c r="Y452" s="147"/>
      <c r="AC452" s="98"/>
    </row>
    <row r="453" spans="22:29" ht="12.75">
      <c r="V453" s="98">
        <v>449</v>
      </c>
      <c r="W453" s="58">
        <f t="shared" si="13"/>
        <v>39.33333333333336</v>
      </c>
      <c r="X453" s="102">
        <f aca="true" t="shared" si="14" ref="X453:X461">$W453-(1.18*$N$4/($D$10*(($N$5*$D$14*$W453)/3))*(1+SQRT(1+1.88*$D$10*(($N$5*$D$14*$W453)/3)*($D$22+$D$11+$D$16)/$N$4)))</f>
        <v>30.2346731372753</v>
      </c>
      <c r="Y453" s="147"/>
      <c r="AC453" s="98"/>
    </row>
    <row r="454" spans="22:29" ht="12.75">
      <c r="V454" s="98">
        <v>450</v>
      </c>
      <c r="W454" s="58">
        <f aca="true" t="shared" si="15" ref="W454:W461">$W453+1/12</f>
        <v>39.41666666666669</v>
      </c>
      <c r="X454" s="102">
        <f t="shared" si="14"/>
        <v>30.328834268715397</v>
      </c>
      <c r="Y454" s="147"/>
      <c r="AC454" s="98"/>
    </row>
    <row r="455" spans="22:29" ht="12.75">
      <c r="V455" s="98">
        <v>451</v>
      </c>
      <c r="W455" s="58">
        <f t="shared" si="15"/>
        <v>39.50000000000003</v>
      </c>
      <c r="X455" s="102">
        <f t="shared" si="14"/>
        <v>30.42295843917612</v>
      </c>
      <c r="Y455" s="147"/>
      <c r="AC455" s="98"/>
    </row>
    <row r="456" spans="22:29" ht="12.75">
      <c r="V456" s="98">
        <v>452</v>
      </c>
      <c r="W456" s="58">
        <f t="shared" si="15"/>
        <v>39.583333333333364</v>
      </c>
      <c r="X456" s="102">
        <f t="shared" si="14"/>
        <v>30.51704585498471</v>
      </c>
      <c r="Y456" s="147"/>
      <c r="AC456" s="98"/>
    </row>
    <row r="457" spans="22:29" ht="12.75">
      <c r="V457" s="98">
        <v>453</v>
      </c>
      <c r="W457" s="58">
        <f t="shared" si="15"/>
        <v>39.6666666666667</v>
      </c>
      <c r="X457" s="102">
        <f t="shared" si="14"/>
        <v>30.61109672087463</v>
      </c>
      <c r="Y457" s="147"/>
      <c r="AC457" s="98"/>
    </row>
    <row r="458" spans="22:25" ht="12.75">
      <c r="V458" s="98">
        <v>454</v>
      </c>
      <c r="W458" s="58">
        <f t="shared" si="15"/>
        <v>39.750000000000036</v>
      </c>
      <c r="X458" s="102">
        <f t="shared" si="14"/>
        <v>30.705111240001315</v>
      </c>
      <c r="Y458" s="147"/>
    </row>
    <row r="459" spans="22:25" ht="12.75">
      <c r="V459" s="98">
        <v>455</v>
      </c>
      <c r="W459" s="58">
        <f t="shared" si="15"/>
        <v>39.83333333333337</v>
      </c>
      <c r="X459" s="102">
        <f t="shared" si="14"/>
        <v>30.79908961395764</v>
      </c>
      <c r="Y459" s="147"/>
    </row>
    <row r="460" spans="22:25" ht="12.75">
      <c r="V460" s="98">
        <v>456</v>
      </c>
      <c r="W460" s="58">
        <f t="shared" si="15"/>
        <v>39.91666666666671</v>
      </c>
      <c r="X460" s="102">
        <f t="shared" si="14"/>
        <v>30.893032042789248</v>
      </c>
      <c r="Y460" s="147"/>
    </row>
    <row r="461" spans="22:24" ht="12.75">
      <c r="V461" s="98">
        <v>457</v>
      </c>
      <c r="W461" s="58">
        <f t="shared" si="15"/>
        <v>40.00000000000004</v>
      </c>
      <c r="X461" s="102">
        <f t="shared" si="14"/>
        <v>30.986938725009708</v>
      </c>
    </row>
    <row r="462" spans="22:26" ht="12.75">
      <c r="V462" s="104" t="s">
        <v>23</v>
      </c>
      <c r="W462" s="100" t="str">
        <f>"Trial 'L'"</f>
        <v>Trial 'L'</v>
      </c>
      <c r="X462" s="101" t="s">
        <v>24</v>
      </c>
      <c r="Y462" s="62"/>
      <c r="Z462" s="62"/>
    </row>
    <row r="463" spans="22:26" ht="12.75">
      <c r="V463" s="133">
        <f>LOOKUP($W$463,$W$5:$W$461,$V$5:$V$461)</f>
        <v>163</v>
      </c>
      <c r="W463" s="102">
        <f>LOOKUP(0,$X$5:$X$461,$W$5:$W$461)</f>
        <v>15.500000000000043</v>
      </c>
      <c r="X463" s="199">
        <f>LOOKUP($V$463,$V$5:$V$461,$X$5:$X$461)</f>
        <v>-0.1059288961475211</v>
      </c>
      <c r="Y463" s="98" t="s">
        <v>28</v>
      </c>
      <c r="Z463" s="62"/>
    </row>
    <row r="464" spans="22:26" ht="12.75">
      <c r="V464" s="133">
        <f>$V$463+1</f>
        <v>164</v>
      </c>
      <c r="W464" s="102">
        <f>LOOKUP($V$464,$V$5:$V$461,$W$5:$W$461)</f>
        <v>15.583333333333377</v>
      </c>
      <c r="X464" s="199">
        <f>LOOKUP($V$464,$V$5:$V$461,$X$5:$X$461)</f>
        <v>0.027406372107337873</v>
      </c>
      <c r="Y464" s="98" t="s">
        <v>29</v>
      </c>
      <c r="Z464" s="62"/>
    </row>
    <row r="465" spans="22:26" ht="12.75">
      <c r="V465" s="106" t="str">
        <f>"Interpolating between L("&amp;$V$463&amp;") and L("&amp;$V$464&amp;") to find where value = 0:"</f>
        <v>Interpolating between L(163) and L(164) to find where value = 0:</v>
      </c>
      <c r="Z465" s="62"/>
    </row>
    <row r="466" spans="22:26" ht="12.75">
      <c r="V466" s="69" t="s">
        <v>18</v>
      </c>
      <c r="W466" s="102">
        <f>($W$464-$W$463)*(0-$X$463)/($X$464-$X$463)+$W$463</f>
        <v>15.566204599336961</v>
      </c>
      <c r="X466" s="70" t="s">
        <v>3</v>
      </c>
      <c r="Y466" s="62"/>
      <c r="Z466" s="62"/>
    </row>
    <row r="467" spans="22:24" ht="12.75">
      <c r="V467" s="98"/>
      <c r="W467" s="58"/>
      <c r="X467" s="102"/>
    </row>
    <row r="468" spans="22:24" ht="12.75">
      <c r="V468" s="98"/>
      <c r="W468" s="58"/>
      <c r="X468" s="102"/>
    </row>
    <row r="469" spans="22:26" ht="12.75">
      <c r="V469" s="98"/>
      <c r="W469" s="58"/>
      <c r="X469" s="102"/>
      <c r="Y469" s="62"/>
      <c r="Z469" s="62"/>
    </row>
    <row r="470" spans="22:26" ht="12.75">
      <c r="V470" s="98"/>
      <c r="W470" s="58"/>
      <c r="X470" s="102"/>
      <c r="Y470" s="98"/>
      <c r="Z470" s="62"/>
    </row>
    <row r="471" spans="22:26" ht="12.75">
      <c r="V471" s="98"/>
      <c r="W471" s="58"/>
      <c r="X471" s="102"/>
      <c r="Y471" s="98"/>
      <c r="Z471" s="62"/>
    </row>
    <row r="472" spans="22:26" ht="12.75">
      <c r="V472" s="98"/>
      <c r="W472" s="58"/>
      <c r="X472" s="102"/>
      <c r="Z472" s="62"/>
    </row>
    <row r="473" spans="22:26" ht="12.75">
      <c r="V473" s="98"/>
      <c r="W473" s="58"/>
      <c r="X473" s="102"/>
      <c r="Y473" s="62"/>
      <c r="Z473" s="62"/>
    </row>
    <row r="474" spans="22:24" ht="12.75">
      <c r="V474" s="98"/>
      <c r="W474" s="58"/>
      <c r="X474" s="102"/>
    </row>
    <row r="475" spans="22:24" ht="12.75">
      <c r="V475" s="98"/>
      <c r="W475" s="58"/>
      <c r="X475" s="102"/>
    </row>
    <row r="476" spans="22:24" ht="12.75">
      <c r="V476" s="98"/>
      <c r="W476" s="58"/>
      <c r="X476" s="102"/>
    </row>
    <row r="477" spans="22:24" ht="12.75">
      <c r="V477" s="98"/>
      <c r="W477" s="58"/>
      <c r="X477" s="102"/>
    </row>
    <row r="478" spans="22:24" ht="12.75">
      <c r="V478" s="98"/>
      <c r="W478" s="58"/>
      <c r="X478" s="102"/>
    </row>
    <row r="479" spans="22:24" ht="12.75">
      <c r="V479" s="98"/>
      <c r="W479" s="58"/>
      <c r="X479" s="102"/>
    </row>
    <row r="480" spans="22:24" ht="12.75">
      <c r="V480" s="98"/>
      <c r="W480" s="58"/>
      <c r="X480" s="102"/>
    </row>
    <row r="481" spans="22:24" ht="12.75">
      <c r="V481" s="98"/>
      <c r="W481" s="58"/>
      <c r="X481" s="102"/>
    </row>
    <row r="482" spans="22:24" ht="12.75">
      <c r="V482" s="98"/>
      <c r="W482" s="58"/>
      <c r="X482" s="102"/>
    </row>
    <row r="483" spans="22:24" ht="12.75">
      <c r="V483" s="98"/>
      <c r="W483" s="58"/>
      <c r="X483" s="102"/>
    </row>
    <row r="484" spans="22:24" ht="12.75">
      <c r="V484" s="98"/>
      <c r="W484" s="58"/>
      <c r="X484" s="102"/>
    </row>
    <row r="485" spans="22:24" ht="12.75">
      <c r="V485" s="98"/>
      <c r="W485" s="58"/>
      <c r="X485" s="102"/>
    </row>
    <row r="486" spans="22:24" ht="12.75">
      <c r="V486" s="98"/>
      <c r="W486" s="58"/>
      <c r="X486" s="102"/>
    </row>
    <row r="487" spans="22:24" ht="12.75">
      <c r="V487" s="98"/>
      <c r="W487" s="58"/>
      <c r="X487" s="102"/>
    </row>
    <row r="488" spans="22:24" ht="12.75">
      <c r="V488" s="98"/>
      <c r="W488" s="58"/>
      <c r="X488" s="102"/>
    </row>
    <row r="489" spans="22:24" ht="12.75">
      <c r="V489" s="98"/>
      <c r="W489" s="58"/>
      <c r="X489" s="102"/>
    </row>
    <row r="490" spans="22:24" ht="12.75">
      <c r="V490" s="98"/>
      <c r="W490" s="58"/>
      <c r="X490" s="102"/>
    </row>
    <row r="491" spans="22:24" ht="12.75">
      <c r="V491" s="98"/>
      <c r="W491" s="58"/>
      <c r="X491" s="102"/>
    </row>
    <row r="492" spans="22:24" ht="12.75">
      <c r="V492" s="98"/>
      <c r="W492" s="58"/>
      <c r="X492" s="102"/>
    </row>
    <row r="493" spans="22:24" ht="12.75">
      <c r="V493" s="98"/>
      <c r="W493" s="58"/>
      <c r="X493" s="102"/>
    </row>
    <row r="494" spans="22:24" ht="12.75">
      <c r="V494" s="98"/>
      <c r="W494" s="58"/>
      <c r="X494" s="102"/>
    </row>
    <row r="495" spans="22:24" ht="12.75">
      <c r="V495" s="98"/>
      <c r="W495" s="58"/>
      <c r="X495" s="102"/>
    </row>
    <row r="496" spans="22:24" ht="12.75">
      <c r="V496" s="98"/>
      <c r="W496" s="58"/>
      <c r="X496" s="102"/>
    </row>
    <row r="497" spans="22:24" ht="12.75">
      <c r="V497" s="98"/>
      <c r="W497" s="58"/>
      <c r="X497" s="102"/>
    </row>
    <row r="498" spans="22:24" ht="12.75">
      <c r="V498" s="98"/>
      <c r="W498" s="58"/>
      <c r="X498" s="102"/>
    </row>
    <row r="499" spans="22:24" ht="12.75">
      <c r="V499" s="98"/>
      <c r="W499" s="58"/>
      <c r="X499" s="102"/>
    </row>
    <row r="500" spans="22:24" ht="12.75">
      <c r="V500" s="98"/>
      <c r="W500" s="58"/>
      <c r="X500" s="102"/>
    </row>
    <row r="501" spans="22:24" ht="12.75">
      <c r="V501" s="98"/>
      <c r="W501" s="58"/>
      <c r="X501" s="102"/>
    </row>
    <row r="502" spans="22:24" ht="12.75">
      <c r="V502" s="98"/>
      <c r="W502" s="58"/>
      <c r="X502" s="102"/>
    </row>
    <row r="503" spans="22:24" ht="12.75">
      <c r="V503" s="98"/>
      <c r="W503" s="58"/>
      <c r="X503" s="102"/>
    </row>
    <row r="504" spans="22:25" ht="12.75">
      <c r="V504" s="98"/>
      <c r="W504" s="58"/>
      <c r="X504" s="102"/>
      <c r="Y504" s="147"/>
    </row>
  </sheetData>
  <sheetProtection sheet="1" objects="1" scenarios="1"/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2.4</oddHeader>
    <oddFooter>&amp;C&amp;P of &amp;N&amp;R&amp;D  &amp;T</oddFooter>
  </headerFooter>
  <rowBreaks count="3" manualBreakCount="3">
    <brk id="100" max="8" man="1"/>
    <brk id="150" max="8" man="1"/>
    <brk id="200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0" style="96" hidden="1" customWidth="1"/>
    <col min="15" max="15" width="10.140625" style="100" hidden="1" customWidth="1"/>
    <col min="16" max="20" width="0" style="96" hidden="1" customWidth="1"/>
    <col min="21" max="21" width="12.140625" style="96" hidden="1" customWidth="1"/>
    <col min="22" max="22" width="0" style="106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97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51"/>
      <c r="Z1" s="98"/>
      <c r="AA1" s="190" t="s">
        <v>338</v>
      </c>
      <c r="AB1" s="98"/>
      <c r="AC1" s="98"/>
      <c r="AD1" s="62"/>
      <c r="AE1" s="123"/>
      <c r="AF1" s="123"/>
    </row>
    <row r="2" spans="1:32" ht="12.75">
      <c r="A2" s="77" t="s">
        <v>282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5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L3" s="46"/>
      <c r="M3" s="138" t="s">
        <v>154</v>
      </c>
      <c r="Q3" s="98"/>
      <c r="R3" s="98"/>
      <c r="V3" s="70" t="s">
        <v>148</v>
      </c>
      <c r="W3" s="101"/>
      <c r="X3" s="101"/>
      <c r="Z3" s="141"/>
      <c r="AB3" s="140"/>
      <c r="AC3" s="140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133</v>
      </c>
      <c r="G4" s="156"/>
      <c r="H4" s="157"/>
      <c r="I4" s="158"/>
      <c r="J4" s="50"/>
      <c r="K4" s="102"/>
      <c r="L4" s="70"/>
      <c r="M4" s="128" t="s">
        <v>155</v>
      </c>
      <c r="N4" s="204">
        <f>28.5+$D$15/4</f>
        <v>30.5</v>
      </c>
      <c r="O4" s="106" t="s">
        <v>98</v>
      </c>
      <c r="P4" s="205" t="s">
        <v>156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46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132</v>
      </c>
      <c r="G5" s="191"/>
      <c r="H5" s="155" t="s">
        <v>131</v>
      </c>
      <c r="I5" s="191"/>
      <c r="J5" s="50"/>
      <c r="K5" s="102"/>
      <c r="L5" s="70"/>
      <c r="M5" s="69" t="s">
        <v>89</v>
      </c>
      <c r="N5" s="41">
        <f>(TAN(PI()/180*(45+$N$4/2)))^2</f>
        <v>3.0612300524038805</v>
      </c>
      <c r="P5" s="206" t="s">
        <v>157</v>
      </c>
      <c r="V5" s="98">
        <v>1</v>
      </c>
      <c r="W5" s="58">
        <f>2</f>
        <v>2</v>
      </c>
      <c r="X5" s="203">
        <f aca="true" t="shared" si="0" ref="X5:X46">$W5^3-2*$N$7*$W5/($N$5*$D$14*$D$10)-2*$N$8/($N$5*$D$14*$D$10)</f>
        <v>-1343.627155044266</v>
      </c>
      <c r="Y5" s="147"/>
      <c r="Z5" s="117"/>
      <c r="AB5" s="146"/>
      <c r="AC5" s="46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148" t="s">
        <v>59</v>
      </c>
      <c r="N6" s="73"/>
      <c r="O6" s="70"/>
      <c r="P6" s="70"/>
      <c r="V6" s="98">
        <v>2</v>
      </c>
      <c r="W6" s="58">
        <f aca="true" t="shared" si="1" ref="W6:W46">$W5+1/12</f>
        <v>2.0833333333333335</v>
      </c>
      <c r="X6" s="203">
        <f t="shared" si="0"/>
        <v>-1346.2628066944242</v>
      </c>
      <c r="Y6" s="147"/>
      <c r="Z6" s="117"/>
      <c r="AB6" s="124"/>
      <c r="AC6" s="46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104" t="s">
        <v>19</v>
      </c>
      <c r="N7" s="105">
        <f>$D$21*$D$24</f>
        <v>20.266</v>
      </c>
      <c r="O7" s="106" t="s">
        <v>7</v>
      </c>
      <c r="P7" s="96" t="s">
        <v>152</v>
      </c>
      <c r="U7" s="102"/>
      <c r="V7" s="98">
        <v>3</v>
      </c>
      <c r="W7" s="58">
        <f t="shared" si="1"/>
        <v>2.166666666666667</v>
      </c>
      <c r="X7" s="203">
        <f t="shared" si="0"/>
        <v>-1348.811652789027</v>
      </c>
      <c r="Y7" s="147"/>
      <c r="Z7" s="117"/>
      <c r="AB7" s="124"/>
      <c r="AC7" s="46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"/>
      <c r="G8" s="2"/>
      <c r="H8" s="2"/>
      <c r="I8" s="227"/>
      <c r="J8" s="46"/>
      <c r="K8" s="108"/>
      <c r="L8" s="70"/>
      <c r="M8" s="104" t="s">
        <v>12</v>
      </c>
      <c r="N8" s="105">
        <f>($D$23+$D$21*($D$22+$D$11+$D$16))*$D$24</f>
        <v>580.11425</v>
      </c>
      <c r="O8" s="106" t="s">
        <v>9</v>
      </c>
      <c r="P8" s="106" t="s">
        <v>153</v>
      </c>
      <c r="V8" s="98">
        <v>4</v>
      </c>
      <c r="W8" s="58">
        <f t="shared" si="1"/>
        <v>2.2500000000000004</v>
      </c>
      <c r="X8" s="203">
        <f t="shared" si="0"/>
        <v>-1351.2702211058518</v>
      </c>
      <c r="Y8" s="147"/>
      <c r="Z8" s="117"/>
      <c r="AB8" s="125"/>
      <c r="AC8" s="46"/>
      <c r="AD8" s="46"/>
      <c r="AE8" s="46"/>
      <c r="AF8" s="46"/>
    </row>
    <row r="9" spans="1:32" ht="12.75">
      <c r="A9" s="151" t="s">
        <v>109</v>
      </c>
      <c r="B9" s="50"/>
      <c r="C9" s="50"/>
      <c r="D9" s="50"/>
      <c r="E9" s="50"/>
      <c r="F9" s="288"/>
      <c r="G9" s="81" t="str">
        <f>"Pv="&amp;$D$20&amp;" k"</f>
        <v>Pv=3 k</v>
      </c>
      <c r="H9" s="6"/>
      <c r="I9" s="14"/>
      <c r="J9" s="46"/>
      <c r="K9" s="108"/>
      <c r="L9" s="51"/>
      <c r="M9" s="272" t="s">
        <v>171</v>
      </c>
      <c r="N9" s="105">
        <f>$N$8/$N$7</f>
        <v>28.625</v>
      </c>
      <c r="O9" s="51" t="s">
        <v>3</v>
      </c>
      <c r="P9" s="207" t="s">
        <v>172</v>
      </c>
      <c r="V9" s="98">
        <v>5</v>
      </c>
      <c r="W9" s="58">
        <f t="shared" si="1"/>
        <v>2.333333333333334</v>
      </c>
      <c r="X9" s="203">
        <f t="shared" si="0"/>
        <v>-1353.6350394226768</v>
      </c>
      <c r="Y9" s="147"/>
      <c r="Z9" s="117"/>
      <c r="AB9" s="125"/>
      <c r="AC9" s="46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288"/>
      <c r="G10" s="6"/>
      <c r="H10" s="6"/>
      <c r="I10" s="14"/>
      <c r="J10" s="36"/>
      <c r="L10" s="70"/>
      <c r="M10" s="104" t="s">
        <v>18</v>
      </c>
      <c r="N10" s="73">
        <f>ROUND($W$469,3)</f>
        <v>12.165</v>
      </c>
      <c r="O10" s="106" t="s">
        <v>3</v>
      </c>
      <c r="P10" s="51" t="s">
        <v>160</v>
      </c>
      <c r="V10" s="98">
        <v>6</v>
      </c>
      <c r="W10" s="58">
        <f t="shared" si="1"/>
        <v>2.4166666666666674</v>
      </c>
      <c r="X10" s="203">
        <f t="shared" si="0"/>
        <v>-1355.9026355172794</v>
      </c>
      <c r="Y10" s="147"/>
      <c r="Z10" s="117"/>
      <c r="AB10" s="125"/>
      <c r="AC10" s="126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31</v>
      </c>
      <c r="N11" s="105">
        <f>$D$11+$D$16+$N$10</f>
        <v>12.165</v>
      </c>
      <c r="O11" s="106" t="s">
        <v>3</v>
      </c>
      <c r="P11" s="51" t="s">
        <v>84</v>
      </c>
      <c r="T11" s="102"/>
      <c r="V11" s="98">
        <v>7</v>
      </c>
      <c r="W11" s="58">
        <f t="shared" si="1"/>
        <v>2.500000000000001</v>
      </c>
      <c r="X11" s="203">
        <f t="shared" si="0"/>
        <v>-1358.0695371674376</v>
      </c>
      <c r="Y11" s="147"/>
      <c r="Z11" s="117"/>
      <c r="AB11" s="125"/>
      <c r="AC11" s="126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138" t="s">
        <v>62</v>
      </c>
      <c r="N12" s="108"/>
      <c r="O12" s="106"/>
      <c r="P12" s="106"/>
      <c r="T12" s="98"/>
      <c r="V12" s="98">
        <v>8</v>
      </c>
      <c r="W12" s="58">
        <f t="shared" si="1"/>
        <v>2.5833333333333344</v>
      </c>
      <c r="X12" s="203">
        <f t="shared" si="0"/>
        <v>-1360.1322721509293</v>
      </c>
      <c r="Y12" s="147"/>
      <c r="Z12" s="117"/>
      <c r="AB12" s="125"/>
      <c r="AC12" s="126"/>
      <c r="AD12" s="46"/>
      <c r="AE12" s="46"/>
      <c r="AF12" s="46"/>
    </row>
    <row r="13" spans="1:32" ht="12.75">
      <c r="A13" s="151" t="s">
        <v>110</v>
      </c>
      <c r="B13" s="10"/>
      <c r="C13" s="48"/>
      <c r="D13" s="36"/>
      <c r="E13" s="67"/>
      <c r="F13" s="6"/>
      <c r="G13" s="6"/>
      <c r="H13" s="6"/>
      <c r="I13" s="14"/>
      <c r="K13" s="103"/>
      <c r="L13" s="70"/>
      <c r="M13" s="104" t="s">
        <v>14</v>
      </c>
      <c r="N13" s="105">
        <f>PI()*$D$10^2/4</f>
        <v>4.908738521234052</v>
      </c>
      <c r="O13" s="106" t="s">
        <v>15</v>
      </c>
      <c r="P13" s="96" t="s">
        <v>51</v>
      </c>
      <c r="V13" s="98">
        <v>9</v>
      </c>
      <c r="W13" s="58">
        <f t="shared" si="1"/>
        <v>2.666666666666668</v>
      </c>
      <c r="X13" s="203">
        <f t="shared" si="0"/>
        <v>-1362.087368245532</v>
      </c>
      <c r="Y13" s="147"/>
      <c r="Z13" s="117"/>
      <c r="AB13" s="125"/>
      <c r="AC13" s="126"/>
      <c r="AD13" s="46"/>
      <c r="AE13" s="46"/>
      <c r="AF13" s="46"/>
    </row>
    <row r="14" spans="1:32" ht="12.75">
      <c r="A14" s="63"/>
      <c r="B14" s="10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69" t="s">
        <v>57</v>
      </c>
      <c r="N14" s="73">
        <f>$N$13*$N$11*0.15</f>
        <v>8.957220616621836</v>
      </c>
      <c r="O14" s="70" t="s">
        <v>7</v>
      </c>
      <c r="P14" s="70" t="s">
        <v>81</v>
      </c>
      <c r="Q14" s="98"/>
      <c r="T14" s="102"/>
      <c r="V14" s="98">
        <v>10</v>
      </c>
      <c r="W14" s="58">
        <f t="shared" si="1"/>
        <v>2.7500000000000013</v>
      </c>
      <c r="X14" s="203">
        <f t="shared" si="0"/>
        <v>-1363.9313532290234</v>
      </c>
      <c r="Y14" s="147"/>
      <c r="Z14" s="117"/>
      <c r="AB14" s="125"/>
      <c r="AC14" s="127"/>
      <c r="AD14" s="46"/>
      <c r="AE14" s="46"/>
      <c r="AF14" s="46"/>
    </row>
    <row r="15" spans="1:32" ht="12.75">
      <c r="A15" s="7"/>
      <c r="B15" s="12"/>
      <c r="C15" s="208" t="s">
        <v>150</v>
      </c>
      <c r="D15" s="219">
        <v>8</v>
      </c>
      <c r="E15" s="67"/>
      <c r="F15" s="82" t="str">
        <f>"           H="&amp;$D$22&amp;"'"</f>
        <v>           H=28.625'</v>
      </c>
      <c r="G15" s="82"/>
      <c r="H15" s="6"/>
      <c r="I15" s="252" t="s">
        <v>252</v>
      </c>
      <c r="K15" s="109"/>
      <c r="L15" s="69"/>
      <c r="M15" s="128" t="s">
        <v>65</v>
      </c>
      <c r="N15" s="38">
        <f>$D$20+$N$14</f>
        <v>11.957220616621836</v>
      </c>
      <c r="O15" s="51" t="s">
        <v>7</v>
      </c>
      <c r="P15" s="135" t="s">
        <v>162</v>
      </c>
      <c r="V15" s="98">
        <v>11</v>
      </c>
      <c r="W15" s="58">
        <f t="shared" si="1"/>
        <v>2.833333333333335</v>
      </c>
      <c r="X15" s="203">
        <f t="shared" si="0"/>
        <v>-1365.6607548791817</v>
      </c>
      <c r="Y15" s="147"/>
      <c r="Z15" s="117"/>
      <c r="AB15" s="46"/>
      <c r="AC15" s="110"/>
      <c r="AD15" s="46"/>
      <c r="AE15" s="46"/>
      <c r="AF15" s="46"/>
    </row>
    <row r="16" spans="1:32" ht="12.75">
      <c r="A16" s="63"/>
      <c r="B16" s="10"/>
      <c r="C16" s="12" t="s">
        <v>127</v>
      </c>
      <c r="D16" s="165">
        <v>0</v>
      </c>
      <c r="E16" s="64" t="s">
        <v>3</v>
      </c>
      <c r="F16" s="6"/>
      <c r="G16" s="6"/>
      <c r="H16" s="6"/>
      <c r="I16" s="252" t="s">
        <v>253</v>
      </c>
      <c r="K16" s="103"/>
      <c r="M16" s="104" t="s">
        <v>50</v>
      </c>
      <c r="N16" s="108">
        <f>$N$15/$N$13</f>
        <v>2.435904981472878</v>
      </c>
      <c r="O16" s="106" t="s">
        <v>13</v>
      </c>
      <c r="P16" s="106" t="s">
        <v>66</v>
      </c>
      <c r="V16" s="98">
        <v>12</v>
      </c>
      <c r="W16" s="58">
        <f t="shared" si="1"/>
        <v>2.9166666666666683</v>
      </c>
      <c r="X16" s="203">
        <f t="shared" si="0"/>
        <v>-1367.2721009737845</v>
      </c>
      <c r="Y16" s="147"/>
      <c r="Z16" s="117"/>
      <c r="AB16" s="125"/>
      <c r="AC16" s="128"/>
      <c r="AD16" s="61"/>
      <c r="AE16" s="46"/>
      <c r="AF16" s="46"/>
    </row>
    <row r="17" spans="1:32" ht="12.75">
      <c r="A17" s="9"/>
      <c r="B17" s="12"/>
      <c r="C17" s="48" t="s">
        <v>128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148" t="s">
        <v>286</v>
      </c>
      <c r="V17" s="98">
        <v>13</v>
      </c>
      <c r="W17" s="58">
        <f t="shared" si="1"/>
        <v>3.0000000000000018</v>
      </c>
      <c r="X17" s="203">
        <f t="shared" si="0"/>
        <v>-1368.7619192906093</v>
      </c>
      <c r="Y17" s="147"/>
      <c r="Z17" s="117"/>
      <c r="AB17" s="125"/>
      <c r="AC17" s="46"/>
      <c r="AD17" s="61"/>
      <c r="AE17" s="46"/>
      <c r="AF17" s="46"/>
    </row>
    <row r="18" spans="1:32" ht="12.75">
      <c r="A18" s="63"/>
      <c r="B18" s="10"/>
      <c r="C18" s="10"/>
      <c r="D18" s="10"/>
      <c r="E18" s="67"/>
      <c r="F18" s="6"/>
      <c r="G18" s="6"/>
      <c r="H18" s="6"/>
      <c r="I18" s="85" t="str">
        <f>"  h2="&amp;$D$16&amp;"'"</f>
        <v>  h2=0'</v>
      </c>
      <c r="K18" s="100"/>
      <c r="L18" s="69"/>
      <c r="M18" s="71" t="s">
        <v>33</v>
      </c>
      <c r="N18" s="105">
        <f>$N$7*($N$9+0.54*SQRT($N$7/($D$14*$D$10*$N$5)))</f>
        <v>631.5230191390168</v>
      </c>
      <c r="O18" s="51" t="s">
        <v>9</v>
      </c>
      <c r="P18" s="96" t="s">
        <v>287</v>
      </c>
      <c r="V18" s="98">
        <v>14</v>
      </c>
      <c r="W18" s="58">
        <f t="shared" si="1"/>
        <v>3.0833333333333353</v>
      </c>
      <c r="X18" s="203">
        <f t="shared" si="0"/>
        <v>-1370.1267376074343</v>
      </c>
      <c r="Y18" s="147"/>
      <c r="Z18" s="117"/>
      <c r="AB18" s="125"/>
      <c r="AC18" s="51"/>
      <c r="AD18" s="61"/>
      <c r="AE18" s="46"/>
      <c r="AF18" s="46"/>
    </row>
    <row r="19" spans="1:32" ht="12.75">
      <c r="A19" s="152" t="s">
        <v>111</v>
      </c>
      <c r="B19" s="12"/>
      <c r="C19" s="12"/>
      <c r="D19" s="41"/>
      <c r="E19" s="66"/>
      <c r="F19" s="6"/>
      <c r="G19" s="6"/>
      <c r="H19" s="6"/>
      <c r="I19" s="14"/>
      <c r="K19" s="100"/>
      <c r="L19" s="105"/>
      <c r="M19" s="71" t="s">
        <v>285</v>
      </c>
      <c r="N19" s="105">
        <f>SQRT(2*$N$7/(3*$D$14*$D$10*$N$5))</f>
        <v>3.8355688081579844</v>
      </c>
      <c r="O19" s="51" t="s">
        <v>3</v>
      </c>
      <c r="P19" s="96" t="s">
        <v>293</v>
      </c>
      <c r="V19" s="98">
        <v>15</v>
      </c>
      <c r="W19" s="58">
        <f t="shared" si="1"/>
        <v>3.1666666666666687</v>
      </c>
      <c r="X19" s="203">
        <f t="shared" si="0"/>
        <v>-1371.3630837020369</v>
      </c>
      <c r="Y19" s="147"/>
      <c r="Z19" s="117"/>
      <c r="AB19" s="60"/>
      <c r="AC19" s="129"/>
      <c r="AD19" s="60"/>
      <c r="AE19" s="46"/>
      <c r="AF19" s="46"/>
    </row>
    <row r="20" spans="1:32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71"/>
      <c r="M20" s="51"/>
      <c r="N20" s="50"/>
      <c r="O20" s="50"/>
      <c r="P20" s="108"/>
      <c r="V20" s="98">
        <v>16</v>
      </c>
      <c r="W20" s="58">
        <f t="shared" si="1"/>
        <v>3.250000000000002</v>
      </c>
      <c r="X20" s="203">
        <f t="shared" si="0"/>
        <v>-1372.4674853521951</v>
      </c>
      <c r="Y20" s="147"/>
      <c r="Z20" s="117"/>
      <c r="AB20" s="60"/>
      <c r="AC20" s="130"/>
      <c r="AD20" s="60"/>
      <c r="AE20" s="46"/>
      <c r="AF20" s="46"/>
    </row>
    <row r="21" spans="1:32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91</v>
      </c>
      <c r="G21" s="6"/>
      <c r="H21" s="6"/>
      <c r="I21" s="14"/>
      <c r="K21" s="100"/>
      <c r="L21" s="71"/>
      <c r="M21" s="71"/>
      <c r="N21" s="105"/>
      <c r="O21" s="51"/>
      <c r="P21" s="283"/>
      <c r="V21" s="98">
        <v>17</v>
      </c>
      <c r="W21" s="58">
        <f t="shared" si="1"/>
        <v>3.3333333333333357</v>
      </c>
      <c r="X21" s="203">
        <f t="shared" si="0"/>
        <v>-1373.4364703356869</v>
      </c>
      <c r="Y21" s="147"/>
      <c r="Z21" s="117"/>
      <c r="AB21" s="60"/>
      <c r="AC21" s="71"/>
      <c r="AD21" s="60"/>
      <c r="AE21" s="46"/>
      <c r="AF21" s="46"/>
    </row>
    <row r="22" spans="1:32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92</v>
      </c>
      <c r="G22" s="18"/>
      <c r="H22" s="82" t="str">
        <f>"  L="&amp;ROUND($N$10,2)&amp;"'"</f>
        <v>  L=12.17'</v>
      </c>
      <c r="I22" s="14"/>
      <c r="K22" s="103"/>
      <c r="L22" s="69"/>
      <c r="M22" s="104"/>
      <c r="O22" s="106"/>
      <c r="P22" s="108"/>
      <c r="V22" s="98">
        <v>18</v>
      </c>
      <c r="W22" s="58">
        <f t="shared" si="1"/>
        <v>3.416666666666669</v>
      </c>
      <c r="X22" s="203">
        <f t="shared" si="0"/>
        <v>-1374.2665664302895</v>
      </c>
      <c r="Y22" s="147"/>
      <c r="Z22" s="117"/>
      <c r="AB22" s="46"/>
      <c r="AC22" s="46"/>
      <c r="AD22" s="46"/>
      <c r="AE22" s="46"/>
      <c r="AF22" s="46"/>
    </row>
    <row r="23" spans="1:32" ht="12.75">
      <c r="A23" s="7"/>
      <c r="B23" s="6"/>
      <c r="C23" s="48" t="s">
        <v>10</v>
      </c>
      <c r="D23" s="165">
        <v>0</v>
      </c>
      <c r="E23" s="67" t="s">
        <v>9</v>
      </c>
      <c r="F23" s="6"/>
      <c r="G23" s="6"/>
      <c r="H23" s="6"/>
      <c r="I23" s="14"/>
      <c r="K23" s="100"/>
      <c r="L23" s="69"/>
      <c r="M23" s="69"/>
      <c r="N23" s="102"/>
      <c r="O23" s="106"/>
      <c r="P23" s="108"/>
      <c r="V23" s="98">
        <v>19</v>
      </c>
      <c r="W23" s="58">
        <f t="shared" si="1"/>
        <v>3.5000000000000027</v>
      </c>
      <c r="X23" s="203">
        <f t="shared" si="0"/>
        <v>-1374.954301413781</v>
      </c>
      <c r="Y23" s="147"/>
      <c r="Z23" s="117"/>
      <c r="AB23" s="60"/>
      <c r="AC23" s="110"/>
      <c r="AD23" s="46"/>
      <c r="AE23" s="46"/>
      <c r="AF23" s="46"/>
    </row>
    <row r="24" spans="1:32" ht="12.75">
      <c r="A24" s="63"/>
      <c r="B24" s="10"/>
      <c r="C24" s="208" t="s">
        <v>151</v>
      </c>
      <c r="D24" s="166">
        <v>2</v>
      </c>
      <c r="E24" s="67"/>
      <c r="F24" s="143" t="s">
        <v>93</v>
      </c>
      <c r="G24" s="6"/>
      <c r="H24" s="6"/>
      <c r="I24" s="14"/>
      <c r="J24" s="46"/>
      <c r="K24" s="100"/>
      <c r="L24" s="69"/>
      <c r="M24" s="50"/>
      <c r="P24" s="108"/>
      <c r="V24" s="98">
        <v>20</v>
      </c>
      <c r="W24" s="58">
        <f t="shared" si="1"/>
        <v>3.583333333333336</v>
      </c>
      <c r="X24" s="203">
        <f t="shared" si="0"/>
        <v>-1375.4962030639392</v>
      </c>
      <c r="Y24" s="147"/>
      <c r="Z24" s="117"/>
      <c r="AB24" s="62"/>
      <c r="AC24" s="62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207"/>
      <c r="N25" s="73"/>
      <c r="O25" s="70"/>
      <c r="P25" s="108"/>
      <c r="V25" s="98">
        <v>21</v>
      </c>
      <c r="W25" s="58">
        <f t="shared" si="1"/>
        <v>3.6666666666666696</v>
      </c>
      <c r="X25" s="203">
        <f t="shared" si="0"/>
        <v>-1375.888799158542</v>
      </c>
      <c r="Y25" s="147"/>
      <c r="Z25" s="117"/>
      <c r="AB25" s="62"/>
      <c r="AC25" s="62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>
        <v>22</v>
      </c>
      <c r="W26" s="58">
        <f t="shared" si="1"/>
        <v>3.750000000000003</v>
      </c>
      <c r="X26" s="203">
        <f t="shared" si="0"/>
        <v>-1376.1286174753668</v>
      </c>
      <c r="Y26" s="147"/>
      <c r="Z26" s="117"/>
      <c r="AB26" s="62"/>
      <c r="AC26" s="62"/>
      <c r="AD26" s="62"/>
      <c r="AE26" s="123"/>
      <c r="AF26" s="123"/>
    </row>
    <row r="27" spans="1:32" ht="12.75">
      <c r="A27" s="63"/>
      <c r="B27" s="10"/>
      <c r="C27" s="48"/>
      <c r="D27" s="10"/>
      <c r="E27" s="10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>
        <v>23</v>
      </c>
      <c r="W27" s="58">
        <f t="shared" si="1"/>
        <v>3.8333333333333366</v>
      </c>
      <c r="X27" s="203">
        <f t="shared" si="0"/>
        <v>-1376.2121857921918</v>
      </c>
      <c r="Y27" s="147"/>
      <c r="Z27" s="117"/>
      <c r="AB27" s="62"/>
      <c r="AC27" s="62"/>
      <c r="AD27" s="62"/>
      <c r="AE27" s="123"/>
      <c r="AF27" s="123"/>
    </row>
    <row r="28" spans="1:32" ht="12.75">
      <c r="A28" s="63"/>
      <c r="B28" s="10"/>
      <c r="C28" s="10"/>
      <c r="D28" s="10"/>
      <c r="E28" s="6"/>
      <c r="F28" s="86" t="s">
        <v>279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>
        <v>24</v>
      </c>
      <c r="W28" s="58">
        <f t="shared" si="1"/>
        <v>3.91666666666667</v>
      </c>
      <c r="X28" s="203">
        <f t="shared" si="0"/>
        <v>-1376.1360318867944</v>
      </c>
      <c r="Y28" s="147"/>
      <c r="Z28" s="117"/>
      <c r="AB28" s="62"/>
      <c r="AC28" s="62"/>
      <c r="AD28" s="62"/>
      <c r="AE28" s="123"/>
      <c r="AF28" s="123"/>
    </row>
    <row r="29" spans="1:32" ht="12.75">
      <c r="A29" s="31" t="s">
        <v>179</v>
      </c>
      <c r="B29" s="10"/>
      <c r="C29" s="10"/>
      <c r="D29" s="10"/>
      <c r="E29" s="10"/>
      <c r="F29" s="10"/>
      <c r="G29" s="10"/>
      <c r="H29" s="10"/>
      <c r="I29" s="11"/>
      <c r="J29" s="46"/>
      <c r="K29" s="100"/>
      <c r="L29" s="71"/>
      <c r="M29" s="50"/>
      <c r="V29" s="98">
        <v>25</v>
      </c>
      <c r="W29" s="58">
        <f t="shared" si="1"/>
        <v>4.0000000000000036</v>
      </c>
      <c r="X29" s="203">
        <f t="shared" si="0"/>
        <v>-1375.8966835369527</v>
      </c>
      <c r="Y29" s="147"/>
      <c r="Z29" s="117"/>
      <c r="AB29" s="62"/>
      <c r="AC29" s="62"/>
      <c r="AD29" s="62"/>
      <c r="AE29" s="123"/>
      <c r="AF29" s="123"/>
    </row>
    <row r="30" spans="1:32" ht="13.5" customHeight="1">
      <c r="A30" s="63"/>
      <c r="B30" s="10"/>
      <c r="C30" s="10"/>
      <c r="D30" s="10"/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>
        <v>26</v>
      </c>
      <c r="W30" s="58">
        <f t="shared" si="1"/>
        <v>4.083333333333337</v>
      </c>
      <c r="X30" s="203">
        <f t="shared" si="0"/>
        <v>-1375.4906685204442</v>
      </c>
      <c r="Y30" s="147"/>
      <c r="Z30" s="117"/>
      <c r="AB30" s="62"/>
      <c r="AC30" s="62"/>
      <c r="AD30" s="62"/>
      <c r="AE30" s="123"/>
      <c r="AF30" s="123"/>
    </row>
    <row r="31" spans="1:32" ht="13.5" customHeight="1">
      <c r="A31" s="153" t="s">
        <v>173</v>
      </c>
      <c r="B31" s="28"/>
      <c r="C31" s="209"/>
      <c r="D31" s="28"/>
      <c r="E31" s="6"/>
      <c r="F31" s="6"/>
      <c r="G31" s="6"/>
      <c r="H31" s="6"/>
      <c r="I31" s="14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203">
        <f t="shared" si="0"/>
        <v>-1374.914514615047</v>
      </c>
      <c r="Y31" s="147"/>
      <c r="Z31" s="117"/>
      <c r="AB31" s="62"/>
      <c r="AC31" s="62"/>
      <c r="AD31" s="62"/>
      <c r="AE31" s="123"/>
      <c r="AF31" s="123"/>
    </row>
    <row r="32" spans="1:32" ht="12.75">
      <c r="A32" s="93" t="s">
        <v>163</v>
      </c>
      <c r="B32" s="215">
        <f>$N$4</f>
        <v>30.5</v>
      </c>
      <c r="C32" s="66" t="s">
        <v>98</v>
      </c>
      <c r="D32" s="210" t="s">
        <v>164</v>
      </c>
      <c r="E32" s="6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203">
        <f t="shared" si="0"/>
        <v>-1374.1647495985385</v>
      </c>
      <c r="Y32" s="147"/>
      <c r="Z32" s="117"/>
      <c r="AB32" s="62"/>
      <c r="AC32" s="62"/>
      <c r="AD32" s="62"/>
      <c r="AE32" s="123"/>
      <c r="AF32" s="123"/>
    </row>
    <row r="33" spans="1:32" ht="12.75">
      <c r="A33" s="21" t="s">
        <v>89</v>
      </c>
      <c r="B33" s="171">
        <f>$N$5</f>
        <v>3.0612300524038805</v>
      </c>
      <c r="C33" s="209"/>
      <c r="D33" s="201" t="s">
        <v>165</v>
      </c>
      <c r="E33" s="10"/>
      <c r="F33" s="28"/>
      <c r="G33" s="28"/>
      <c r="H33" s="28"/>
      <c r="I33" s="90"/>
      <c r="J33" s="46"/>
      <c r="K33" s="100"/>
      <c r="L33" s="69"/>
      <c r="U33" s="98"/>
      <c r="V33" s="98">
        <v>29</v>
      </c>
      <c r="W33" s="58">
        <f t="shared" si="1"/>
        <v>4.333333333333336</v>
      </c>
      <c r="X33" s="203">
        <f t="shared" si="0"/>
        <v>-1373.2379012486967</v>
      </c>
      <c r="Y33" s="147"/>
      <c r="Z33" s="117"/>
      <c r="AB33" s="62"/>
      <c r="AC33" s="62"/>
      <c r="AD33" s="62"/>
      <c r="AE33" s="123"/>
      <c r="AF33" s="123"/>
    </row>
    <row r="34" spans="1:32" ht="12.75">
      <c r="A34" s="63"/>
      <c r="B34" s="10"/>
      <c r="C34" s="10"/>
      <c r="D34" s="10"/>
      <c r="E34" s="10"/>
      <c r="F34" s="10"/>
      <c r="G34" s="28"/>
      <c r="H34" s="28"/>
      <c r="I34" s="90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203">
        <f t="shared" si="0"/>
        <v>-1372.1304973432993</v>
      </c>
      <c r="Y34" s="147"/>
      <c r="Z34" s="117"/>
      <c r="AB34" s="62"/>
      <c r="AC34" s="62"/>
      <c r="AD34" s="62"/>
      <c r="AE34" s="123"/>
      <c r="AF34" s="123"/>
    </row>
    <row r="35" spans="1:32" ht="12.75">
      <c r="A35" s="153" t="s">
        <v>114</v>
      </c>
      <c r="B35" s="17"/>
      <c r="C35" s="18"/>
      <c r="D35" s="18"/>
      <c r="E35" s="28"/>
      <c r="F35" s="28"/>
      <c r="G35" s="19"/>
      <c r="H35" s="19"/>
      <c r="I35" s="14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203">
        <f t="shared" si="0"/>
        <v>-1370.8390656601243</v>
      </c>
      <c r="Y35" s="147"/>
      <c r="Z35" s="117"/>
      <c r="AB35" s="62"/>
      <c r="AC35" s="62"/>
      <c r="AD35" s="62"/>
      <c r="AE35" s="123"/>
      <c r="AF35" s="123"/>
    </row>
    <row r="36" spans="1:32" ht="12.75" customHeight="1">
      <c r="A36" s="91" t="s">
        <v>19</v>
      </c>
      <c r="B36" s="172">
        <f>$N$7</f>
        <v>20.266</v>
      </c>
      <c r="C36" s="66" t="s">
        <v>7</v>
      </c>
      <c r="D36" s="28" t="str">
        <f>$P$7</f>
        <v>Ho = Ph*OLF</v>
      </c>
      <c r="E36" s="6"/>
      <c r="F36" s="19"/>
      <c r="G36" s="19"/>
      <c r="H36" s="19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203">
        <f t="shared" si="0"/>
        <v>-1369.3601339769493</v>
      </c>
      <c r="Y36" s="147"/>
      <c r="Z36" s="117"/>
      <c r="AB36" s="62"/>
      <c r="AC36" s="62"/>
      <c r="AD36" s="62"/>
      <c r="AE36" s="123"/>
      <c r="AF36" s="123"/>
    </row>
    <row r="37" spans="1:32" ht="12.75" customHeight="1">
      <c r="A37" s="91" t="s">
        <v>12</v>
      </c>
      <c r="B37" s="170">
        <f>$N$8</f>
        <v>580.11425</v>
      </c>
      <c r="C37" s="66" t="s">
        <v>9</v>
      </c>
      <c r="D37" s="26" t="str">
        <f>$P$8</f>
        <v>Mo = (M+Ph*(H+h1+h2))*OLF</v>
      </c>
      <c r="E37" s="6"/>
      <c r="F37" s="19"/>
      <c r="G37" s="20"/>
      <c r="H37" s="30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203">
        <f t="shared" si="0"/>
        <v>-1367.690230071552</v>
      </c>
      <c r="Y37" s="147"/>
      <c r="Z37" s="117"/>
      <c r="AB37" s="62"/>
      <c r="AC37" s="62"/>
      <c r="AD37" s="62"/>
      <c r="AE37" s="123"/>
      <c r="AF37" s="123"/>
    </row>
    <row r="38" spans="1:32" ht="12.75" customHeight="1">
      <c r="A38" s="222" t="s">
        <v>171</v>
      </c>
      <c r="B38" s="273">
        <f>$N$9</f>
        <v>28.625</v>
      </c>
      <c r="C38" s="66" t="s">
        <v>3</v>
      </c>
      <c r="D38" s="28" t="str">
        <f>$P$9</f>
        <v>Heff = Mo/Ho</v>
      </c>
      <c r="E38" s="19"/>
      <c r="F38" s="10"/>
      <c r="G38" s="10"/>
      <c r="H38" s="10"/>
      <c r="I38" s="11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203">
        <f t="shared" si="0"/>
        <v>-1365.8258817217102</v>
      </c>
      <c r="Y38" s="147"/>
      <c r="Z38" s="117"/>
      <c r="AB38" s="62"/>
      <c r="AC38" s="62"/>
      <c r="AD38" s="62"/>
      <c r="AE38" s="123"/>
      <c r="AF38" s="123"/>
    </row>
    <row r="39" spans="1:32" ht="12.75" customHeight="1">
      <c r="A39" s="91" t="s">
        <v>18</v>
      </c>
      <c r="B39" s="170">
        <f>$N$10</f>
        <v>12.165</v>
      </c>
      <c r="C39" s="66" t="s">
        <v>3</v>
      </c>
      <c r="D39" s="18" t="s">
        <v>283</v>
      </c>
      <c r="E39" s="6"/>
      <c r="F39" s="19"/>
      <c r="G39" s="28"/>
      <c r="H39" s="28"/>
      <c r="I39" s="90"/>
      <c r="K39" s="100"/>
      <c r="L39" s="71"/>
      <c r="V39" s="98">
        <v>35</v>
      </c>
      <c r="W39" s="58">
        <f t="shared" si="1"/>
        <v>4.833333333333334</v>
      </c>
      <c r="X39" s="203">
        <f t="shared" si="0"/>
        <v>-1363.763616705202</v>
      </c>
      <c r="Y39" s="147"/>
      <c r="Z39" s="117"/>
      <c r="AB39" s="62"/>
      <c r="AC39" s="62"/>
      <c r="AD39" s="62"/>
      <c r="AE39" s="123"/>
      <c r="AF39" s="123"/>
    </row>
    <row r="40" spans="1:32" ht="12.75" customHeight="1">
      <c r="A40" s="91" t="s">
        <v>31</v>
      </c>
      <c r="B40" s="173">
        <f>$N$11</f>
        <v>12.165</v>
      </c>
      <c r="C40" s="66" t="s">
        <v>3</v>
      </c>
      <c r="D40" s="18" t="str">
        <f>$P$11</f>
        <v>Lt = h1+h2+L  (total length)</v>
      </c>
      <c r="E40" s="28"/>
      <c r="F40" s="28"/>
      <c r="G40" s="19"/>
      <c r="H40" s="28"/>
      <c r="I40" s="14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203">
        <f t="shared" si="0"/>
        <v>-1361.4999627998045</v>
      </c>
      <c r="Y40" s="147"/>
      <c r="Z40" s="117"/>
      <c r="AB40" s="62"/>
      <c r="AC40" s="62"/>
      <c r="AD40" s="62"/>
      <c r="AE40" s="123"/>
      <c r="AF40" s="123"/>
    </row>
    <row r="41" spans="1:32" ht="12.75" customHeight="1">
      <c r="A41" s="63"/>
      <c r="B41" s="10"/>
      <c r="C41" s="10"/>
      <c r="D41" s="10"/>
      <c r="E41" s="6"/>
      <c r="F41" s="19"/>
      <c r="G41" s="19"/>
      <c r="H41" s="19"/>
      <c r="I41" s="14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203">
        <f t="shared" si="0"/>
        <v>-1359.031447783296</v>
      </c>
      <c r="Y41" s="147"/>
      <c r="Z41" s="117"/>
      <c r="AB41" s="62"/>
      <c r="AC41" s="62"/>
      <c r="AD41" s="62"/>
      <c r="AE41" s="123"/>
      <c r="AF41" s="123"/>
    </row>
    <row r="42" spans="1:32" ht="12.75">
      <c r="A42" s="153" t="s">
        <v>116</v>
      </c>
      <c r="B42" s="113"/>
      <c r="C42" s="26"/>
      <c r="D42" s="26"/>
      <c r="E42" s="28"/>
      <c r="F42" s="19"/>
      <c r="G42" s="28"/>
      <c r="H42" s="28"/>
      <c r="I42" s="90"/>
      <c r="J42" s="46"/>
      <c r="K42" s="100"/>
      <c r="M42" s="148"/>
      <c r="N42" s="98"/>
      <c r="O42" s="101"/>
      <c r="P42" s="144"/>
      <c r="V42" s="98">
        <v>38</v>
      </c>
      <c r="W42" s="58">
        <f t="shared" si="1"/>
        <v>5.083333333333333</v>
      </c>
      <c r="X42" s="203">
        <f t="shared" si="0"/>
        <v>-1356.3545994334543</v>
      </c>
      <c r="Y42" s="147"/>
      <c r="Z42" s="117"/>
      <c r="AB42" s="62"/>
      <c r="AC42" s="62"/>
      <c r="AD42" s="62"/>
      <c r="AE42" s="123"/>
      <c r="AF42" s="123"/>
    </row>
    <row r="43" spans="1:32" ht="12.75">
      <c r="A43" s="91" t="s">
        <v>14</v>
      </c>
      <c r="B43" s="172">
        <f>$N$13</f>
        <v>4.908738521234052</v>
      </c>
      <c r="C43" s="66" t="s">
        <v>15</v>
      </c>
      <c r="D43" s="28" t="s">
        <v>60</v>
      </c>
      <c r="E43" s="28"/>
      <c r="F43" s="28"/>
      <c r="G43" s="19"/>
      <c r="H43" s="19"/>
      <c r="I43" s="14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1"/>
        <v>5.166666666666666</v>
      </c>
      <c r="X43" s="203">
        <f t="shared" si="0"/>
        <v>-1353.465945528057</v>
      </c>
      <c r="Y43" s="147"/>
      <c r="Z43" s="117"/>
      <c r="AB43" s="62"/>
      <c r="AC43" s="62"/>
      <c r="AD43" s="62"/>
      <c r="AE43" s="123"/>
      <c r="AF43" s="123"/>
    </row>
    <row r="44" spans="1:32" ht="12.75" customHeight="1">
      <c r="A44" s="21" t="s">
        <v>57</v>
      </c>
      <c r="B44" s="170">
        <f>$N$14</f>
        <v>8.957220616621836</v>
      </c>
      <c r="C44" s="66" t="s">
        <v>7</v>
      </c>
      <c r="D44" s="18" t="str">
        <f>$P$14</f>
        <v>Wf = (Af*Lt)*0.150  (pier weight)</v>
      </c>
      <c r="E44" s="28"/>
      <c r="F44" s="19"/>
      <c r="G44" s="19"/>
      <c r="H44" s="30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1"/>
        <v>5.249999999999999</v>
      </c>
      <c r="X44" s="203">
        <f t="shared" si="0"/>
        <v>-1350.3620138448819</v>
      </c>
      <c r="Y44" s="147"/>
      <c r="Z44" s="117"/>
      <c r="AB44" s="62"/>
      <c r="AC44" s="62"/>
      <c r="AD44" s="62"/>
      <c r="AE44" s="123"/>
      <c r="AF44" s="123"/>
    </row>
    <row r="45" spans="1:32" ht="12.75">
      <c r="A45" s="93" t="s">
        <v>64</v>
      </c>
      <c r="B45" s="170">
        <f>$N$15</f>
        <v>11.957220616621836</v>
      </c>
      <c r="C45" s="66" t="s">
        <v>7</v>
      </c>
      <c r="D45" s="136" t="s">
        <v>161</v>
      </c>
      <c r="E45" s="28"/>
      <c r="F45" s="19"/>
      <c r="G45" s="20"/>
      <c r="H45" s="19"/>
      <c r="I45" s="14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1"/>
        <v>5.333333333333332</v>
      </c>
      <c r="X45" s="203">
        <f t="shared" si="0"/>
        <v>-1347.0393321617069</v>
      </c>
      <c r="Y45" s="147"/>
      <c r="Z45" s="117"/>
      <c r="AB45" s="62"/>
      <c r="AC45" s="62"/>
      <c r="AD45" s="62"/>
      <c r="AE45" s="123"/>
      <c r="AF45" s="123"/>
    </row>
    <row r="46" spans="1:32" ht="12.75">
      <c r="A46" s="91" t="s">
        <v>50</v>
      </c>
      <c r="B46" s="171">
        <f>$N$16</f>
        <v>2.435904981472878</v>
      </c>
      <c r="C46" s="66" t="s">
        <v>13</v>
      </c>
      <c r="D46" s="26" t="s">
        <v>67</v>
      </c>
      <c r="E46" s="19"/>
      <c r="F46" s="19"/>
      <c r="G46" s="20"/>
      <c r="H46" s="30"/>
      <c r="I46" s="14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1"/>
        <v>5.416666666666665</v>
      </c>
      <c r="X46" s="203">
        <f t="shared" si="0"/>
        <v>-1343.4944282563097</v>
      </c>
      <c r="Y46" s="147"/>
      <c r="Z46" s="117"/>
      <c r="AB46" s="62"/>
      <c r="AC46" s="62"/>
      <c r="AD46" s="62"/>
      <c r="AE46" s="123"/>
      <c r="AF46" s="123"/>
    </row>
    <row r="47" spans="1:32" ht="12.75">
      <c r="A47" s="63"/>
      <c r="B47" s="10"/>
      <c r="C47" s="10"/>
      <c r="D47" s="10"/>
      <c r="E47" s="10"/>
      <c r="F47" s="10"/>
      <c r="G47" s="10"/>
      <c r="H47" s="10"/>
      <c r="I47" s="11"/>
      <c r="J47" s="46"/>
      <c r="K47" s="100"/>
      <c r="L47" s="69"/>
      <c r="M47" s="69"/>
      <c r="N47" s="102"/>
      <c r="O47" s="70"/>
      <c r="P47" s="51"/>
      <c r="V47" s="98"/>
      <c r="W47" s="58"/>
      <c r="X47" s="203"/>
      <c r="Y47" s="147"/>
      <c r="Z47" s="117"/>
      <c r="AB47" s="62"/>
      <c r="AC47" s="62"/>
      <c r="AD47" s="62"/>
      <c r="AE47" s="123"/>
      <c r="AF47" s="123"/>
    </row>
    <row r="48" spans="1:32" ht="12.75">
      <c r="A48" s="153" t="s">
        <v>284</v>
      </c>
      <c r="B48" s="26"/>
      <c r="C48" s="66"/>
      <c r="D48" s="28"/>
      <c r="E48" s="19"/>
      <c r="F48" s="19"/>
      <c r="G48" s="134"/>
      <c r="H48" s="19"/>
      <c r="I48" s="14"/>
      <c r="J48" s="46"/>
      <c r="K48" s="100"/>
      <c r="L48" s="69"/>
      <c r="M48" s="69"/>
      <c r="N48" s="102"/>
      <c r="O48" s="70"/>
      <c r="P48" s="51"/>
      <c r="V48" s="98"/>
      <c r="W48" s="58"/>
      <c r="X48" s="203"/>
      <c r="Y48" s="147"/>
      <c r="Z48" s="117"/>
      <c r="AB48" s="62"/>
      <c r="AC48" s="62"/>
      <c r="AD48" s="62"/>
      <c r="AE48" s="123"/>
      <c r="AF48" s="123"/>
    </row>
    <row r="49" spans="1:32" ht="12.75">
      <c r="A49" s="91" t="s">
        <v>33</v>
      </c>
      <c r="B49" s="273">
        <f>$N$18</f>
        <v>631.5230191390168</v>
      </c>
      <c r="C49" s="66" t="s">
        <v>9</v>
      </c>
      <c r="D49" s="28" t="s">
        <v>288</v>
      </c>
      <c r="E49" s="10"/>
      <c r="F49" s="19"/>
      <c r="G49" s="134"/>
      <c r="H49" s="19"/>
      <c r="I49" s="14"/>
      <c r="J49" s="46"/>
      <c r="K49" s="100"/>
      <c r="L49" s="69"/>
      <c r="M49" s="69"/>
      <c r="N49" s="102"/>
      <c r="O49" s="70"/>
      <c r="P49" s="51"/>
      <c r="V49" s="98">
        <v>43</v>
      </c>
      <c r="W49" s="58">
        <f>$W46+1/12</f>
        <v>5.499999999999998</v>
      </c>
      <c r="X49" s="203">
        <f aca="true" t="shared" si="2" ref="X49:X95">$W49^3-2*$N$7*$W49/($N$5*$D$14*$D$10)-2*$N$8/($N$5*$D$14*$D$10)</f>
        <v>-1339.723829906468</v>
      </c>
      <c r="Y49" s="147"/>
      <c r="Z49" s="117"/>
      <c r="AB49" s="62"/>
      <c r="AC49" s="62"/>
      <c r="AD49" s="62"/>
      <c r="AE49" s="123"/>
      <c r="AF49" s="123"/>
    </row>
    <row r="50" spans="1:32" ht="12.75" customHeight="1">
      <c r="A50" s="91" t="s">
        <v>285</v>
      </c>
      <c r="B50" s="274">
        <f>$N$19</f>
        <v>3.8355688081579844</v>
      </c>
      <c r="C50" s="66" t="s">
        <v>3</v>
      </c>
      <c r="D50" s="28" t="s">
        <v>294</v>
      </c>
      <c r="E50" s="19"/>
      <c r="F50" s="19"/>
      <c r="G50" s="134"/>
      <c r="H50" s="19"/>
      <c r="I50" s="14"/>
      <c r="J50" s="46"/>
      <c r="K50" s="100"/>
      <c r="L50" s="71"/>
      <c r="M50" s="69"/>
      <c r="N50" s="73"/>
      <c r="O50" s="70"/>
      <c r="P50" s="51"/>
      <c r="V50" s="98">
        <v>44</v>
      </c>
      <c r="W50" s="58">
        <f aca="true" t="shared" si="3" ref="W50:W95">$W49+1/12</f>
        <v>5.583333333333331</v>
      </c>
      <c r="X50" s="203">
        <f t="shared" si="2"/>
        <v>-1335.7240648899594</v>
      </c>
      <c r="Y50" s="147"/>
      <c r="Z50" s="117"/>
      <c r="AB50" s="62"/>
      <c r="AC50" s="62"/>
      <c r="AD50" s="62"/>
      <c r="AE50" s="123"/>
      <c r="AF50" s="123"/>
    </row>
    <row r="51" spans="1:32" ht="12.75">
      <c r="A51" s="91"/>
      <c r="B51" s="47"/>
      <c r="C51" s="66"/>
      <c r="D51" s="284"/>
      <c r="E51" s="19"/>
      <c r="F51" s="19"/>
      <c r="G51" s="19"/>
      <c r="H51" s="19"/>
      <c r="I51" s="14"/>
      <c r="K51" s="100"/>
      <c r="L51" s="69"/>
      <c r="M51" s="148"/>
      <c r="N51" s="70"/>
      <c r="O51" s="145"/>
      <c r="P51" s="145"/>
      <c r="V51" s="98">
        <v>45</v>
      </c>
      <c r="W51" s="58">
        <f t="shared" si="3"/>
        <v>5.666666666666664</v>
      </c>
      <c r="X51" s="203">
        <f t="shared" si="2"/>
        <v>-1331.4916609845623</v>
      </c>
      <c r="Y51" s="147"/>
      <c r="Z51" s="117"/>
      <c r="AB51" s="62"/>
      <c r="AC51" s="62"/>
      <c r="AD51" s="62"/>
      <c r="AE51" s="123"/>
      <c r="AF51" s="123"/>
    </row>
    <row r="52" spans="1:32" ht="12.75">
      <c r="A52" s="262"/>
      <c r="B52" s="263"/>
      <c r="C52" s="263"/>
      <c r="D52" s="263"/>
      <c r="E52" s="263"/>
      <c r="F52" s="263"/>
      <c r="G52" s="263"/>
      <c r="H52" s="24"/>
      <c r="I52" s="25" t="s">
        <v>54</v>
      </c>
      <c r="K52" s="100"/>
      <c r="M52" s="69"/>
      <c r="N52" s="101"/>
      <c r="O52" s="70"/>
      <c r="P52" s="51"/>
      <c r="V52" s="98">
        <v>46</v>
      </c>
      <c r="W52" s="58">
        <f t="shared" si="3"/>
        <v>5.749999999999997</v>
      </c>
      <c r="X52" s="203">
        <f t="shared" si="2"/>
        <v>-1327.0231459680538</v>
      </c>
      <c r="Y52" s="147"/>
      <c r="Z52" s="117"/>
      <c r="AB52" s="62"/>
      <c r="AC52" s="62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J53" s="46"/>
      <c r="K53" s="100"/>
      <c r="M53" s="69"/>
      <c r="N53" s="102"/>
      <c r="O53" s="70"/>
      <c r="P53" s="51"/>
      <c r="V53" s="98">
        <v>47</v>
      </c>
      <c r="W53" s="58">
        <f t="shared" si="3"/>
        <v>5.83333333333333</v>
      </c>
      <c r="X53" s="203">
        <f t="shared" si="2"/>
        <v>-1322.315047618212</v>
      </c>
      <c r="Y53" s="147"/>
      <c r="Z53" s="117"/>
      <c r="AB53" s="62"/>
      <c r="AC53" s="62"/>
      <c r="AD53" s="62"/>
      <c r="AE53" s="123"/>
      <c r="AF53" s="123"/>
    </row>
    <row r="54" spans="1:32" ht="12.75">
      <c r="A54" s="151"/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102"/>
      <c r="O54" s="70"/>
      <c r="P54" s="51"/>
      <c r="V54" s="98">
        <v>48</v>
      </c>
      <c r="W54" s="58">
        <f t="shared" si="3"/>
        <v>5.916666666666663</v>
      </c>
      <c r="X54" s="203">
        <f t="shared" si="2"/>
        <v>-1317.3638937128148</v>
      </c>
      <c r="Y54" s="147"/>
      <c r="Z54" s="117"/>
      <c r="AB54" s="62"/>
      <c r="AC54" s="62"/>
      <c r="AD54" s="62"/>
      <c r="AE54" s="123"/>
      <c r="AF54" s="123"/>
    </row>
    <row r="55" spans="1:32" ht="12.75">
      <c r="A55" s="247" t="s">
        <v>226</v>
      </c>
      <c r="B55" s="260"/>
      <c r="C55" s="260"/>
      <c r="D55" s="260"/>
      <c r="E55" s="260"/>
      <c r="F55" s="260"/>
      <c r="G55" s="260"/>
      <c r="H55" s="260"/>
      <c r="I55" s="261"/>
      <c r="K55" s="100"/>
      <c r="M55" s="69"/>
      <c r="N55" s="102"/>
      <c r="O55" s="70"/>
      <c r="P55" s="51"/>
      <c r="V55" s="98">
        <v>49</v>
      </c>
      <c r="W55" s="58">
        <f t="shared" si="3"/>
        <v>5.9999999999999964</v>
      </c>
      <c r="X55" s="203">
        <f t="shared" si="2"/>
        <v>-1312.1662120296396</v>
      </c>
      <c r="Y55" s="147"/>
      <c r="Z55" s="117"/>
      <c r="AB55" s="62"/>
      <c r="AC55" s="62"/>
      <c r="AD55" s="62"/>
      <c r="AE55" s="123"/>
      <c r="AF55" s="123"/>
    </row>
    <row r="56" spans="1:32" ht="12.75">
      <c r="A56" s="63"/>
      <c r="B56" s="37" t="s">
        <v>166</v>
      </c>
      <c r="C56" s="26" t="s">
        <v>175</v>
      </c>
      <c r="D56" s="10"/>
      <c r="E56" s="10"/>
      <c r="F56" s="10"/>
      <c r="G56" s="10"/>
      <c r="H56" s="10"/>
      <c r="I56" s="11"/>
      <c r="K56" s="100"/>
      <c r="M56" s="69"/>
      <c r="N56" s="73"/>
      <c r="O56" s="70"/>
      <c r="P56" s="70"/>
      <c r="V56" s="98">
        <v>50</v>
      </c>
      <c r="W56" s="58">
        <f t="shared" si="3"/>
        <v>6.0833333333333295</v>
      </c>
      <c r="X56" s="203">
        <f t="shared" si="2"/>
        <v>-1306.7185303464646</v>
      </c>
      <c r="Y56" s="147"/>
      <c r="Z56" s="117"/>
      <c r="AB56" s="62"/>
      <c r="AC56" s="62"/>
      <c r="AD56" s="62"/>
      <c r="AE56" s="123"/>
      <c r="AF56" s="123"/>
    </row>
    <row r="57" spans="1:32" ht="12.75">
      <c r="A57" s="21"/>
      <c r="B57" s="38"/>
      <c r="C57" s="26" t="s">
        <v>258</v>
      </c>
      <c r="D57" s="10"/>
      <c r="E57" s="10"/>
      <c r="F57" s="46"/>
      <c r="G57" s="28"/>
      <c r="H57" s="28"/>
      <c r="I57" s="90"/>
      <c r="K57" s="100"/>
      <c r="V57" s="98">
        <v>51</v>
      </c>
      <c r="W57" s="58">
        <f t="shared" si="3"/>
        <v>6.1666666666666625</v>
      </c>
      <c r="X57" s="203">
        <f t="shared" si="2"/>
        <v>-1301.0173764410674</v>
      </c>
      <c r="Y57" s="147"/>
      <c r="Z57" s="117"/>
      <c r="AB57" s="62"/>
      <c r="AC57" s="62"/>
      <c r="AD57" s="62"/>
      <c r="AE57" s="123"/>
      <c r="AF57" s="123"/>
    </row>
    <row r="58" spans="1:32" ht="12.75">
      <c r="A58" s="63"/>
      <c r="B58" s="10"/>
      <c r="C58" s="10"/>
      <c r="D58" s="10"/>
      <c r="E58" s="10"/>
      <c r="F58" s="10"/>
      <c r="G58" s="10"/>
      <c r="H58" s="10"/>
      <c r="I58" s="11"/>
      <c r="K58" s="100"/>
      <c r="V58" s="98">
        <v>52</v>
      </c>
      <c r="W58" s="58">
        <f t="shared" si="3"/>
        <v>6.249999999999996</v>
      </c>
      <c r="X58" s="203">
        <f t="shared" si="2"/>
        <v>-1295.0592780912257</v>
      </c>
      <c r="Y58" s="147"/>
      <c r="Z58" s="117"/>
      <c r="AB58" s="62"/>
      <c r="AC58" s="62"/>
      <c r="AD58" s="62"/>
      <c r="AE58" s="123"/>
      <c r="AF58" s="123"/>
    </row>
    <row r="59" spans="1:32" ht="12.75">
      <c r="A59" s="7"/>
      <c r="B59" s="10"/>
      <c r="C59" s="10"/>
      <c r="D59" s="81"/>
      <c r="E59" s="10"/>
      <c r="F59" s="256" t="s">
        <v>256</v>
      </c>
      <c r="G59" s="10"/>
      <c r="H59" s="10"/>
      <c r="I59" s="11"/>
      <c r="K59" s="100"/>
      <c r="V59" s="98">
        <v>53</v>
      </c>
      <c r="W59" s="58">
        <f t="shared" si="3"/>
        <v>6.333333333333329</v>
      </c>
      <c r="X59" s="203">
        <f t="shared" si="2"/>
        <v>-1288.8407630747172</v>
      </c>
      <c r="Y59" s="147"/>
      <c r="Z59" s="117"/>
      <c r="AB59" s="62"/>
      <c r="AC59" s="62"/>
      <c r="AD59" s="62"/>
      <c r="AE59" s="123"/>
      <c r="AF59" s="123"/>
    </row>
    <row r="60" spans="1:32" ht="12.75">
      <c r="A60" s="21"/>
      <c r="B60" s="38"/>
      <c r="C60" s="10"/>
      <c r="D60" s="10"/>
      <c r="E60" s="10"/>
      <c r="F60" s="257" t="s">
        <v>270</v>
      </c>
      <c r="G60" s="28"/>
      <c r="H60" s="28"/>
      <c r="I60" s="90"/>
      <c r="K60" s="100"/>
      <c r="V60" s="98">
        <v>54</v>
      </c>
      <c r="W60" s="58">
        <f t="shared" si="3"/>
        <v>6.416666666666662</v>
      </c>
      <c r="X60" s="203">
        <f t="shared" si="2"/>
        <v>-1282.35835916932</v>
      </c>
      <c r="Y60" s="147"/>
      <c r="Z60" s="117"/>
      <c r="AB60" s="62"/>
      <c r="AC60" s="62"/>
      <c r="AD60" s="62"/>
      <c r="AE60" s="123"/>
      <c r="AF60" s="123"/>
    </row>
    <row r="61" spans="1:32" ht="12.75">
      <c r="A61" s="21"/>
      <c r="B61" s="10"/>
      <c r="C61" s="82"/>
      <c r="D61" s="82" t="s">
        <v>268</v>
      </c>
      <c r="E61" s="10"/>
      <c r="F61" s="10"/>
      <c r="G61" s="10"/>
      <c r="H61" s="43"/>
      <c r="I61" s="90"/>
      <c r="K61" s="100"/>
      <c r="V61" s="98">
        <v>55</v>
      </c>
      <c r="W61" s="58">
        <f t="shared" si="3"/>
        <v>6.499999999999995</v>
      </c>
      <c r="X61" s="203">
        <f t="shared" si="2"/>
        <v>-1275.6085941528115</v>
      </c>
      <c r="Y61" s="147"/>
      <c r="Z61" s="117"/>
      <c r="AB61" s="62"/>
      <c r="AC61" s="62"/>
      <c r="AD61" s="62"/>
      <c r="AE61" s="123"/>
      <c r="AF61" s="123"/>
    </row>
    <row r="62" spans="1:32" ht="12.75">
      <c r="A62" s="63"/>
      <c r="B62" s="10"/>
      <c r="C62" s="10"/>
      <c r="D62" s="10"/>
      <c r="E62" s="10"/>
      <c r="F62" s="10"/>
      <c r="G62" s="10"/>
      <c r="H62" s="10"/>
      <c r="I62" s="11"/>
      <c r="K62" s="100"/>
      <c r="N62" s="107"/>
      <c r="V62" s="98">
        <v>56</v>
      </c>
      <c r="W62" s="58">
        <f t="shared" si="3"/>
        <v>6.583333333333328</v>
      </c>
      <c r="X62" s="203">
        <f t="shared" si="2"/>
        <v>-1268.58799580297</v>
      </c>
      <c r="Y62" s="147"/>
      <c r="Z62" s="117"/>
      <c r="AB62" s="62"/>
      <c r="AC62" s="62"/>
      <c r="AD62" s="62"/>
      <c r="AE62" s="123"/>
      <c r="AF62" s="123"/>
    </row>
    <row r="63" spans="1:32" ht="12.75">
      <c r="A63" s="7"/>
      <c r="B63" s="38"/>
      <c r="C63" s="81"/>
      <c r="D63" s="10"/>
      <c r="E63" s="10"/>
      <c r="F63" s="10"/>
      <c r="G63" s="10"/>
      <c r="H63" s="10"/>
      <c r="I63" s="11"/>
      <c r="K63" s="100"/>
      <c r="V63" s="98">
        <v>57</v>
      </c>
      <c r="W63" s="58">
        <f t="shared" si="3"/>
        <v>6.666666666666661</v>
      </c>
      <c r="X63" s="203">
        <f t="shared" si="2"/>
        <v>-1261.2930918975726</v>
      </c>
      <c r="Y63" s="147"/>
      <c r="Z63" s="117"/>
      <c r="AB63" s="62"/>
      <c r="AC63" s="62"/>
      <c r="AD63" s="62"/>
      <c r="AE63" s="123"/>
      <c r="AF63" s="123"/>
    </row>
    <row r="64" spans="1:32" ht="12.75">
      <c r="A64" s="21"/>
      <c r="B64" s="38"/>
      <c r="C64" s="82"/>
      <c r="D64" s="82" t="s">
        <v>267</v>
      </c>
      <c r="E64" s="19"/>
      <c r="F64" s="10"/>
      <c r="G64" s="10"/>
      <c r="H64" s="10"/>
      <c r="I64" s="11"/>
      <c r="K64" s="100"/>
      <c r="N64" s="104"/>
      <c r="O64" s="106"/>
      <c r="P64" s="106"/>
      <c r="V64" s="98">
        <v>58</v>
      </c>
      <c r="W64" s="58">
        <f t="shared" si="3"/>
        <v>6.749999999999994</v>
      </c>
      <c r="X64" s="203">
        <f t="shared" si="2"/>
        <v>-1253.7204102143976</v>
      </c>
      <c r="Y64" s="147"/>
      <c r="Z64" s="117"/>
      <c r="AB64" s="62"/>
      <c r="AC64" s="62"/>
      <c r="AD64" s="62"/>
      <c r="AE64" s="123"/>
      <c r="AF64" s="123"/>
    </row>
    <row r="65" spans="1:32" ht="12.75">
      <c r="A65" s="21"/>
      <c r="B65" s="10"/>
      <c r="C65" s="10"/>
      <c r="D65" s="10"/>
      <c r="E65" s="10"/>
      <c r="F65" s="10"/>
      <c r="G65" s="10"/>
      <c r="H65" s="43"/>
      <c r="I65" s="11"/>
      <c r="K65" s="100"/>
      <c r="M65" s="104"/>
      <c r="N65" s="105"/>
      <c r="O65" s="106"/>
      <c r="P65" s="106"/>
      <c r="S65" s="116"/>
      <c r="V65" s="98">
        <v>59</v>
      </c>
      <c r="W65" s="58">
        <f t="shared" si="3"/>
        <v>6.833333333333327</v>
      </c>
      <c r="X65" s="203">
        <f t="shared" si="2"/>
        <v>-1245.8664785312226</v>
      </c>
      <c r="Y65" s="147"/>
      <c r="Z65" s="117"/>
      <c r="AB65" s="62"/>
      <c r="AC65" s="62"/>
      <c r="AD65" s="62"/>
      <c r="AE65" s="123"/>
      <c r="AF65" s="123"/>
    </row>
    <row r="66" spans="1:32" ht="12.75">
      <c r="A66" s="63"/>
      <c r="B66" s="10"/>
      <c r="C66" s="18"/>
      <c r="D66" s="18"/>
      <c r="E66" s="6"/>
      <c r="F66" s="10"/>
      <c r="G66" s="10"/>
      <c r="H66" s="10"/>
      <c r="I66" s="11"/>
      <c r="K66" s="100"/>
      <c r="O66" s="106"/>
      <c r="P66" s="106"/>
      <c r="V66" s="98">
        <v>60</v>
      </c>
      <c r="W66" s="58">
        <f t="shared" si="3"/>
        <v>6.91666666666666</v>
      </c>
      <c r="X66" s="203">
        <f t="shared" si="2"/>
        <v>-1237.7278246258252</v>
      </c>
      <c r="Y66" s="147"/>
      <c r="Z66" s="117"/>
      <c r="AB66" s="62"/>
      <c r="AC66" s="62"/>
      <c r="AD66" s="62"/>
      <c r="AE66" s="123"/>
      <c r="AF66" s="123"/>
    </row>
    <row r="67" spans="1:32" ht="12.75">
      <c r="A67" s="7"/>
      <c r="B67" s="38"/>
      <c r="C67" s="10"/>
      <c r="D67" s="10"/>
      <c r="E67" s="10"/>
      <c r="F67" s="10"/>
      <c r="G67" s="28"/>
      <c r="H67" s="10"/>
      <c r="I67" s="11"/>
      <c r="K67" s="100"/>
      <c r="M67" s="104"/>
      <c r="N67" s="102"/>
      <c r="O67" s="106"/>
      <c r="P67" s="106"/>
      <c r="V67" s="98">
        <v>61</v>
      </c>
      <c r="W67" s="58">
        <f t="shared" si="3"/>
        <v>6.999999999999993</v>
      </c>
      <c r="X67" s="203">
        <f t="shared" si="2"/>
        <v>-1229.3009762759837</v>
      </c>
      <c r="Y67" s="147"/>
      <c r="Z67" s="117"/>
      <c r="AB67" s="62"/>
      <c r="AC67" s="62"/>
      <c r="AD67" s="62"/>
      <c r="AE67" s="123"/>
      <c r="AF67" s="123"/>
    </row>
    <row r="68" spans="1:32" ht="12.75">
      <c r="A68" s="21"/>
      <c r="B68" s="38"/>
      <c r="C68" s="82" t="s">
        <v>255</v>
      </c>
      <c r="D68" s="18"/>
      <c r="E68" s="6"/>
      <c r="F68" s="10"/>
      <c r="G68" s="28"/>
      <c r="H68" s="28"/>
      <c r="I68" s="92"/>
      <c r="K68" s="100"/>
      <c r="M68" s="104"/>
      <c r="N68" s="105"/>
      <c r="O68" s="70"/>
      <c r="P68" s="46"/>
      <c r="V68" s="98">
        <v>62</v>
      </c>
      <c r="W68" s="58">
        <f t="shared" si="3"/>
        <v>7.083333333333326</v>
      </c>
      <c r="X68" s="203">
        <f t="shared" si="2"/>
        <v>-1220.5824612594752</v>
      </c>
      <c r="Y68" s="147"/>
      <c r="Z68" s="117"/>
      <c r="AB68" s="62"/>
      <c r="AC68" s="62"/>
      <c r="AD68" s="62"/>
      <c r="AE68" s="123"/>
      <c r="AF68" s="123"/>
    </row>
    <row r="69" spans="1:32" ht="12.75">
      <c r="A69" s="21"/>
      <c r="B69" s="10"/>
      <c r="C69" s="81"/>
      <c r="D69" s="10"/>
      <c r="E69" s="10"/>
      <c r="F69" s="10"/>
      <c r="G69" s="10"/>
      <c r="H69" s="43"/>
      <c r="I69" s="90"/>
      <c r="K69" s="100"/>
      <c r="M69" s="104"/>
      <c r="N69" s="105"/>
      <c r="O69" s="70"/>
      <c r="P69" s="46"/>
      <c r="Q69" s="98"/>
      <c r="V69" s="98">
        <v>63</v>
      </c>
      <c r="W69" s="58">
        <f t="shared" si="3"/>
        <v>7.166666666666659</v>
      </c>
      <c r="X69" s="203">
        <f t="shared" si="2"/>
        <v>-1211.568807354078</v>
      </c>
      <c r="Y69" s="147"/>
      <c r="Z69" s="117"/>
      <c r="AB69" s="62"/>
      <c r="AC69" s="62"/>
      <c r="AD69" s="62"/>
      <c r="AE69" s="123"/>
      <c r="AF69" s="123"/>
    </row>
    <row r="70" spans="1:32" ht="12.75">
      <c r="A70" s="63"/>
      <c r="B70" s="15"/>
      <c r="C70" s="10"/>
      <c r="D70" s="10"/>
      <c r="E70" s="10"/>
      <c r="F70" s="6"/>
      <c r="G70" s="10"/>
      <c r="H70" s="10"/>
      <c r="I70" s="11"/>
      <c r="K70" s="100"/>
      <c r="M70" s="69"/>
      <c r="N70" s="108"/>
      <c r="O70" s="106"/>
      <c r="P70" s="110"/>
      <c r="V70" s="98">
        <v>64</v>
      </c>
      <c r="W70" s="58">
        <f t="shared" si="3"/>
        <v>7.249999999999992</v>
      </c>
      <c r="X70" s="203">
        <f t="shared" si="2"/>
        <v>-1202.2565423375695</v>
      </c>
      <c r="Y70" s="147"/>
      <c r="Z70" s="117"/>
      <c r="AB70" s="62"/>
      <c r="AC70" s="62"/>
      <c r="AD70" s="62"/>
      <c r="AE70" s="123"/>
      <c r="AF70" s="123"/>
    </row>
    <row r="71" spans="1:32" ht="12.75">
      <c r="A71" s="31"/>
      <c r="B71" s="41"/>
      <c r="C71" s="66"/>
      <c r="D71" s="18"/>
      <c r="E71" s="6"/>
      <c r="F71" s="10"/>
      <c r="G71" s="10"/>
      <c r="H71" s="10"/>
      <c r="I71" s="11"/>
      <c r="K71" s="100"/>
      <c r="M71" s="104"/>
      <c r="N71" s="108"/>
      <c r="O71" s="70"/>
      <c r="P71" s="110"/>
      <c r="S71" s="108"/>
      <c r="V71" s="98">
        <v>65</v>
      </c>
      <c r="W71" s="58">
        <f t="shared" si="3"/>
        <v>7.333333333333325</v>
      </c>
      <c r="X71" s="203">
        <f t="shared" si="2"/>
        <v>-1192.642193987728</v>
      </c>
      <c r="Y71" s="147"/>
      <c r="Z71" s="117"/>
      <c r="AB71" s="62"/>
      <c r="AC71" s="62"/>
      <c r="AD71" s="62"/>
      <c r="AE71" s="123"/>
      <c r="AF71" s="123"/>
    </row>
    <row r="72" spans="1:32" ht="12.75">
      <c r="A72" s="21"/>
      <c r="B72" s="41"/>
      <c r="C72" s="10"/>
      <c r="D72" s="10"/>
      <c r="E72" s="10"/>
      <c r="F72" s="10"/>
      <c r="G72" s="10"/>
      <c r="H72" s="10"/>
      <c r="I72" s="11"/>
      <c r="K72" s="100"/>
      <c r="V72" s="98">
        <v>66</v>
      </c>
      <c r="W72" s="58">
        <f t="shared" si="3"/>
        <v>7.416666666666658</v>
      </c>
      <c r="X72" s="203">
        <f t="shared" si="2"/>
        <v>-1182.7222900823308</v>
      </c>
      <c r="Y72" s="147"/>
      <c r="Z72" s="117"/>
      <c r="AB72" s="62"/>
      <c r="AC72" s="62"/>
      <c r="AD72" s="62"/>
      <c r="AE72" s="123"/>
      <c r="AF72" s="123"/>
    </row>
    <row r="73" spans="1:32" ht="12.75">
      <c r="A73" s="21"/>
      <c r="B73" s="41"/>
      <c r="C73" s="81"/>
      <c r="D73" s="81" t="s">
        <v>269</v>
      </c>
      <c r="E73" s="10"/>
      <c r="F73" s="10"/>
      <c r="G73" s="10"/>
      <c r="H73" s="10"/>
      <c r="I73" s="11"/>
      <c r="K73" s="100"/>
      <c r="M73" s="104"/>
      <c r="N73" s="108"/>
      <c r="O73" s="106"/>
      <c r="P73" s="106"/>
      <c r="V73" s="98">
        <v>67</v>
      </c>
      <c r="W73" s="58">
        <f t="shared" si="3"/>
        <v>7.499999999999991</v>
      </c>
      <c r="X73" s="203">
        <f t="shared" si="2"/>
        <v>-1172.4933583991556</v>
      </c>
      <c r="Y73" s="147"/>
      <c r="Z73" s="117"/>
      <c r="AB73" s="62"/>
      <c r="AC73" s="62"/>
      <c r="AD73" s="62"/>
      <c r="AE73" s="123"/>
      <c r="AF73" s="123"/>
    </row>
    <row r="74" spans="1:32" ht="12.75">
      <c r="A74" s="21"/>
      <c r="B74" s="41"/>
      <c r="C74" s="66"/>
      <c r="D74" s="18"/>
      <c r="E74" s="6"/>
      <c r="F74" s="10"/>
      <c r="G74" s="6"/>
      <c r="H74" s="10"/>
      <c r="I74" s="11"/>
      <c r="M74" s="98"/>
      <c r="N74" s="105"/>
      <c r="O74" s="106"/>
      <c r="P74" s="106"/>
      <c r="V74" s="98">
        <v>68</v>
      </c>
      <c r="W74" s="58">
        <f t="shared" si="3"/>
        <v>7.583333333333324</v>
      </c>
      <c r="X74" s="203">
        <f t="shared" si="2"/>
        <v>-1161.9519267159806</v>
      </c>
      <c r="Y74" s="147"/>
      <c r="Z74" s="117"/>
      <c r="AB74" s="62"/>
      <c r="AC74" s="62"/>
      <c r="AD74" s="62"/>
      <c r="AE74" s="123"/>
      <c r="AF74" s="123"/>
    </row>
    <row r="75" spans="1:32" ht="12.75">
      <c r="A75" s="21"/>
      <c r="B75" s="41"/>
      <c r="C75" s="66"/>
      <c r="D75" s="82" t="s">
        <v>266</v>
      </c>
      <c r="E75" s="239" t="s">
        <v>257</v>
      </c>
      <c r="F75" s="6"/>
      <c r="G75" s="6"/>
      <c r="H75" s="6"/>
      <c r="I75" s="90"/>
      <c r="M75" s="69"/>
      <c r="N75" s="108"/>
      <c r="O75" s="106"/>
      <c r="P75" s="112"/>
      <c r="V75" s="98">
        <v>69</v>
      </c>
      <c r="W75" s="58">
        <f t="shared" si="3"/>
        <v>7.666666666666657</v>
      </c>
      <c r="X75" s="203">
        <f t="shared" si="2"/>
        <v>-1151.0945228105834</v>
      </c>
      <c r="Y75" s="147"/>
      <c r="Z75" s="117"/>
      <c r="AB75" s="62"/>
      <c r="AC75" s="62"/>
      <c r="AD75" s="62"/>
      <c r="AE75" s="123"/>
      <c r="AF75" s="123"/>
    </row>
    <row r="76" spans="1:32" ht="12.75">
      <c r="A76" s="21"/>
      <c r="B76" s="41"/>
      <c r="C76" s="10"/>
      <c r="D76" s="10"/>
      <c r="E76" s="10"/>
      <c r="F76" s="6"/>
      <c r="G76" s="6"/>
      <c r="H76" s="6"/>
      <c r="I76" s="14"/>
      <c r="M76" s="104"/>
      <c r="N76" s="102"/>
      <c r="O76" s="106"/>
      <c r="P76" s="106"/>
      <c r="V76" s="98">
        <v>70</v>
      </c>
      <c r="W76" s="58">
        <f t="shared" si="3"/>
        <v>7.74999999999999</v>
      </c>
      <c r="X76" s="203">
        <f t="shared" si="2"/>
        <v>-1139.9176744607416</v>
      </c>
      <c r="Y76" s="147"/>
      <c r="Z76" s="117"/>
      <c r="AB76" s="62"/>
      <c r="AC76" s="62"/>
      <c r="AD76" s="62"/>
      <c r="AE76" s="123"/>
      <c r="AF76" s="123"/>
    </row>
    <row r="77" spans="1:32" ht="12.75">
      <c r="A77" s="21"/>
      <c r="B77" s="10"/>
      <c r="C77" s="10"/>
      <c r="D77" s="10"/>
      <c r="E77" s="10"/>
      <c r="F77" s="10"/>
      <c r="G77" s="10"/>
      <c r="H77" s="30"/>
      <c r="I77" s="14"/>
      <c r="M77" s="104"/>
      <c r="N77" s="105"/>
      <c r="O77" s="70"/>
      <c r="P77" s="46"/>
      <c r="V77" s="98">
        <v>71</v>
      </c>
      <c r="W77" s="58">
        <f t="shared" si="3"/>
        <v>7.833333333333323</v>
      </c>
      <c r="X77" s="203">
        <f t="shared" si="2"/>
        <v>-1128.4179094442334</v>
      </c>
      <c r="Y77" s="147"/>
      <c r="Z77" s="117"/>
      <c r="AB77" s="62"/>
      <c r="AC77" s="62"/>
      <c r="AD77" s="62"/>
      <c r="AE77" s="123"/>
      <c r="AF77" s="123"/>
    </row>
    <row r="78" spans="1:32" ht="12.75">
      <c r="A78" s="247" t="s">
        <v>259</v>
      </c>
      <c r="B78" s="248"/>
      <c r="C78" s="248"/>
      <c r="D78" s="248"/>
      <c r="E78" s="248"/>
      <c r="F78" s="248"/>
      <c r="G78" s="248"/>
      <c r="H78" s="248"/>
      <c r="I78" s="249"/>
      <c r="M78" s="104"/>
      <c r="N78" s="105"/>
      <c r="O78" s="70"/>
      <c r="P78" s="46"/>
      <c r="Q78" s="98"/>
      <c r="V78" s="98">
        <v>72</v>
      </c>
      <c r="W78" s="58">
        <f t="shared" si="3"/>
        <v>7.916666666666656</v>
      </c>
      <c r="X78" s="203">
        <f t="shared" si="2"/>
        <v>-1116.5917555388362</v>
      </c>
      <c r="Y78" s="147"/>
      <c r="Z78" s="117"/>
      <c r="AB78" s="62"/>
      <c r="AC78" s="62"/>
      <c r="AD78" s="62"/>
      <c r="AE78" s="123"/>
      <c r="AF78" s="123"/>
    </row>
    <row r="79" spans="1:32" ht="12.75">
      <c r="A79" s="63"/>
      <c r="B79" s="10"/>
      <c r="C79" s="10"/>
      <c r="D79" s="10"/>
      <c r="E79" s="10"/>
      <c r="F79" s="10"/>
      <c r="G79" s="10"/>
      <c r="H79" s="10"/>
      <c r="I79" s="11"/>
      <c r="M79" s="106"/>
      <c r="O79" s="96"/>
      <c r="P79" s="106"/>
      <c r="V79" s="98">
        <v>73</v>
      </c>
      <c r="W79" s="58">
        <f t="shared" si="3"/>
        <v>7.999999999999989</v>
      </c>
      <c r="X79" s="203">
        <f t="shared" si="2"/>
        <v>-1104.4357405223277</v>
      </c>
      <c r="Y79" s="147"/>
      <c r="Z79" s="117"/>
      <c r="AB79" s="62"/>
      <c r="AC79" s="62"/>
      <c r="AD79" s="62"/>
      <c r="AE79" s="123"/>
      <c r="AF79" s="123"/>
    </row>
    <row r="80" spans="1:32" ht="12.75">
      <c r="A80" s="211"/>
      <c r="B80" s="282" t="s">
        <v>298</v>
      </c>
      <c r="C80" s="277" t="s">
        <v>299</v>
      </c>
      <c r="D80" s="28"/>
      <c r="E80" s="28"/>
      <c r="F80" s="28"/>
      <c r="G80" s="28"/>
      <c r="H80" s="28"/>
      <c r="I80" s="90"/>
      <c r="M80" s="104"/>
      <c r="N80" s="105"/>
      <c r="O80" s="106"/>
      <c r="P80" s="106"/>
      <c r="V80" s="98">
        <v>74</v>
      </c>
      <c r="W80" s="58">
        <f t="shared" si="3"/>
        <v>8.083333333333323</v>
      </c>
      <c r="X80" s="203">
        <f t="shared" si="2"/>
        <v>-1091.946392172486</v>
      </c>
      <c r="Y80" s="147"/>
      <c r="Z80" s="117"/>
      <c r="AB80" s="62"/>
      <c r="AC80" s="62"/>
      <c r="AD80" s="62"/>
      <c r="AE80" s="123"/>
      <c r="AF80" s="123"/>
    </row>
    <row r="81" spans="1:32" ht="12.75">
      <c r="A81" s="211"/>
      <c r="B81" s="28"/>
      <c r="C81" s="277" t="s">
        <v>301</v>
      </c>
      <c r="D81" s="28"/>
      <c r="E81" s="28"/>
      <c r="F81" s="28"/>
      <c r="G81" s="28"/>
      <c r="H81" s="28"/>
      <c r="I81" s="90"/>
      <c r="M81" s="104"/>
      <c r="N81" s="105"/>
      <c r="O81" s="106"/>
      <c r="P81" s="106"/>
      <c r="V81" s="98">
        <v>75</v>
      </c>
      <c r="W81" s="58">
        <f t="shared" si="3"/>
        <v>8.166666666666657</v>
      </c>
      <c r="X81" s="203">
        <f t="shared" si="2"/>
        <v>-1079.1202382670886</v>
      </c>
      <c r="Y81" s="147"/>
      <c r="Z81" s="117"/>
      <c r="AB81" s="62"/>
      <c r="AC81" s="62"/>
      <c r="AD81" s="62"/>
      <c r="AE81" s="123"/>
      <c r="AF81" s="123"/>
    </row>
    <row r="82" spans="1:32" ht="12.75">
      <c r="A82" s="211"/>
      <c r="B82" s="28"/>
      <c r="C82" s="253" t="s">
        <v>300</v>
      </c>
      <c r="D82" s="28"/>
      <c r="E82" s="28"/>
      <c r="F82" s="28"/>
      <c r="G82" s="28"/>
      <c r="H82" s="28"/>
      <c r="I82" s="90"/>
      <c r="M82" s="115"/>
      <c r="N82" s="101"/>
      <c r="O82" s="70"/>
      <c r="P82" s="106"/>
      <c r="S82" s="73"/>
      <c r="V82" s="98">
        <v>76</v>
      </c>
      <c r="W82" s="58">
        <f t="shared" si="3"/>
        <v>8.249999999999991</v>
      </c>
      <c r="X82" s="203">
        <f t="shared" si="2"/>
        <v>-1065.9538065839135</v>
      </c>
      <c r="Y82" s="147"/>
      <c r="Z82" s="117"/>
      <c r="AB82" s="62"/>
      <c r="AC82" s="62"/>
      <c r="AD82" s="62"/>
      <c r="AE82" s="123"/>
      <c r="AF82" s="123"/>
    </row>
    <row r="83" spans="1:32" ht="12.75">
      <c r="A83" s="211"/>
      <c r="B83" s="28"/>
      <c r="C83" s="253" t="s">
        <v>302</v>
      </c>
      <c r="D83" s="28"/>
      <c r="E83" s="28"/>
      <c r="F83" s="28"/>
      <c r="G83" s="28"/>
      <c r="H83" s="28"/>
      <c r="I83" s="90"/>
      <c r="O83" s="96"/>
      <c r="P83" s="106"/>
      <c r="V83" s="98">
        <v>77</v>
      </c>
      <c r="W83" s="58">
        <f t="shared" si="3"/>
        <v>8.333333333333325</v>
      </c>
      <c r="X83" s="203">
        <f t="shared" si="2"/>
        <v>-1052.4436249007385</v>
      </c>
      <c r="Y83" s="147"/>
      <c r="Z83" s="117"/>
      <c r="AB83" s="62"/>
      <c r="AC83" s="62"/>
      <c r="AD83" s="62"/>
      <c r="AE83" s="123"/>
      <c r="AF83" s="123"/>
    </row>
    <row r="84" spans="1:32" ht="12.75">
      <c r="A84" s="211"/>
      <c r="B84" s="28"/>
      <c r="C84" s="280"/>
      <c r="D84" s="28"/>
      <c r="E84" s="28"/>
      <c r="F84" s="28"/>
      <c r="G84" s="28"/>
      <c r="H84" s="28"/>
      <c r="I84" s="90"/>
      <c r="M84" s="117"/>
      <c r="N84" s="73"/>
      <c r="O84" s="118"/>
      <c r="P84" s="106"/>
      <c r="V84" s="98">
        <v>78</v>
      </c>
      <c r="W84" s="58">
        <f t="shared" si="3"/>
        <v>8.416666666666659</v>
      </c>
      <c r="X84" s="203">
        <f t="shared" si="2"/>
        <v>-1038.5862209953411</v>
      </c>
      <c r="Y84" s="147"/>
      <c r="Z84" s="117"/>
      <c r="AB84" s="62"/>
      <c r="AC84" s="62"/>
      <c r="AD84" s="62"/>
      <c r="AE84" s="123"/>
      <c r="AF84" s="123"/>
    </row>
    <row r="85" spans="1:32" ht="12.75">
      <c r="A85" s="211"/>
      <c r="B85" s="28"/>
      <c r="C85" s="10"/>
      <c r="D85" s="28"/>
      <c r="E85" s="28"/>
      <c r="F85" s="28"/>
      <c r="G85" s="28"/>
      <c r="H85" s="28"/>
      <c r="I85" s="90"/>
      <c r="M85" s="117"/>
      <c r="N85" s="73"/>
      <c r="O85" s="70"/>
      <c r="P85" s="106"/>
      <c r="V85" s="98">
        <v>79</v>
      </c>
      <c r="W85" s="58">
        <f t="shared" si="3"/>
        <v>8.499999999999993</v>
      </c>
      <c r="X85" s="203">
        <f t="shared" si="2"/>
        <v>-1024.3781226454992</v>
      </c>
      <c r="Y85" s="147"/>
      <c r="Z85" s="117"/>
      <c r="AB85" s="62"/>
      <c r="AC85" s="62"/>
      <c r="AD85" s="62"/>
      <c r="AE85" s="123"/>
      <c r="AF85" s="123"/>
    </row>
    <row r="86" spans="1:32" ht="12.75">
      <c r="A86" s="5" t="s">
        <v>178</v>
      </c>
      <c r="B86" s="289"/>
      <c r="C86" s="289"/>
      <c r="D86" s="289"/>
      <c r="E86" s="289"/>
      <c r="F86" s="289"/>
      <c r="G86" s="289"/>
      <c r="H86" s="289"/>
      <c r="I86" s="290"/>
      <c r="O86" s="96"/>
      <c r="P86" s="106"/>
      <c r="V86" s="98">
        <v>80</v>
      </c>
      <c r="W86" s="58">
        <f t="shared" si="3"/>
        <v>8.583333333333327</v>
      </c>
      <c r="X86" s="203">
        <f t="shared" si="2"/>
        <v>-1009.8158576289907</v>
      </c>
      <c r="Y86" s="147"/>
      <c r="Z86" s="117"/>
      <c r="AB86" s="62"/>
      <c r="AC86" s="62"/>
      <c r="AD86" s="62"/>
      <c r="AE86" s="123"/>
      <c r="AF86" s="123"/>
    </row>
    <row r="87" spans="1:32" ht="12.75">
      <c r="A87" s="275"/>
      <c r="B87" s="289"/>
      <c r="C87" s="289"/>
      <c r="D87" s="289"/>
      <c r="E87" s="289"/>
      <c r="F87" s="289"/>
      <c r="G87" s="289"/>
      <c r="H87" s="289"/>
      <c r="I87" s="290"/>
      <c r="M87" s="104"/>
      <c r="N87" s="119"/>
      <c r="O87" s="106"/>
      <c r="P87" s="106"/>
      <c r="V87" s="98">
        <v>81</v>
      </c>
      <c r="W87" s="58">
        <f t="shared" si="3"/>
        <v>8.66666666666666</v>
      </c>
      <c r="X87" s="203">
        <f t="shared" si="2"/>
        <v>-994.8959537235933</v>
      </c>
      <c r="Y87" s="147"/>
      <c r="Z87" s="117"/>
      <c r="AB87" s="62"/>
      <c r="AC87" s="62"/>
      <c r="AD87" s="62"/>
      <c r="AE87" s="123"/>
      <c r="AF87" s="123"/>
    </row>
    <row r="88" spans="1:32" ht="12.75">
      <c r="A88" s="275"/>
      <c r="B88" s="289"/>
      <c r="C88" s="289"/>
      <c r="D88" s="289"/>
      <c r="E88" s="289"/>
      <c r="F88" s="289"/>
      <c r="G88" s="289"/>
      <c r="H88" s="289"/>
      <c r="I88" s="290"/>
      <c r="M88" s="104"/>
      <c r="N88" s="105"/>
      <c r="O88" s="106"/>
      <c r="P88" s="106"/>
      <c r="V88" s="98">
        <v>82</v>
      </c>
      <c r="W88" s="58">
        <f t="shared" si="3"/>
        <v>8.749999999999995</v>
      </c>
      <c r="X88" s="203">
        <f t="shared" si="2"/>
        <v>-979.6149387070848</v>
      </c>
      <c r="Y88" s="147"/>
      <c r="Z88" s="117"/>
      <c r="AB88" s="62"/>
      <c r="AC88" s="62"/>
      <c r="AD88" s="62"/>
      <c r="AE88" s="123"/>
      <c r="AF88" s="123"/>
    </row>
    <row r="89" spans="1:32" ht="12.75">
      <c r="A89" s="275"/>
      <c r="B89" s="291"/>
      <c r="C89" s="292"/>
      <c r="D89" s="292"/>
      <c r="E89" s="289"/>
      <c r="F89" s="289"/>
      <c r="G89" s="289"/>
      <c r="H89" s="289"/>
      <c r="I89" s="290"/>
      <c r="M89" s="104"/>
      <c r="N89" s="105"/>
      <c r="O89" s="106"/>
      <c r="P89" s="106"/>
      <c r="V89" s="98">
        <v>83</v>
      </c>
      <c r="W89" s="58">
        <f t="shared" si="3"/>
        <v>8.833333333333329</v>
      </c>
      <c r="X89" s="203">
        <f t="shared" si="2"/>
        <v>-963.9693403572428</v>
      </c>
      <c r="Y89" s="147"/>
      <c r="Z89" s="117"/>
      <c r="AB89" s="62"/>
      <c r="AC89" s="62"/>
      <c r="AD89" s="62"/>
      <c r="AE89" s="123"/>
      <c r="AF89" s="123"/>
    </row>
    <row r="90" spans="1:32" ht="12.75">
      <c r="A90" s="275"/>
      <c r="B90" s="293"/>
      <c r="C90" s="294"/>
      <c r="D90" s="292"/>
      <c r="E90" s="289"/>
      <c r="F90" s="289"/>
      <c r="G90" s="289"/>
      <c r="H90" s="289"/>
      <c r="I90" s="290"/>
      <c r="M90" s="104"/>
      <c r="N90" s="105"/>
      <c r="O90" s="106"/>
      <c r="P90" s="106"/>
      <c r="V90" s="98">
        <v>84</v>
      </c>
      <c r="W90" s="58">
        <f t="shared" si="3"/>
        <v>8.916666666666663</v>
      </c>
      <c r="X90" s="203">
        <f t="shared" si="2"/>
        <v>-947.9556864518455</v>
      </c>
      <c r="Y90" s="147"/>
      <c r="Z90" s="117"/>
      <c r="AB90" s="62"/>
      <c r="AC90" s="62"/>
      <c r="AD90" s="62"/>
      <c r="AE90" s="123"/>
      <c r="AF90" s="123"/>
    </row>
    <row r="91" spans="1:32" ht="12.75">
      <c r="A91" s="281"/>
      <c r="B91" s="293"/>
      <c r="C91" s="294"/>
      <c r="D91" s="292"/>
      <c r="E91" s="289"/>
      <c r="F91" s="289"/>
      <c r="G91" s="289"/>
      <c r="H91" s="289"/>
      <c r="I91" s="290"/>
      <c r="M91" s="104"/>
      <c r="N91" s="73"/>
      <c r="O91" s="96"/>
      <c r="P91" s="106"/>
      <c r="V91" s="98">
        <v>85</v>
      </c>
      <c r="W91" s="58">
        <f t="shared" si="3"/>
        <v>8.999999999999996</v>
      </c>
      <c r="X91" s="203">
        <f t="shared" si="2"/>
        <v>-931.5705047686703</v>
      </c>
      <c r="Y91" s="147"/>
      <c r="Z91" s="117"/>
      <c r="AB91" s="62"/>
      <c r="AC91" s="62"/>
      <c r="AD91" s="62"/>
      <c r="AE91" s="123"/>
      <c r="AF91" s="123"/>
    </row>
    <row r="92" spans="1:32" ht="12.75">
      <c r="A92" s="281"/>
      <c r="B92" s="293"/>
      <c r="C92" s="294"/>
      <c r="D92" s="292"/>
      <c r="E92" s="289"/>
      <c r="F92" s="289"/>
      <c r="G92" s="289"/>
      <c r="H92" s="289"/>
      <c r="I92" s="290"/>
      <c r="M92" s="104"/>
      <c r="N92" s="73"/>
      <c r="O92" s="96"/>
      <c r="P92" s="106"/>
      <c r="V92" s="98">
        <v>86</v>
      </c>
      <c r="W92" s="58">
        <f t="shared" si="3"/>
        <v>9.08333333333333</v>
      </c>
      <c r="X92" s="203">
        <f t="shared" si="2"/>
        <v>-914.8103230854952</v>
      </c>
      <c r="Y92" s="147"/>
      <c r="Z92" s="117"/>
      <c r="AB92" s="62"/>
      <c r="AC92" s="62"/>
      <c r="AD92" s="62"/>
      <c r="AE92" s="123"/>
      <c r="AF92" s="123"/>
    </row>
    <row r="93" spans="1:32" ht="12.75">
      <c r="A93" s="281"/>
      <c r="B93" s="293"/>
      <c r="C93" s="294"/>
      <c r="D93" s="292"/>
      <c r="E93" s="289"/>
      <c r="F93" s="289"/>
      <c r="G93" s="289"/>
      <c r="H93" s="289"/>
      <c r="I93" s="290"/>
      <c r="M93" s="104"/>
      <c r="N93" s="38"/>
      <c r="O93" s="106"/>
      <c r="P93" s="72"/>
      <c r="R93" s="120"/>
      <c r="S93" s="100"/>
      <c r="V93" s="98">
        <v>87</v>
      </c>
      <c r="W93" s="58">
        <f t="shared" si="3"/>
        <v>9.166666666666664</v>
      </c>
      <c r="X93" s="203">
        <f t="shared" si="2"/>
        <v>-897.6716691800978</v>
      </c>
      <c r="Y93" s="147"/>
      <c r="Z93" s="117"/>
      <c r="AB93" s="62"/>
      <c r="AC93" s="62"/>
      <c r="AD93" s="62"/>
      <c r="AE93" s="123"/>
      <c r="AF93" s="123"/>
    </row>
    <row r="94" spans="1:32" ht="12.75">
      <c r="A94" s="281"/>
      <c r="B94" s="293"/>
      <c r="C94" s="294"/>
      <c r="D94" s="292"/>
      <c r="E94" s="289"/>
      <c r="F94" s="289"/>
      <c r="G94" s="289"/>
      <c r="H94" s="289"/>
      <c r="I94" s="290"/>
      <c r="M94" s="104"/>
      <c r="N94" s="38"/>
      <c r="O94" s="106"/>
      <c r="P94" s="72"/>
      <c r="R94" s="73"/>
      <c r="U94" s="108"/>
      <c r="V94" s="98">
        <v>88</v>
      </c>
      <c r="W94" s="58">
        <f t="shared" si="3"/>
        <v>9.249999999999998</v>
      </c>
      <c r="X94" s="203">
        <f t="shared" si="2"/>
        <v>-880.1510708302558</v>
      </c>
      <c r="Y94" s="147"/>
      <c r="Z94" s="117"/>
      <c r="AB94" s="62"/>
      <c r="AC94" s="62"/>
      <c r="AD94" s="62"/>
      <c r="AE94" s="123"/>
      <c r="AF94" s="123"/>
    </row>
    <row r="95" spans="1:32" ht="12.75">
      <c r="A95" s="281"/>
      <c r="B95" s="293"/>
      <c r="C95" s="294"/>
      <c r="D95" s="292"/>
      <c r="E95" s="289"/>
      <c r="F95" s="289"/>
      <c r="G95" s="289"/>
      <c r="H95" s="289"/>
      <c r="I95" s="290"/>
      <c r="M95" s="104"/>
      <c r="N95" s="105"/>
      <c r="O95" s="70"/>
      <c r="P95" s="70"/>
      <c r="V95" s="98">
        <v>89</v>
      </c>
      <c r="W95" s="58">
        <f t="shared" si="3"/>
        <v>9.333333333333332</v>
      </c>
      <c r="X95" s="203">
        <f t="shared" si="2"/>
        <v>-862.2450558137473</v>
      </c>
      <c r="Y95" s="147"/>
      <c r="Z95" s="117"/>
      <c r="AB95" s="62"/>
      <c r="AC95" s="62"/>
      <c r="AD95" s="62"/>
      <c r="AE95" s="123"/>
      <c r="AF95" s="123"/>
    </row>
    <row r="96" spans="1:32" ht="12.75">
      <c r="A96" s="281"/>
      <c r="B96" s="293"/>
      <c r="C96" s="294"/>
      <c r="D96" s="292"/>
      <c r="E96" s="289"/>
      <c r="F96" s="289"/>
      <c r="G96" s="289"/>
      <c r="H96" s="289"/>
      <c r="I96" s="290"/>
      <c r="M96" s="104"/>
      <c r="N96" s="105"/>
      <c r="O96" s="70"/>
      <c r="P96" s="70"/>
      <c r="V96" s="98">
        <v>90</v>
      </c>
      <c r="W96" s="58">
        <f aca="true" t="shared" si="4" ref="W96:W159">$W95+1/12</f>
        <v>9.416666666666666</v>
      </c>
      <c r="X96" s="203">
        <f aca="true" t="shared" si="5" ref="X96:X159">$W96^3-2*$N$7*$W96/($N$5*$D$14*$D$10)-2*$N$8/($N$5*$D$14*$D$10)</f>
        <v>-843.9501519083499</v>
      </c>
      <c r="Y96" s="147"/>
      <c r="Z96" s="117"/>
      <c r="AB96" s="62"/>
      <c r="AC96" s="62"/>
      <c r="AD96" s="62"/>
      <c r="AE96" s="123"/>
      <c r="AF96" s="123"/>
    </row>
    <row r="97" spans="1:32" ht="12.75">
      <c r="A97" s="275"/>
      <c r="B97" s="289"/>
      <c r="C97" s="289"/>
      <c r="D97" s="289"/>
      <c r="E97" s="289"/>
      <c r="F97" s="289"/>
      <c r="G97" s="289"/>
      <c r="H97" s="289"/>
      <c r="I97" s="290"/>
      <c r="M97" s="104"/>
      <c r="N97" s="105"/>
      <c r="O97" s="70"/>
      <c r="P97" s="70"/>
      <c r="V97" s="98">
        <v>91</v>
      </c>
      <c r="W97" s="58">
        <f t="shared" si="4"/>
        <v>9.5</v>
      </c>
      <c r="X97" s="203">
        <f t="shared" si="5"/>
        <v>-825.2628868918414</v>
      </c>
      <c r="Y97" s="147"/>
      <c r="Z97" s="117"/>
      <c r="AB97" s="62"/>
      <c r="AC97" s="62"/>
      <c r="AD97" s="62"/>
      <c r="AE97" s="123"/>
      <c r="AF97" s="123"/>
    </row>
    <row r="98" spans="1:32" ht="12.75">
      <c r="A98" s="275"/>
      <c r="B98" s="292"/>
      <c r="C98" s="289"/>
      <c r="D98" s="289"/>
      <c r="E98" s="289"/>
      <c r="F98" s="289"/>
      <c r="G98" s="289"/>
      <c r="H98" s="289"/>
      <c r="I98" s="290"/>
      <c r="M98" s="104"/>
      <c r="N98" s="105"/>
      <c r="O98" s="106"/>
      <c r="P98" s="106"/>
      <c r="V98" s="98">
        <v>92</v>
      </c>
      <c r="W98" s="58">
        <f t="shared" si="4"/>
        <v>9.583333333333334</v>
      </c>
      <c r="X98" s="203">
        <f t="shared" si="5"/>
        <v>-806.1797885419994</v>
      </c>
      <c r="Y98" s="147"/>
      <c r="Z98" s="117"/>
      <c r="AB98" s="62"/>
      <c r="AC98" s="62"/>
      <c r="AD98" s="62"/>
      <c r="AE98" s="123"/>
      <c r="AF98" s="123"/>
    </row>
    <row r="99" spans="1:32" ht="12.75">
      <c r="A99" s="275"/>
      <c r="B99" s="292"/>
      <c r="C99" s="289"/>
      <c r="D99" s="289"/>
      <c r="E99" s="289"/>
      <c r="F99" s="289"/>
      <c r="G99" s="289"/>
      <c r="H99" s="289"/>
      <c r="I99" s="290"/>
      <c r="M99" s="104"/>
      <c r="N99" s="38"/>
      <c r="O99" s="106"/>
      <c r="P99" s="72"/>
      <c r="V99" s="98">
        <v>93</v>
      </c>
      <c r="W99" s="58">
        <f t="shared" si="4"/>
        <v>9.666666666666668</v>
      </c>
      <c r="X99" s="203">
        <f t="shared" si="5"/>
        <v>-786.697384636602</v>
      </c>
      <c r="Y99" s="147"/>
      <c r="Z99" s="117"/>
      <c r="AB99" s="62"/>
      <c r="AC99" s="62"/>
      <c r="AD99" s="62"/>
      <c r="AE99" s="123"/>
      <c r="AF99" s="123"/>
    </row>
    <row r="100" spans="1:32" ht="12.75">
      <c r="A100" s="275"/>
      <c r="B100" s="295"/>
      <c r="C100" s="289"/>
      <c r="D100" s="289"/>
      <c r="E100" s="289"/>
      <c r="F100" s="289"/>
      <c r="G100" s="289"/>
      <c r="H100" s="289"/>
      <c r="I100" s="290"/>
      <c r="M100" s="104"/>
      <c r="N100" s="38"/>
      <c r="O100" s="106"/>
      <c r="P100" s="72"/>
      <c r="V100" s="98">
        <v>94</v>
      </c>
      <c r="W100" s="58">
        <f t="shared" si="4"/>
        <v>9.750000000000002</v>
      </c>
      <c r="X100" s="203">
        <f t="shared" si="5"/>
        <v>-766.8122029534268</v>
      </c>
      <c r="Y100" s="147"/>
      <c r="Z100" s="117"/>
      <c r="AB100" s="62"/>
      <c r="AC100" s="62"/>
      <c r="AD100" s="62"/>
      <c r="AE100" s="123"/>
      <c r="AF100" s="123"/>
    </row>
    <row r="101" spans="1:32" ht="12.75">
      <c r="A101" s="275"/>
      <c r="B101" s="289"/>
      <c r="C101" s="289"/>
      <c r="D101" s="289"/>
      <c r="E101" s="289"/>
      <c r="F101" s="289"/>
      <c r="G101" s="289"/>
      <c r="H101" s="289"/>
      <c r="I101" s="290"/>
      <c r="M101" s="69"/>
      <c r="N101" s="38"/>
      <c r="O101" s="70"/>
      <c r="P101" s="72"/>
      <c r="S101" s="51"/>
      <c r="V101" s="98">
        <v>95</v>
      </c>
      <c r="W101" s="58">
        <f t="shared" si="4"/>
        <v>9.833333333333336</v>
      </c>
      <c r="X101" s="203">
        <f t="shared" si="5"/>
        <v>-746.5207712702515</v>
      </c>
      <c r="Y101" s="147"/>
      <c r="Z101" s="117"/>
      <c r="AB101" s="62"/>
      <c r="AC101" s="62"/>
      <c r="AD101" s="62"/>
      <c r="AE101" s="123"/>
      <c r="AF101" s="123"/>
    </row>
    <row r="102" spans="1:32" ht="12.75">
      <c r="A102" s="275"/>
      <c r="B102" s="289"/>
      <c r="C102" s="289"/>
      <c r="D102" s="289"/>
      <c r="E102" s="289"/>
      <c r="F102" s="289"/>
      <c r="G102" s="289"/>
      <c r="H102" s="296"/>
      <c r="I102" s="290"/>
      <c r="M102" s="69"/>
      <c r="N102" s="38"/>
      <c r="O102" s="70"/>
      <c r="P102" s="72"/>
      <c r="R102" s="106"/>
      <c r="V102" s="98">
        <v>96</v>
      </c>
      <c r="W102" s="58">
        <f t="shared" si="4"/>
        <v>9.91666666666667</v>
      </c>
      <c r="X102" s="203">
        <f t="shared" si="5"/>
        <v>-725.8196173648539</v>
      </c>
      <c r="Y102" s="147"/>
      <c r="Z102" s="117"/>
      <c r="AB102" s="62"/>
      <c r="AC102" s="62"/>
      <c r="AD102" s="62"/>
      <c r="AE102" s="123"/>
      <c r="AF102" s="123"/>
    </row>
    <row r="103" spans="1:32" ht="12.75">
      <c r="A103" s="275"/>
      <c r="B103" s="289"/>
      <c r="C103" s="289"/>
      <c r="D103" s="289"/>
      <c r="E103" s="289"/>
      <c r="F103" s="289"/>
      <c r="G103" s="289"/>
      <c r="H103" s="289"/>
      <c r="I103" s="290"/>
      <c r="M103" s="106"/>
      <c r="O103" s="96"/>
      <c r="P103" s="106"/>
      <c r="V103" s="98">
        <v>97</v>
      </c>
      <c r="W103" s="58">
        <f t="shared" si="4"/>
        <v>10.000000000000004</v>
      </c>
      <c r="X103" s="203">
        <f t="shared" si="5"/>
        <v>-704.7052690150122</v>
      </c>
      <c r="Y103" s="147"/>
      <c r="Z103" s="117"/>
      <c r="AB103" s="62"/>
      <c r="AC103" s="62"/>
      <c r="AD103" s="62"/>
      <c r="AE103" s="123"/>
      <c r="AF103" s="123"/>
    </row>
    <row r="104" spans="1:32" ht="12.75">
      <c r="A104" s="276"/>
      <c r="B104" s="297"/>
      <c r="C104" s="297"/>
      <c r="D104" s="297"/>
      <c r="E104" s="297"/>
      <c r="F104" s="297"/>
      <c r="G104" s="297"/>
      <c r="H104" s="297"/>
      <c r="I104" s="298"/>
      <c r="M104" s="69"/>
      <c r="N104" s="121"/>
      <c r="O104" s="106"/>
      <c r="P104" s="106"/>
      <c r="V104" s="98">
        <v>98</v>
      </c>
      <c r="W104" s="58">
        <f t="shared" si="4"/>
        <v>10.083333333333337</v>
      </c>
      <c r="X104" s="203">
        <f t="shared" si="5"/>
        <v>-683.1742539985034</v>
      </c>
      <c r="Y104" s="147"/>
      <c r="Z104" s="117"/>
      <c r="AB104" s="62"/>
      <c r="AC104" s="62"/>
      <c r="AD104" s="62"/>
      <c r="AE104" s="123"/>
      <c r="AF104" s="123"/>
    </row>
    <row r="105" spans="1:32" ht="12.75">
      <c r="A105" s="10"/>
      <c r="B105" s="10"/>
      <c r="C105" s="10"/>
      <c r="D105" s="10"/>
      <c r="E105" s="6"/>
      <c r="F105" s="6"/>
      <c r="G105" s="6"/>
      <c r="H105" s="33"/>
      <c r="I105" s="34"/>
      <c r="M105" s="69"/>
      <c r="N105" s="121"/>
      <c r="O105" s="106"/>
      <c r="P105" s="106"/>
      <c r="V105" s="98">
        <v>99</v>
      </c>
      <c r="W105" s="58">
        <f t="shared" si="4"/>
        <v>10.166666666666671</v>
      </c>
      <c r="X105" s="203">
        <f t="shared" si="5"/>
        <v>-661.223100093106</v>
      </c>
      <c r="Y105" s="147"/>
      <c r="Z105" s="117"/>
      <c r="AB105" s="62"/>
      <c r="AC105" s="62"/>
      <c r="AD105" s="62"/>
      <c r="AE105" s="123"/>
      <c r="AF105" s="123"/>
    </row>
    <row r="106" spans="1:32" ht="12.75">
      <c r="A106" s="6"/>
      <c r="B106" s="6"/>
      <c r="C106" s="6"/>
      <c r="D106" s="6"/>
      <c r="E106" s="149"/>
      <c r="F106" s="149"/>
      <c r="G106" s="149"/>
      <c r="H106" s="150"/>
      <c r="I106" s="35"/>
      <c r="M106" s="69"/>
      <c r="N106" s="121"/>
      <c r="O106" s="106"/>
      <c r="P106" s="106"/>
      <c r="V106" s="98">
        <v>100</v>
      </c>
      <c r="W106" s="58">
        <f t="shared" si="4"/>
        <v>10.250000000000005</v>
      </c>
      <c r="X106" s="203">
        <f t="shared" si="5"/>
        <v>-638.8483350765973</v>
      </c>
      <c r="Y106" s="147"/>
      <c r="Z106" s="117"/>
      <c r="AB106" s="62"/>
      <c r="AC106" s="62"/>
      <c r="AD106" s="62"/>
      <c r="AE106" s="123"/>
      <c r="AF106" s="123"/>
    </row>
    <row r="107" spans="1:32" ht="12.75">
      <c r="A107" s="6"/>
      <c r="B107" s="18"/>
      <c r="C107" s="6"/>
      <c r="D107" s="6"/>
      <c r="E107" s="149"/>
      <c r="F107" s="149"/>
      <c r="G107" s="149"/>
      <c r="H107" s="150"/>
      <c r="I107" s="36"/>
      <c r="M107" s="104"/>
      <c r="N107" s="119"/>
      <c r="O107" s="106"/>
      <c r="P107" s="106"/>
      <c r="V107" s="98">
        <v>101</v>
      </c>
      <c r="W107" s="58">
        <f t="shared" si="4"/>
        <v>10.33333333333334</v>
      </c>
      <c r="X107" s="203">
        <f t="shared" si="5"/>
        <v>-616.0464867267553</v>
      </c>
      <c r="Y107" s="147"/>
      <c r="Z107" s="117"/>
      <c r="AB107" s="62"/>
      <c r="AC107" s="62"/>
      <c r="AD107" s="62"/>
      <c r="AE107" s="123"/>
      <c r="AF107" s="123"/>
    </row>
    <row r="108" spans="1:32" ht="12.75">
      <c r="A108" s="6"/>
      <c r="B108" s="18"/>
      <c r="C108" s="6"/>
      <c r="D108" s="6"/>
      <c r="E108" s="149"/>
      <c r="F108" s="149"/>
      <c r="G108" s="149"/>
      <c r="H108" s="150"/>
      <c r="I108" s="36"/>
      <c r="M108" s="114"/>
      <c r="N108" s="119"/>
      <c r="O108" s="96"/>
      <c r="P108" s="111"/>
      <c r="V108" s="98">
        <v>102</v>
      </c>
      <c r="W108" s="58">
        <f t="shared" si="4"/>
        <v>10.416666666666673</v>
      </c>
      <c r="X108" s="203">
        <f t="shared" si="5"/>
        <v>-592.8140828213577</v>
      </c>
      <c r="Y108" s="147"/>
      <c r="Z108" s="117"/>
      <c r="AB108" s="62"/>
      <c r="AC108" s="62"/>
      <c r="AD108" s="62"/>
      <c r="AE108" s="123"/>
      <c r="AF108" s="123"/>
    </row>
    <row r="109" spans="1:32" ht="12.75">
      <c r="A109" s="12"/>
      <c r="B109" s="29"/>
      <c r="C109" s="18"/>
      <c r="D109" s="6"/>
      <c r="E109" s="149"/>
      <c r="F109" s="149"/>
      <c r="G109" s="149"/>
      <c r="H109" s="150"/>
      <c r="I109" s="10"/>
      <c r="M109" s="104"/>
      <c r="N109" s="100"/>
      <c r="O109" s="106"/>
      <c r="P109" s="106"/>
      <c r="V109" s="98">
        <v>103</v>
      </c>
      <c r="W109" s="58">
        <f t="shared" si="4"/>
        <v>10.500000000000007</v>
      </c>
      <c r="X109" s="203">
        <f t="shared" si="5"/>
        <v>-569.1476511381827</v>
      </c>
      <c r="Y109" s="147"/>
      <c r="Z109" s="117"/>
      <c r="AB109" s="62"/>
      <c r="AC109" s="62"/>
      <c r="AD109" s="62"/>
      <c r="AE109" s="123"/>
      <c r="AF109" s="123"/>
    </row>
    <row r="110" spans="1:32" ht="12.75">
      <c r="A110" s="6"/>
      <c r="B110" s="6"/>
      <c r="C110" s="6"/>
      <c r="D110" s="19"/>
      <c r="E110" s="149"/>
      <c r="F110" s="149"/>
      <c r="G110" s="149"/>
      <c r="H110" s="149"/>
      <c r="I110" s="10"/>
      <c r="M110" s="104"/>
      <c r="N110" s="100"/>
      <c r="O110" s="106"/>
      <c r="P110" s="106"/>
      <c r="V110" s="98">
        <v>104</v>
      </c>
      <c r="W110" s="58">
        <f t="shared" si="4"/>
        <v>10.583333333333341</v>
      </c>
      <c r="X110" s="203">
        <f t="shared" si="5"/>
        <v>-545.0437194550072</v>
      </c>
      <c r="Y110" s="147"/>
      <c r="Z110" s="117"/>
      <c r="AB110" s="62"/>
      <c r="AC110" s="62"/>
      <c r="AD110" s="62"/>
      <c r="AE110" s="123"/>
      <c r="AF110" s="123"/>
    </row>
    <row r="111" spans="1:32" ht="12.75">
      <c r="A111" s="149"/>
      <c r="B111" s="149"/>
      <c r="C111" s="149"/>
      <c r="D111" s="149"/>
      <c r="E111" s="149"/>
      <c r="F111" s="149"/>
      <c r="G111" s="149"/>
      <c r="H111" s="149"/>
      <c r="I111" s="10"/>
      <c r="M111" s="104"/>
      <c r="N111" s="119"/>
      <c r="O111" s="106"/>
      <c r="P111" s="106"/>
      <c r="V111" s="98">
        <v>105</v>
      </c>
      <c r="W111" s="58">
        <f t="shared" si="4"/>
        <v>10.666666666666675</v>
      </c>
      <c r="X111" s="203">
        <f t="shared" si="5"/>
        <v>-520.4988155496098</v>
      </c>
      <c r="Y111" s="147"/>
      <c r="Z111" s="117"/>
      <c r="AB111" s="62"/>
      <c r="AC111" s="62"/>
      <c r="AD111" s="62"/>
      <c r="AE111" s="123"/>
      <c r="AF111" s="123"/>
    </row>
    <row r="112" spans="1:32" ht="12.75">
      <c r="A112" s="6"/>
      <c r="B112" s="12"/>
      <c r="C112" s="18"/>
      <c r="D112" s="18"/>
      <c r="E112" s="10"/>
      <c r="F112" s="10"/>
      <c r="G112" s="10"/>
      <c r="H112" s="10"/>
      <c r="I112" s="10"/>
      <c r="M112" s="114"/>
      <c r="N112" s="119"/>
      <c r="O112" s="96"/>
      <c r="P112" s="111"/>
      <c r="V112" s="98">
        <v>106</v>
      </c>
      <c r="W112" s="58">
        <f t="shared" si="4"/>
        <v>10.750000000000009</v>
      </c>
      <c r="X112" s="203">
        <f t="shared" si="5"/>
        <v>-495.509467199768</v>
      </c>
      <c r="Y112" s="147"/>
      <c r="Z112" s="117"/>
      <c r="AB112" s="62"/>
      <c r="AC112" s="62"/>
      <c r="AD112" s="62"/>
      <c r="AE112" s="123"/>
      <c r="AF112" s="123"/>
    </row>
    <row r="113" spans="1:32" ht="12.75">
      <c r="A113" s="12"/>
      <c r="B113" s="38"/>
      <c r="C113" s="18"/>
      <c r="D113" s="18"/>
      <c r="E113" s="10"/>
      <c r="F113" s="10"/>
      <c r="G113" s="10"/>
      <c r="H113" s="10"/>
      <c r="I113" s="10"/>
      <c r="M113" s="114"/>
      <c r="N113" s="102"/>
      <c r="O113" s="96"/>
      <c r="P113" s="111"/>
      <c r="V113" s="98">
        <v>107</v>
      </c>
      <c r="W113" s="58">
        <f t="shared" si="4"/>
        <v>10.833333333333343</v>
      </c>
      <c r="X113" s="203">
        <f t="shared" si="5"/>
        <v>-470.07220218325915</v>
      </c>
      <c r="Y113" s="147"/>
      <c r="Z113" s="117"/>
      <c r="AB113" s="62"/>
      <c r="AC113" s="62"/>
      <c r="AD113" s="62"/>
      <c r="AE113" s="123"/>
      <c r="AF113" s="123"/>
    </row>
    <row r="114" spans="1:32" ht="12.75">
      <c r="A114" s="12"/>
      <c r="B114" s="38"/>
      <c r="C114" s="18"/>
      <c r="D114" s="18"/>
      <c r="E114" s="10"/>
      <c r="F114" s="10"/>
      <c r="G114" s="10"/>
      <c r="H114" s="39"/>
      <c r="I114" s="28"/>
      <c r="M114" s="114"/>
      <c r="N114" s="119"/>
      <c r="O114" s="96"/>
      <c r="P114" s="51"/>
      <c r="V114" s="98">
        <v>108</v>
      </c>
      <c r="W114" s="58">
        <f t="shared" si="4"/>
        <v>10.916666666666677</v>
      </c>
      <c r="X114" s="203">
        <f t="shared" si="5"/>
        <v>-444.18354827786175</v>
      </c>
      <c r="Y114" s="147"/>
      <c r="Z114" s="117"/>
      <c r="AB114" s="62"/>
      <c r="AC114" s="62"/>
      <c r="AD114" s="62"/>
      <c r="AE114" s="123"/>
      <c r="AF114" s="123"/>
    </row>
    <row r="115" spans="1:32" ht="12.75">
      <c r="A115" s="10"/>
      <c r="B115" s="10"/>
      <c r="C115" s="10"/>
      <c r="D115" s="10"/>
      <c r="E115" s="10"/>
      <c r="F115" s="10"/>
      <c r="G115" s="10"/>
      <c r="H115" s="10"/>
      <c r="I115" s="10"/>
      <c r="M115" s="104"/>
      <c r="N115" s="108"/>
      <c r="O115" s="106"/>
      <c r="P115" s="106"/>
      <c r="V115" s="98">
        <v>109</v>
      </c>
      <c r="W115" s="58">
        <f t="shared" si="4"/>
        <v>11.00000000000001</v>
      </c>
      <c r="X115" s="203">
        <f t="shared" si="5"/>
        <v>-417.840033261353</v>
      </c>
      <c r="Y115" s="147"/>
      <c r="Z115" s="117"/>
      <c r="AB115" s="62"/>
      <c r="AC115" s="62"/>
      <c r="AD115" s="62"/>
      <c r="AE115" s="123"/>
      <c r="AF115" s="123"/>
    </row>
    <row r="116" spans="1:32" ht="12.75">
      <c r="A116" s="6"/>
      <c r="B116" s="6"/>
      <c r="C116" s="6"/>
      <c r="D116" s="18"/>
      <c r="E116" s="6"/>
      <c r="F116" s="6"/>
      <c r="G116" s="6"/>
      <c r="H116" s="6"/>
      <c r="I116" s="6"/>
      <c r="M116" s="104"/>
      <c r="N116" s="108"/>
      <c r="O116" s="106"/>
      <c r="P116" s="106"/>
      <c r="V116" s="98">
        <v>110</v>
      </c>
      <c r="W116" s="58">
        <f t="shared" si="4"/>
        <v>11.083333333333345</v>
      </c>
      <c r="X116" s="203">
        <f t="shared" si="5"/>
        <v>-391.03818491151094</v>
      </c>
      <c r="Y116" s="147"/>
      <c r="Z116" s="117"/>
      <c r="AB116" s="62"/>
      <c r="AC116" s="62"/>
      <c r="AD116" s="62"/>
      <c r="AE116" s="123"/>
      <c r="AF116" s="123"/>
    </row>
    <row r="117" spans="1:32" ht="12.75">
      <c r="A117" s="40"/>
      <c r="B117" s="38"/>
      <c r="C117" s="26"/>
      <c r="D117" s="26"/>
      <c r="E117" s="10"/>
      <c r="F117" s="10"/>
      <c r="G117" s="10"/>
      <c r="H117" s="10"/>
      <c r="I117" s="10"/>
      <c r="M117" s="114"/>
      <c r="N117" s="119"/>
      <c r="O117" s="96"/>
      <c r="P117" s="111"/>
      <c r="V117" s="98">
        <v>111</v>
      </c>
      <c r="W117" s="58">
        <f t="shared" si="4"/>
        <v>11.166666666666679</v>
      </c>
      <c r="X117" s="203">
        <f t="shared" si="5"/>
        <v>-363.7745310061132</v>
      </c>
      <c r="Y117" s="147"/>
      <c r="Z117" s="117"/>
      <c r="AB117" s="62"/>
      <c r="AC117" s="62"/>
      <c r="AD117" s="62"/>
      <c r="AE117" s="123"/>
      <c r="AF117" s="123"/>
    </row>
    <row r="118" spans="1:32" ht="12.75">
      <c r="A118" s="40"/>
      <c r="B118" s="41"/>
      <c r="C118" s="26"/>
      <c r="D118" s="26"/>
      <c r="E118" s="10"/>
      <c r="F118" s="10"/>
      <c r="G118" s="10"/>
      <c r="H118" s="10"/>
      <c r="I118" s="10"/>
      <c r="M118" s="104"/>
      <c r="N118" s="105"/>
      <c r="O118" s="106"/>
      <c r="P118" s="46"/>
      <c r="V118" s="98">
        <v>112</v>
      </c>
      <c r="W118" s="58">
        <f t="shared" si="4"/>
        <v>11.250000000000012</v>
      </c>
      <c r="X118" s="203">
        <f t="shared" si="5"/>
        <v>-336.04559932293796</v>
      </c>
      <c r="Y118" s="147"/>
      <c r="Z118" s="117"/>
      <c r="AB118" s="62"/>
      <c r="AC118" s="62"/>
      <c r="AD118" s="62"/>
      <c r="AE118" s="123"/>
      <c r="AF118" s="123"/>
    </row>
    <row r="119" spans="1:32" ht="12.75">
      <c r="A119" s="42"/>
      <c r="B119" s="41"/>
      <c r="C119" s="26"/>
      <c r="D119" s="27"/>
      <c r="E119" s="10"/>
      <c r="F119" s="10"/>
      <c r="G119" s="10"/>
      <c r="H119" s="10"/>
      <c r="I119" s="10"/>
      <c r="O119" s="96"/>
      <c r="P119" s="46"/>
      <c r="V119" s="98">
        <v>113</v>
      </c>
      <c r="W119" s="58">
        <f t="shared" si="4"/>
        <v>11.333333333333346</v>
      </c>
      <c r="X119" s="203">
        <f t="shared" si="5"/>
        <v>-307.8479176397627</v>
      </c>
      <c r="Y119" s="147"/>
      <c r="Z119" s="117"/>
      <c r="AB119" s="62"/>
      <c r="AC119" s="62"/>
      <c r="AD119" s="62"/>
      <c r="AE119" s="123"/>
      <c r="AF119" s="123"/>
    </row>
    <row r="120" spans="1:32" ht="12.75">
      <c r="A120" s="42"/>
      <c r="B120" s="41"/>
      <c r="C120" s="26"/>
      <c r="D120" s="27"/>
      <c r="E120" s="10"/>
      <c r="F120" s="10"/>
      <c r="G120" s="10"/>
      <c r="H120" s="10"/>
      <c r="I120" s="10"/>
      <c r="M120" s="106"/>
      <c r="O120" s="96"/>
      <c r="P120" s="122"/>
      <c r="V120" s="98">
        <v>114</v>
      </c>
      <c r="W120" s="58">
        <f t="shared" si="4"/>
        <v>11.41666666666668</v>
      </c>
      <c r="X120" s="203">
        <f t="shared" si="5"/>
        <v>-279.1780137343653</v>
      </c>
      <c r="Y120" s="147"/>
      <c r="Z120" s="117"/>
      <c r="AB120" s="62"/>
      <c r="AC120" s="62"/>
      <c r="AD120" s="62"/>
      <c r="AE120" s="123"/>
      <c r="AF120" s="123"/>
    </row>
    <row r="121" spans="1:32" ht="12.75">
      <c r="A121" s="10"/>
      <c r="B121" s="10"/>
      <c r="C121" s="10"/>
      <c r="D121" s="10"/>
      <c r="E121" s="10"/>
      <c r="F121" s="10"/>
      <c r="G121" s="43"/>
      <c r="H121" s="10"/>
      <c r="I121" s="10"/>
      <c r="M121" s="104"/>
      <c r="N121" s="105"/>
      <c r="O121" s="106"/>
      <c r="P121" s="106"/>
      <c r="V121" s="98">
        <v>115</v>
      </c>
      <c r="W121" s="58">
        <f t="shared" si="4"/>
        <v>11.500000000000014</v>
      </c>
      <c r="X121" s="203">
        <f t="shared" si="5"/>
        <v>-250.03241538452278</v>
      </c>
      <c r="Y121" s="147"/>
      <c r="Z121" s="117"/>
      <c r="AB121" s="62"/>
      <c r="AC121" s="62"/>
      <c r="AD121" s="62"/>
      <c r="AE121" s="123"/>
      <c r="AF121" s="123"/>
    </row>
    <row r="122" spans="1:32" ht="12.75">
      <c r="A122" s="44"/>
      <c r="B122" s="38"/>
      <c r="C122" s="18"/>
      <c r="D122" s="18"/>
      <c r="E122" s="6"/>
      <c r="F122" s="43"/>
      <c r="G122" s="6"/>
      <c r="H122" s="6"/>
      <c r="I122" s="6"/>
      <c r="M122" s="104"/>
      <c r="N122" s="105"/>
      <c r="O122" s="106"/>
      <c r="P122" s="106"/>
      <c r="V122" s="98">
        <v>116</v>
      </c>
      <c r="W122" s="58">
        <f t="shared" si="4"/>
        <v>11.583333333333348</v>
      </c>
      <c r="X122" s="203">
        <f t="shared" si="5"/>
        <v>-220.40765036801417</v>
      </c>
      <c r="Y122" s="147"/>
      <c r="Z122" s="117"/>
      <c r="AB122" s="62"/>
      <c r="AC122" s="62"/>
      <c r="AD122" s="62"/>
      <c r="AE122" s="123"/>
      <c r="AF122" s="123"/>
    </row>
    <row r="123" spans="1:32" ht="12.75">
      <c r="A123" s="10"/>
      <c r="B123" s="10"/>
      <c r="C123" s="10"/>
      <c r="D123" s="10"/>
      <c r="E123" s="10"/>
      <c r="F123" s="10"/>
      <c r="G123" s="10"/>
      <c r="H123" s="10"/>
      <c r="I123" s="10"/>
      <c r="M123" s="104"/>
      <c r="N123" s="105"/>
      <c r="O123" s="106"/>
      <c r="P123" s="106"/>
      <c r="V123" s="98">
        <v>117</v>
      </c>
      <c r="W123" s="58">
        <f t="shared" si="4"/>
        <v>11.666666666666682</v>
      </c>
      <c r="X123" s="203">
        <f t="shared" si="5"/>
        <v>-190.30024646261654</v>
      </c>
      <c r="Y123" s="147"/>
      <c r="Z123" s="117"/>
      <c r="AB123" s="62"/>
      <c r="AC123" s="62"/>
      <c r="AD123" s="62"/>
      <c r="AE123" s="123"/>
      <c r="AF123" s="123"/>
    </row>
    <row r="124" spans="1:32" ht="12.75">
      <c r="A124" s="37"/>
      <c r="B124" s="45"/>
      <c r="C124" s="18"/>
      <c r="D124" s="26"/>
      <c r="E124" s="6"/>
      <c r="F124" s="6"/>
      <c r="G124" s="6"/>
      <c r="H124" s="6"/>
      <c r="I124" s="10"/>
      <c r="M124" s="104"/>
      <c r="N124" s="105"/>
      <c r="O124" s="106"/>
      <c r="P124" s="106"/>
      <c r="V124" s="98">
        <v>118</v>
      </c>
      <c r="W124" s="58">
        <f t="shared" si="4"/>
        <v>11.750000000000016</v>
      </c>
      <c r="X124" s="203">
        <f t="shared" si="5"/>
        <v>-159.70673144610805</v>
      </c>
      <c r="Y124" s="147"/>
      <c r="Z124" s="117"/>
      <c r="AB124" s="62"/>
      <c r="AC124" s="62"/>
      <c r="AD124" s="62"/>
      <c r="AE124" s="123"/>
      <c r="AF124" s="123"/>
    </row>
    <row r="125" spans="1:32" ht="12.75">
      <c r="A125" s="37"/>
      <c r="B125" s="38"/>
      <c r="C125" s="18"/>
      <c r="D125" s="26"/>
      <c r="E125" s="6"/>
      <c r="F125" s="6"/>
      <c r="G125" s="6"/>
      <c r="H125" s="6"/>
      <c r="I125" s="10"/>
      <c r="M125" s="106"/>
      <c r="O125" s="96"/>
      <c r="P125" s="106"/>
      <c r="V125" s="98">
        <v>119</v>
      </c>
      <c r="W125" s="58">
        <f t="shared" si="4"/>
        <v>11.83333333333335</v>
      </c>
      <c r="X125" s="203">
        <f t="shared" si="5"/>
        <v>-128.62363309626585</v>
      </c>
      <c r="Y125" s="147"/>
      <c r="Z125" s="117"/>
      <c r="AB125" s="62"/>
      <c r="AC125" s="62"/>
      <c r="AD125" s="62"/>
      <c r="AE125" s="123"/>
      <c r="AF125" s="123"/>
    </row>
    <row r="126" spans="1:32" ht="12.75">
      <c r="A126" s="22"/>
      <c r="B126" s="38"/>
      <c r="C126" s="29"/>
      <c r="D126" s="26"/>
      <c r="E126" s="6"/>
      <c r="F126" s="6"/>
      <c r="G126" s="6"/>
      <c r="H126" s="6"/>
      <c r="I126" s="10"/>
      <c r="M126" s="104"/>
      <c r="N126" s="108"/>
      <c r="O126" s="106"/>
      <c r="P126" s="106"/>
      <c r="V126" s="98">
        <v>120</v>
      </c>
      <c r="W126" s="58">
        <f t="shared" si="4"/>
        <v>11.916666666666684</v>
      </c>
      <c r="X126" s="203">
        <f t="shared" si="5"/>
        <v>-97.04747919086844</v>
      </c>
      <c r="Y126" s="147"/>
      <c r="Z126" s="117"/>
      <c r="AB126" s="62"/>
      <c r="AC126" s="62"/>
      <c r="AD126" s="62"/>
      <c r="AE126" s="123"/>
      <c r="AF126" s="123"/>
    </row>
    <row r="127" spans="1:32" ht="12.75">
      <c r="A127" s="28"/>
      <c r="B127" s="40"/>
      <c r="C127" s="18"/>
      <c r="D127" s="6"/>
      <c r="E127" s="6"/>
      <c r="F127" s="6"/>
      <c r="G127" s="6"/>
      <c r="H127" s="6"/>
      <c r="I127" s="28"/>
      <c r="M127" s="104"/>
      <c r="N127" s="105"/>
      <c r="O127" s="106"/>
      <c r="P127" s="106"/>
      <c r="V127" s="98">
        <v>121</v>
      </c>
      <c r="W127" s="58">
        <f t="shared" si="4"/>
        <v>12.000000000000018</v>
      </c>
      <c r="X127" s="203">
        <f t="shared" si="5"/>
        <v>-64.97479750769276</v>
      </c>
      <c r="Y127" s="147"/>
      <c r="Z127" s="117"/>
      <c r="AB127" s="62"/>
      <c r="AC127" s="62"/>
      <c r="AD127" s="62"/>
      <c r="AE127" s="123"/>
      <c r="AF127" s="123"/>
    </row>
    <row r="128" spans="1:32" ht="12.75">
      <c r="A128" s="40"/>
      <c r="B128" s="38"/>
      <c r="C128" s="18"/>
      <c r="D128" s="18"/>
      <c r="E128" s="6"/>
      <c r="F128" s="6"/>
      <c r="G128" s="6"/>
      <c r="H128" s="6"/>
      <c r="I128" s="28"/>
      <c r="M128" s="104"/>
      <c r="N128" s="105"/>
      <c r="O128" s="106"/>
      <c r="P128" s="106"/>
      <c r="T128" s="108"/>
      <c r="V128" s="98">
        <v>122</v>
      </c>
      <c r="W128" s="58">
        <f t="shared" si="4"/>
        <v>12.083333333333352</v>
      </c>
      <c r="X128" s="203">
        <f t="shared" si="5"/>
        <v>-32.40211582451752</v>
      </c>
      <c r="Y128" s="147"/>
      <c r="Z128" s="117"/>
      <c r="AB128" s="62"/>
      <c r="AC128" s="62"/>
      <c r="AD128" s="62"/>
      <c r="AE128" s="123"/>
      <c r="AF128" s="123"/>
    </row>
    <row r="129" spans="1:32" ht="12.75">
      <c r="A129" s="40"/>
      <c r="B129" s="38"/>
      <c r="C129" s="26"/>
      <c r="D129" s="18"/>
      <c r="E129" s="46"/>
      <c r="F129" s="6"/>
      <c r="G129" s="10"/>
      <c r="H129" s="39"/>
      <c r="I129" s="6"/>
      <c r="O129" s="96"/>
      <c r="P129" s="106"/>
      <c r="V129" s="98">
        <v>123</v>
      </c>
      <c r="W129" s="58">
        <f t="shared" si="4"/>
        <v>12.166666666666686</v>
      </c>
      <c r="X129" s="203">
        <f t="shared" si="5"/>
        <v>0.6740380808803366</v>
      </c>
      <c r="Y129" s="147"/>
      <c r="Z129" s="117"/>
      <c r="AB129" s="62"/>
      <c r="AC129" s="62"/>
      <c r="AD129" s="62"/>
      <c r="AE129" s="123"/>
      <c r="AF129" s="123"/>
    </row>
    <row r="130" spans="1:32" ht="12.75">
      <c r="A130" s="12"/>
      <c r="B130" s="47"/>
      <c r="C130" s="18"/>
      <c r="D130" s="18"/>
      <c r="E130" s="46"/>
      <c r="F130" s="10"/>
      <c r="G130" s="10"/>
      <c r="H130" s="6"/>
      <c r="I130" s="6"/>
      <c r="M130" s="117"/>
      <c r="N130" s="73"/>
      <c r="O130" s="70"/>
      <c r="P130" s="106"/>
      <c r="V130" s="98">
        <v>124</v>
      </c>
      <c r="W130" s="58">
        <f t="shared" si="4"/>
        <v>12.25000000000002</v>
      </c>
      <c r="X130" s="203">
        <f t="shared" si="5"/>
        <v>34.25713643072254</v>
      </c>
      <c r="Y130" s="147"/>
      <c r="Z130" s="117"/>
      <c r="AB130" s="62"/>
      <c r="AC130" s="62"/>
      <c r="AD130" s="62"/>
      <c r="AE130" s="123"/>
      <c r="AF130" s="123"/>
    </row>
    <row r="131" spans="1:32" ht="12.75">
      <c r="A131" s="40"/>
      <c r="B131" s="38"/>
      <c r="C131" s="18"/>
      <c r="D131" s="18"/>
      <c r="E131" s="6"/>
      <c r="F131" s="10"/>
      <c r="G131" s="39"/>
      <c r="H131" s="28"/>
      <c r="I131" s="6"/>
      <c r="M131" s="104"/>
      <c r="N131" s="108"/>
      <c r="O131" s="106"/>
      <c r="P131" s="106"/>
      <c r="V131" s="98">
        <v>125</v>
      </c>
      <c r="W131" s="58">
        <f t="shared" si="4"/>
        <v>12.333333333333353</v>
      </c>
      <c r="X131" s="203">
        <f t="shared" si="5"/>
        <v>68.3506514472308</v>
      </c>
      <c r="Y131" s="147"/>
      <c r="Z131" s="117"/>
      <c r="AB131" s="62"/>
      <c r="AC131" s="62"/>
      <c r="AD131" s="62"/>
      <c r="AE131" s="123"/>
      <c r="AF131" s="123"/>
    </row>
    <row r="132" spans="1:32" ht="12.75">
      <c r="A132" s="48"/>
      <c r="B132" s="38"/>
      <c r="C132" s="18"/>
      <c r="D132" s="10"/>
      <c r="E132" s="10"/>
      <c r="F132" s="10"/>
      <c r="G132" s="10"/>
      <c r="H132" s="10"/>
      <c r="I132" s="6"/>
      <c r="M132" s="104"/>
      <c r="N132" s="105"/>
      <c r="O132" s="106"/>
      <c r="S132" s="105"/>
      <c r="V132" s="98">
        <v>126</v>
      </c>
      <c r="W132" s="58">
        <f t="shared" si="4"/>
        <v>12.416666666666687</v>
      </c>
      <c r="X132" s="203">
        <f t="shared" si="5"/>
        <v>102.95805535262889</v>
      </c>
      <c r="Y132" s="147"/>
      <c r="Z132" s="117"/>
      <c r="AB132" s="62"/>
      <c r="AC132" s="62"/>
      <c r="AD132" s="62"/>
      <c r="AE132" s="123"/>
      <c r="AF132" s="123"/>
    </row>
    <row r="133" spans="1:32" ht="12.75">
      <c r="A133" s="48"/>
      <c r="B133" s="38"/>
      <c r="C133" s="26"/>
      <c r="D133" s="18"/>
      <c r="E133" s="10"/>
      <c r="F133" s="10"/>
      <c r="G133" s="10"/>
      <c r="H133" s="39"/>
      <c r="I133" s="6"/>
      <c r="M133" s="104"/>
      <c r="N133" s="119"/>
      <c r="O133" s="106"/>
      <c r="P133" s="106"/>
      <c r="S133" s="108"/>
      <c r="V133" s="98">
        <v>127</v>
      </c>
      <c r="W133" s="58">
        <f t="shared" si="4"/>
        <v>12.500000000000021</v>
      </c>
      <c r="X133" s="203">
        <f t="shared" si="5"/>
        <v>138.0828203691376</v>
      </c>
      <c r="Y133" s="147"/>
      <c r="Z133" s="117"/>
      <c r="AB133" s="62"/>
      <c r="AC133" s="62"/>
      <c r="AD133" s="62"/>
      <c r="AE133" s="123"/>
      <c r="AF133" s="123"/>
    </row>
    <row r="134" spans="1:32" ht="12.75">
      <c r="A134" s="26"/>
      <c r="B134" s="28"/>
      <c r="C134" s="28"/>
      <c r="D134" s="26"/>
      <c r="E134" s="28"/>
      <c r="F134" s="28"/>
      <c r="G134" s="28"/>
      <c r="H134" s="6"/>
      <c r="I134" s="6"/>
      <c r="M134" s="104"/>
      <c r="N134" s="105"/>
      <c r="O134" s="106"/>
      <c r="S134" s="105"/>
      <c r="V134" s="98">
        <v>128</v>
      </c>
      <c r="W134" s="58">
        <f t="shared" si="4"/>
        <v>12.583333333333355</v>
      </c>
      <c r="X134" s="203">
        <f t="shared" si="5"/>
        <v>173.7284187189798</v>
      </c>
      <c r="Y134" s="147"/>
      <c r="Z134" s="117"/>
      <c r="AB134" s="62"/>
      <c r="AC134" s="62"/>
      <c r="AD134" s="62"/>
      <c r="AE134" s="123"/>
      <c r="AF134" s="123"/>
    </row>
    <row r="135" spans="1:32" ht="12.75">
      <c r="A135" s="48"/>
      <c r="B135" s="38"/>
      <c r="C135" s="10"/>
      <c r="D135" s="26"/>
      <c r="E135" s="10"/>
      <c r="F135" s="10"/>
      <c r="G135" s="10"/>
      <c r="H135" s="10"/>
      <c r="I135" s="6"/>
      <c r="M135" s="104"/>
      <c r="N135" s="105"/>
      <c r="O135" s="106"/>
      <c r="P135" s="106"/>
      <c r="V135" s="98">
        <v>129</v>
      </c>
      <c r="W135" s="58">
        <f t="shared" si="4"/>
        <v>12.66666666666669</v>
      </c>
      <c r="X135" s="203">
        <f t="shared" si="5"/>
        <v>209.89832262437744</v>
      </c>
      <c r="Y135" s="147"/>
      <c r="Z135" s="117"/>
      <c r="AB135" s="62"/>
      <c r="AC135" s="62"/>
      <c r="AD135" s="62"/>
      <c r="AE135" s="123"/>
      <c r="AF135" s="123"/>
    </row>
    <row r="136" spans="1:32" ht="12.75">
      <c r="A136" s="40"/>
      <c r="B136" s="38"/>
      <c r="C136" s="26"/>
      <c r="D136" s="26"/>
      <c r="E136" s="28"/>
      <c r="F136" s="28"/>
      <c r="G136" s="28"/>
      <c r="H136" s="10"/>
      <c r="I136" s="6"/>
      <c r="O136" s="96"/>
      <c r="P136" s="106"/>
      <c r="V136" s="98">
        <v>130</v>
      </c>
      <c r="W136" s="58">
        <f t="shared" si="4"/>
        <v>12.750000000000023</v>
      </c>
      <c r="X136" s="203">
        <f t="shared" si="5"/>
        <v>246.59600430755313</v>
      </c>
      <c r="Y136" s="147"/>
      <c r="Z136" s="117"/>
      <c r="AB136" s="62"/>
      <c r="AC136" s="62"/>
      <c r="AD136" s="62"/>
      <c r="AE136" s="123"/>
      <c r="AF136" s="123"/>
    </row>
    <row r="137" spans="1:32" ht="12.75">
      <c r="A137" s="42"/>
      <c r="B137" s="41"/>
      <c r="C137" s="26"/>
      <c r="D137" s="27"/>
      <c r="E137" s="28"/>
      <c r="F137" s="28"/>
      <c r="G137" s="10"/>
      <c r="H137" s="10"/>
      <c r="I137" s="10"/>
      <c r="M137" s="104"/>
      <c r="N137" s="105"/>
      <c r="O137" s="106"/>
      <c r="P137" s="106"/>
      <c r="V137" s="98">
        <v>131</v>
      </c>
      <c r="W137" s="58">
        <f t="shared" si="4"/>
        <v>12.833333333333357</v>
      </c>
      <c r="X137" s="203">
        <f t="shared" si="5"/>
        <v>283.82493599072836</v>
      </c>
      <c r="Y137" s="147"/>
      <c r="Z137" s="117"/>
      <c r="AB137" s="62"/>
      <c r="AC137" s="62"/>
      <c r="AD137" s="62"/>
      <c r="AE137" s="123"/>
      <c r="AF137" s="123"/>
    </row>
    <row r="138" spans="1:32" ht="12.75">
      <c r="A138" s="42"/>
      <c r="B138" s="41"/>
      <c r="C138" s="26"/>
      <c r="D138" s="27"/>
      <c r="E138" s="10"/>
      <c r="F138" s="10"/>
      <c r="G138" s="10"/>
      <c r="H138" s="43"/>
      <c r="I138" s="10"/>
      <c r="M138" s="104"/>
      <c r="N138" s="108"/>
      <c r="O138" s="106"/>
      <c r="P138" s="106"/>
      <c r="V138" s="98">
        <v>132</v>
      </c>
      <c r="W138" s="58">
        <f t="shared" si="4"/>
        <v>12.916666666666691</v>
      </c>
      <c r="X138" s="203">
        <f t="shared" si="5"/>
        <v>321.5885898961262</v>
      </c>
      <c r="Y138" s="147"/>
      <c r="Z138" s="117"/>
      <c r="AB138" s="62"/>
      <c r="AC138" s="62"/>
      <c r="AD138" s="62"/>
      <c r="AE138" s="123"/>
      <c r="AF138" s="123"/>
    </row>
    <row r="139" spans="1:32" ht="12.75">
      <c r="A139" s="10"/>
      <c r="B139" s="10"/>
      <c r="C139" s="10"/>
      <c r="D139" s="10"/>
      <c r="E139" s="10"/>
      <c r="F139" s="10"/>
      <c r="G139" s="43"/>
      <c r="H139" s="10"/>
      <c r="I139" s="10"/>
      <c r="M139" s="114"/>
      <c r="N139" s="102"/>
      <c r="O139" s="106"/>
      <c r="P139" s="111"/>
      <c r="V139" s="98">
        <v>133</v>
      </c>
      <c r="W139" s="58">
        <f t="shared" si="4"/>
        <v>13.000000000000025</v>
      </c>
      <c r="X139" s="203">
        <f t="shared" si="5"/>
        <v>359.8904382459684</v>
      </c>
      <c r="Y139" s="147"/>
      <c r="Z139" s="117"/>
      <c r="AB139" s="62"/>
      <c r="AC139" s="62"/>
      <c r="AD139" s="62"/>
      <c r="AE139" s="123"/>
      <c r="AF139" s="123"/>
    </row>
    <row r="140" spans="1:32" ht="12.75">
      <c r="A140" s="26"/>
      <c r="B140" s="28"/>
      <c r="C140" s="6"/>
      <c r="D140" s="6"/>
      <c r="E140" s="10"/>
      <c r="F140" s="43"/>
      <c r="G140" s="10"/>
      <c r="H140" s="10"/>
      <c r="I140" s="10"/>
      <c r="M140" s="114"/>
      <c r="N140" s="102"/>
      <c r="O140" s="106"/>
      <c r="P140" s="111"/>
      <c r="V140" s="98">
        <v>134</v>
      </c>
      <c r="W140" s="58">
        <f t="shared" si="4"/>
        <v>13.083333333333359</v>
      </c>
      <c r="X140" s="203">
        <f t="shared" si="5"/>
        <v>398.73395326247737</v>
      </c>
      <c r="Y140" s="147"/>
      <c r="Z140" s="117"/>
      <c r="AB140" s="62"/>
      <c r="AC140" s="62"/>
      <c r="AD140" s="62"/>
      <c r="AE140" s="123"/>
      <c r="AF140" s="123"/>
    </row>
    <row r="141" spans="1:32" ht="12.75">
      <c r="A141" s="10"/>
      <c r="B141" s="10"/>
      <c r="C141" s="10"/>
      <c r="D141" s="10"/>
      <c r="E141" s="10"/>
      <c r="F141" s="10"/>
      <c r="G141" s="10"/>
      <c r="H141" s="10"/>
      <c r="I141" s="10"/>
      <c r="O141" s="96"/>
      <c r="P141" s="106"/>
      <c r="V141" s="98">
        <v>135</v>
      </c>
      <c r="W141" s="58">
        <f t="shared" si="4"/>
        <v>13.166666666666693</v>
      </c>
      <c r="X141" s="203">
        <f t="shared" si="5"/>
        <v>438.122607167875</v>
      </c>
      <c r="Y141" s="147"/>
      <c r="Z141" s="117"/>
      <c r="AB141" s="62"/>
      <c r="AC141" s="62"/>
      <c r="AD141" s="62"/>
      <c r="AE141" s="123"/>
      <c r="AF141" s="123"/>
    </row>
    <row r="142" spans="1:32" ht="12.75">
      <c r="A142" s="49"/>
      <c r="B142" s="50"/>
      <c r="C142" s="50"/>
      <c r="D142" s="50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136</v>
      </c>
      <c r="W142" s="58">
        <f t="shared" si="4"/>
        <v>13.250000000000027</v>
      </c>
      <c r="X142" s="203">
        <f t="shared" si="5"/>
        <v>478.05987218438395</v>
      </c>
      <c r="Y142" s="147"/>
      <c r="Z142" s="117"/>
      <c r="AB142" s="62"/>
      <c r="AC142" s="62"/>
      <c r="AD142" s="62"/>
      <c r="AE142" s="123"/>
      <c r="AF142" s="123"/>
    </row>
    <row r="143" spans="1:32" ht="12.75">
      <c r="A143" s="40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137</v>
      </c>
      <c r="W143" s="58">
        <f t="shared" si="4"/>
        <v>13.33333333333336</v>
      </c>
      <c r="X143" s="203">
        <f t="shared" si="5"/>
        <v>518.5492205342262</v>
      </c>
      <c r="Y143" s="147"/>
      <c r="Z143" s="117"/>
      <c r="AB143" s="62"/>
      <c r="AC143" s="62"/>
      <c r="AD143" s="62"/>
      <c r="AE143" s="123"/>
      <c r="AF143" s="123"/>
    </row>
    <row r="144" spans="1:32" ht="12.75">
      <c r="A144" s="40"/>
      <c r="B144" s="38"/>
      <c r="C144" s="51"/>
      <c r="D144" s="51"/>
      <c r="E144" s="50"/>
      <c r="F144" s="50"/>
      <c r="G144" s="50"/>
      <c r="H144" s="52"/>
      <c r="I144" s="10"/>
      <c r="M144" s="104"/>
      <c r="N144" s="105"/>
      <c r="O144" s="106"/>
      <c r="P144" s="106"/>
      <c r="V144" s="98">
        <v>138</v>
      </c>
      <c r="W144" s="58">
        <f t="shared" si="4"/>
        <v>13.416666666666694</v>
      </c>
      <c r="X144" s="203">
        <f t="shared" si="5"/>
        <v>559.5941244396242</v>
      </c>
      <c r="Y144" s="147"/>
      <c r="Z144" s="117"/>
      <c r="AB144" s="62"/>
      <c r="AC144" s="62"/>
      <c r="AD144" s="62"/>
      <c r="AE144" s="123"/>
      <c r="AF144" s="123"/>
    </row>
    <row r="145" spans="1:32" ht="12.75">
      <c r="A145" s="18"/>
      <c r="B145" s="50"/>
      <c r="C145" s="50"/>
      <c r="D145" s="51"/>
      <c r="E145" s="50"/>
      <c r="F145" s="50"/>
      <c r="G145" s="52"/>
      <c r="H145" s="50"/>
      <c r="I145" s="10"/>
      <c r="M145" s="98"/>
      <c r="O145" s="96"/>
      <c r="P145" s="106"/>
      <c r="V145" s="98">
        <v>139</v>
      </c>
      <c r="W145" s="58">
        <f t="shared" si="4"/>
        <v>13.500000000000028</v>
      </c>
      <c r="X145" s="203">
        <f t="shared" si="5"/>
        <v>601.1980561227995</v>
      </c>
      <c r="Y145" s="147"/>
      <c r="Z145" s="117"/>
      <c r="AB145" s="62"/>
      <c r="AC145" s="62"/>
      <c r="AD145" s="62"/>
      <c r="AE145" s="123"/>
      <c r="AF145" s="123"/>
    </row>
    <row r="146" spans="1:32" ht="12.75">
      <c r="A146" s="12"/>
      <c r="B146" s="38"/>
      <c r="C146" s="51"/>
      <c r="D146" s="51"/>
      <c r="E146" s="50"/>
      <c r="F146" s="50"/>
      <c r="G146" s="50"/>
      <c r="H146" s="50"/>
      <c r="I146" s="10"/>
      <c r="M146" s="104"/>
      <c r="N146" s="108"/>
      <c r="O146" s="106"/>
      <c r="P146" s="106"/>
      <c r="V146" s="98">
        <v>140</v>
      </c>
      <c r="W146" s="58">
        <f t="shared" si="4"/>
        <v>13.583333333333362</v>
      </c>
      <c r="X146" s="203">
        <f t="shared" si="5"/>
        <v>643.3644878059752</v>
      </c>
      <c r="Y146" s="147"/>
      <c r="Z146" s="117"/>
      <c r="AB146" s="62"/>
      <c r="AC146" s="62"/>
      <c r="AD146" s="62"/>
      <c r="AE146" s="123"/>
      <c r="AF146" s="123"/>
    </row>
    <row r="147" spans="1:32" ht="12.75">
      <c r="A147" s="12"/>
      <c r="B147" s="38"/>
      <c r="C147" s="51"/>
      <c r="D147" s="51"/>
      <c r="E147" s="50"/>
      <c r="F147" s="50"/>
      <c r="G147" s="50"/>
      <c r="H147" s="50"/>
      <c r="I147" s="10"/>
      <c r="M147" s="104"/>
      <c r="N147" s="105"/>
      <c r="O147" s="106"/>
      <c r="P147" s="106"/>
      <c r="V147" s="98">
        <v>141</v>
      </c>
      <c r="W147" s="58">
        <f t="shared" si="4"/>
        <v>13.666666666666696</v>
      </c>
      <c r="X147" s="203">
        <f t="shared" si="5"/>
        <v>686.096891711373</v>
      </c>
      <c r="Y147" s="147"/>
      <c r="Z147" s="117"/>
      <c r="AB147" s="62"/>
      <c r="AC147" s="62"/>
      <c r="AD147" s="62"/>
      <c r="AE147" s="123"/>
      <c r="AF147" s="123"/>
    </row>
    <row r="148" spans="1:32" ht="12.75">
      <c r="A148" s="44"/>
      <c r="B148" s="36"/>
      <c r="C148" s="51"/>
      <c r="D148" s="50"/>
      <c r="E148" s="50"/>
      <c r="F148" s="50"/>
      <c r="G148" s="50"/>
      <c r="H148" s="52"/>
      <c r="I148" s="10"/>
      <c r="M148" s="104"/>
      <c r="N148" s="108"/>
      <c r="O148" s="106"/>
      <c r="P148" s="106"/>
      <c r="V148" s="98">
        <v>142</v>
      </c>
      <c r="W148" s="58">
        <f t="shared" si="4"/>
        <v>13.75000000000003</v>
      </c>
      <c r="X148" s="203">
        <f t="shared" si="5"/>
        <v>729.3987400612148</v>
      </c>
      <c r="Y148" s="147"/>
      <c r="Z148" s="117"/>
      <c r="AB148" s="62"/>
      <c r="AC148" s="62"/>
      <c r="AD148" s="62"/>
      <c r="AE148" s="123"/>
      <c r="AF148" s="123"/>
    </row>
    <row r="149" spans="1:32" ht="12.75">
      <c r="A149" s="10"/>
      <c r="B149" s="50"/>
      <c r="C149" s="50"/>
      <c r="D149" s="50"/>
      <c r="E149" s="50"/>
      <c r="F149" s="50"/>
      <c r="G149" s="50"/>
      <c r="H149" s="50"/>
      <c r="I149" s="10"/>
      <c r="M149" s="114"/>
      <c r="N149" s="108"/>
      <c r="O149" s="106"/>
      <c r="P149" s="111"/>
      <c r="V149" s="98">
        <v>143</v>
      </c>
      <c r="W149" s="58">
        <f t="shared" si="4"/>
        <v>13.833333333333364</v>
      </c>
      <c r="X149" s="203">
        <f t="shared" si="5"/>
        <v>773.2735050777239</v>
      </c>
      <c r="Y149" s="147"/>
      <c r="Z149" s="117"/>
      <c r="AB149" s="62"/>
      <c r="AC149" s="62"/>
      <c r="AD149" s="62"/>
      <c r="AE149" s="123"/>
      <c r="AF149" s="123"/>
    </row>
    <row r="150" spans="1:32" ht="12.75">
      <c r="A150" s="53"/>
      <c r="B150" s="38"/>
      <c r="C150" s="54"/>
      <c r="D150" s="51"/>
      <c r="E150" s="50"/>
      <c r="F150" s="50"/>
      <c r="G150" s="50"/>
      <c r="H150" s="50"/>
      <c r="I150" s="10"/>
      <c r="M150" s="114"/>
      <c r="N150" s="102"/>
      <c r="O150" s="106"/>
      <c r="P150" s="111"/>
      <c r="V150" s="98">
        <v>144</v>
      </c>
      <c r="W150" s="58">
        <f t="shared" si="4"/>
        <v>13.916666666666698</v>
      </c>
      <c r="X150" s="203">
        <f t="shared" si="5"/>
        <v>817.7246589831218</v>
      </c>
      <c r="Y150" s="147"/>
      <c r="Z150" s="117"/>
      <c r="AB150" s="62"/>
      <c r="AC150" s="62"/>
      <c r="AD150" s="62"/>
      <c r="AE150" s="123"/>
      <c r="AF150" s="123"/>
    </row>
    <row r="151" spans="1:32" ht="12.75">
      <c r="A151" s="53"/>
      <c r="B151" s="38"/>
      <c r="C151" s="51"/>
      <c r="D151" s="51"/>
      <c r="E151" s="50"/>
      <c r="F151" s="50"/>
      <c r="G151" s="50"/>
      <c r="H151" s="50"/>
      <c r="I151" s="10"/>
      <c r="M151" s="50"/>
      <c r="O151" s="96"/>
      <c r="P151" s="106"/>
      <c r="V151" s="98">
        <v>145</v>
      </c>
      <c r="W151" s="58">
        <f t="shared" si="4"/>
        <v>14.000000000000032</v>
      </c>
      <c r="X151" s="203">
        <f t="shared" si="5"/>
        <v>862.755673999631</v>
      </c>
      <c r="Y151" s="147"/>
      <c r="Z151" s="117"/>
      <c r="AB151" s="62"/>
      <c r="AC151" s="62"/>
      <c r="AD151" s="62"/>
      <c r="AE151" s="123"/>
      <c r="AF151" s="123"/>
    </row>
    <row r="152" spans="1:32" ht="12.75">
      <c r="A152" s="18"/>
      <c r="B152" s="50"/>
      <c r="C152" s="50"/>
      <c r="D152" s="50"/>
      <c r="E152" s="50"/>
      <c r="F152" s="50"/>
      <c r="G152" s="50"/>
      <c r="H152" s="50"/>
      <c r="I152" s="10"/>
      <c r="M152" s="104"/>
      <c r="N152" s="105"/>
      <c r="O152" s="106"/>
      <c r="P152" s="106"/>
      <c r="V152" s="98">
        <v>146</v>
      </c>
      <c r="W152" s="58">
        <f t="shared" si="4"/>
        <v>14.083333333333366</v>
      </c>
      <c r="X152" s="203">
        <f t="shared" si="5"/>
        <v>908.3700223494727</v>
      </c>
      <c r="Y152" s="147"/>
      <c r="Z152" s="117"/>
      <c r="AB152" s="62"/>
      <c r="AC152" s="62"/>
      <c r="AD152" s="62"/>
      <c r="AE152" s="123"/>
      <c r="AF152" s="123"/>
    </row>
    <row r="153" spans="1:32" ht="12.75">
      <c r="A153" s="55"/>
      <c r="B153" s="56"/>
      <c r="C153" s="8"/>
      <c r="D153" s="8"/>
      <c r="E153" s="8"/>
      <c r="F153" s="8"/>
      <c r="G153" s="8"/>
      <c r="H153" s="8"/>
      <c r="I153" s="8"/>
      <c r="M153" s="104"/>
      <c r="N153" s="105"/>
      <c r="O153" s="106"/>
      <c r="P153" s="106"/>
      <c r="V153" s="98">
        <v>147</v>
      </c>
      <c r="W153" s="58">
        <f t="shared" si="4"/>
        <v>14.1666666666667</v>
      </c>
      <c r="X153" s="203">
        <f t="shared" si="5"/>
        <v>954.5711762548715</v>
      </c>
      <c r="Y153" s="147"/>
      <c r="Z153" s="117"/>
      <c r="AB153" s="62"/>
      <c r="AC153" s="62"/>
      <c r="AD153" s="62"/>
      <c r="AE153" s="123"/>
      <c r="AF153" s="123"/>
    </row>
    <row r="154" spans="1:32" ht="12.75">
      <c r="A154" s="10"/>
      <c r="B154" s="10"/>
      <c r="C154" s="10"/>
      <c r="D154" s="10"/>
      <c r="E154" s="10"/>
      <c r="F154" s="10"/>
      <c r="G154" s="10"/>
      <c r="H154" s="10"/>
      <c r="I154" s="32"/>
      <c r="M154" s="50"/>
      <c r="O154" s="96"/>
      <c r="P154" s="106"/>
      <c r="V154" s="98">
        <v>148</v>
      </c>
      <c r="W154" s="58">
        <f t="shared" si="4"/>
        <v>14.250000000000034</v>
      </c>
      <c r="X154" s="203">
        <f t="shared" si="5"/>
        <v>1001.3626079380467</v>
      </c>
      <c r="Y154" s="147"/>
      <c r="Z154" s="117"/>
      <c r="AB154" s="62"/>
      <c r="AC154" s="62"/>
      <c r="AD154" s="62"/>
      <c r="AE154" s="123"/>
      <c r="AF154" s="123"/>
    </row>
    <row r="155" spans="1:32" ht="12.75">
      <c r="A155" s="10"/>
      <c r="B155" s="10"/>
      <c r="C155" s="10"/>
      <c r="D155" s="10"/>
      <c r="E155" s="10"/>
      <c r="F155" s="10"/>
      <c r="G155" s="10"/>
      <c r="H155" s="33"/>
      <c r="I155" s="34"/>
      <c r="M155" s="104"/>
      <c r="N155" s="100"/>
      <c r="O155" s="106"/>
      <c r="P155" s="106"/>
      <c r="V155" s="98">
        <v>149</v>
      </c>
      <c r="W155" s="58">
        <f t="shared" si="4"/>
        <v>14.333333333333368</v>
      </c>
      <c r="X155" s="203">
        <f t="shared" si="5"/>
        <v>1048.7477896212224</v>
      </c>
      <c r="Y155" s="147"/>
      <c r="Z155" s="117"/>
      <c r="AB155" s="62"/>
      <c r="AC155" s="62"/>
      <c r="AD155" s="62"/>
      <c r="AE155" s="123"/>
      <c r="AF155" s="123"/>
    </row>
    <row r="156" spans="1:32" ht="12.75">
      <c r="A156" s="44"/>
      <c r="B156" s="10"/>
      <c r="C156" s="10"/>
      <c r="D156" s="10"/>
      <c r="E156" s="10"/>
      <c r="F156" s="10"/>
      <c r="G156" s="10"/>
      <c r="H156" s="33"/>
      <c r="I156" s="35"/>
      <c r="M156" s="104"/>
      <c r="N156" s="100"/>
      <c r="O156" s="106"/>
      <c r="P156" s="106"/>
      <c r="V156" s="98">
        <v>150</v>
      </c>
      <c r="W156" s="58">
        <f t="shared" si="4"/>
        <v>14.416666666666702</v>
      </c>
      <c r="X156" s="203">
        <f t="shared" si="5"/>
        <v>1096.7301935266203</v>
      </c>
      <c r="Y156" s="147"/>
      <c r="Z156" s="117"/>
      <c r="AB156" s="62"/>
      <c r="AC156" s="62"/>
      <c r="AD156" s="62"/>
      <c r="AE156" s="123"/>
      <c r="AF156" s="123"/>
    </row>
    <row r="157" spans="1:32" ht="12.75">
      <c r="A157" s="40"/>
      <c r="B157" s="38"/>
      <c r="C157" s="26"/>
      <c r="D157" s="26"/>
      <c r="E157" s="10"/>
      <c r="F157" s="28"/>
      <c r="G157" s="10"/>
      <c r="H157" s="57"/>
      <c r="I157" s="36"/>
      <c r="M157" s="104"/>
      <c r="N157" s="105"/>
      <c r="O157" s="106"/>
      <c r="P157" s="106"/>
      <c r="V157" s="98">
        <v>151</v>
      </c>
      <c r="W157" s="58">
        <f t="shared" si="4"/>
        <v>14.500000000000036</v>
      </c>
      <c r="X157" s="203">
        <f t="shared" si="5"/>
        <v>1145.3132918764625</v>
      </c>
      <c r="Y157" s="147"/>
      <c r="Z157" s="117"/>
      <c r="AB157" s="62"/>
      <c r="AC157" s="62"/>
      <c r="AD157" s="62"/>
      <c r="AE157" s="123"/>
      <c r="AF157" s="123"/>
    </row>
    <row r="158" spans="1:32" ht="12.75">
      <c r="A158" s="12"/>
      <c r="B158" s="47"/>
      <c r="C158" s="18"/>
      <c r="D158" s="26"/>
      <c r="E158" s="10"/>
      <c r="F158" s="28"/>
      <c r="G158" s="10"/>
      <c r="H158" s="33"/>
      <c r="I158" s="36"/>
      <c r="M158" s="104"/>
      <c r="N158" s="105"/>
      <c r="O158" s="106"/>
      <c r="P158" s="106"/>
      <c r="V158" s="98">
        <v>152</v>
      </c>
      <c r="W158" s="58">
        <f t="shared" si="4"/>
        <v>14.58333333333337</v>
      </c>
      <c r="X158" s="203">
        <f t="shared" si="5"/>
        <v>1194.5005568929716</v>
      </c>
      <c r="Y158" s="147"/>
      <c r="Z158" s="117"/>
      <c r="AB158" s="62"/>
      <c r="AC158" s="62"/>
      <c r="AD158" s="62"/>
      <c r="AE158" s="123"/>
      <c r="AF158" s="123"/>
    </row>
    <row r="159" spans="1:32" ht="12.75">
      <c r="A159" s="48"/>
      <c r="B159" s="38"/>
      <c r="C159" s="18"/>
      <c r="D159" s="26"/>
      <c r="E159" s="46"/>
      <c r="F159" s="46"/>
      <c r="G159" s="46"/>
      <c r="H159" s="10"/>
      <c r="I159" s="10"/>
      <c r="M159" s="104"/>
      <c r="N159" s="105"/>
      <c r="O159" s="106"/>
      <c r="P159" s="106"/>
      <c r="V159" s="98">
        <v>153</v>
      </c>
      <c r="W159" s="58">
        <f t="shared" si="4"/>
        <v>14.666666666666703</v>
      </c>
      <c r="X159" s="203">
        <f t="shared" si="5"/>
        <v>1244.2954607983695</v>
      </c>
      <c r="Y159" s="147"/>
      <c r="Z159" s="117"/>
      <c r="AB159" s="62"/>
      <c r="AC159" s="62"/>
      <c r="AD159" s="62"/>
      <c r="AE159" s="123"/>
      <c r="AF159" s="123"/>
    </row>
    <row r="160" spans="1:32" ht="12.75">
      <c r="A160" s="40"/>
      <c r="B160" s="38"/>
      <c r="C160" s="26"/>
      <c r="D160" s="18"/>
      <c r="E160" s="10"/>
      <c r="F160" s="10"/>
      <c r="G160" s="10"/>
      <c r="H160" s="10"/>
      <c r="I160" s="10"/>
      <c r="V160" s="98">
        <v>154</v>
      </c>
      <c r="W160" s="58">
        <f aca="true" t="shared" si="6" ref="W160:W223">$W159+1/12</f>
        <v>14.750000000000037</v>
      </c>
      <c r="X160" s="203">
        <f aca="true" t="shared" si="7" ref="X160:X223">$W160^3-2*$N$7*$W160/($N$5*$D$14*$D$10)-2*$N$8/($N$5*$D$14*$D$10)</f>
        <v>1294.7014758148791</v>
      </c>
      <c r="Y160" s="147"/>
      <c r="Z160" s="117"/>
      <c r="AB160" s="62"/>
      <c r="AC160" s="62"/>
      <c r="AD160" s="62"/>
      <c r="AE160" s="123"/>
      <c r="AF160" s="123"/>
    </row>
    <row r="161" spans="1:32" ht="12.75">
      <c r="A161" s="40"/>
      <c r="B161" s="38"/>
      <c r="C161" s="18"/>
      <c r="D161" s="18"/>
      <c r="E161" s="46"/>
      <c r="F161" s="46"/>
      <c r="G161" s="10"/>
      <c r="H161" s="39"/>
      <c r="I161" s="10"/>
      <c r="V161" s="98">
        <v>155</v>
      </c>
      <c r="W161" s="58">
        <f t="shared" si="6"/>
        <v>14.833333333333371</v>
      </c>
      <c r="X161" s="203">
        <f t="shared" si="7"/>
        <v>1345.7220741647213</v>
      </c>
      <c r="Y161" s="147"/>
      <c r="Z161" s="117"/>
      <c r="AB161" s="62"/>
      <c r="AC161" s="62"/>
      <c r="AD161" s="62"/>
      <c r="AE161" s="123"/>
      <c r="AF161" s="123"/>
    </row>
    <row r="162" spans="1:32" ht="12.75">
      <c r="A162" s="48"/>
      <c r="B162" s="38"/>
      <c r="C162" s="26"/>
      <c r="D162" s="26"/>
      <c r="E162" s="10"/>
      <c r="F162" s="10"/>
      <c r="G162" s="10"/>
      <c r="H162" s="10"/>
      <c r="I162" s="10"/>
      <c r="V162" s="98">
        <v>156</v>
      </c>
      <c r="W162" s="58">
        <f t="shared" si="6"/>
        <v>14.916666666666705</v>
      </c>
      <c r="X162" s="203">
        <f t="shared" si="7"/>
        <v>1397.3607280701192</v>
      </c>
      <c r="Y162" s="147"/>
      <c r="Z162" s="117"/>
      <c r="AB162" s="62"/>
      <c r="AC162" s="62"/>
      <c r="AD162" s="62"/>
      <c r="AE162" s="123"/>
      <c r="AF162" s="123"/>
    </row>
    <row r="163" spans="1:32" ht="12.75">
      <c r="A163" s="48"/>
      <c r="B163" s="38"/>
      <c r="C163" s="26"/>
      <c r="D163" s="19"/>
      <c r="E163" s="10"/>
      <c r="F163" s="10"/>
      <c r="G163" s="10"/>
      <c r="H163" s="10"/>
      <c r="I163" s="10"/>
      <c r="V163" s="98">
        <v>157</v>
      </c>
      <c r="W163" s="58">
        <f t="shared" si="6"/>
        <v>15.000000000000039</v>
      </c>
      <c r="X163" s="203">
        <f t="shared" si="7"/>
        <v>1449.6209097532949</v>
      </c>
      <c r="Y163" s="147"/>
      <c r="Z163" s="117"/>
      <c r="AB163" s="62"/>
      <c r="AC163" s="62"/>
      <c r="AD163" s="62"/>
      <c r="AE163" s="123"/>
      <c r="AF163" s="123"/>
    </row>
    <row r="164" spans="1:32" ht="12.75">
      <c r="A164" s="12"/>
      <c r="B164" s="38"/>
      <c r="C164" s="18"/>
      <c r="D164" s="18"/>
      <c r="E164" s="10"/>
      <c r="F164" s="10"/>
      <c r="G164" s="10"/>
      <c r="H164" s="39"/>
      <c r="I164" s="10"/>
      <c r="V164" s="98">
        <v>158</v>
      </c>
      <c r="W164" s="58">
        <f t="shared" si="6"/>
        <v>15.083333333333373</v>
      </c>
      <c r="X164" s="203">
        <f t="shared" si="7"/>
        <v>1502.5060914364706</v>
      </c>
      <c r="Y164" s="147"/>
      <c r="Z164" s="117"/>
      <c r="AB164" s="62"/>
      <c r="AC164" s="62"/>
      <c r="AD164" s="62"/>
      <c r="AE164" s="123"/>
      <c r="AF164" s="123"/>
    </row>
    <row r="165" spans="1:32" ht="12.75">
      <c r="A165" s="26"/>
      <c r="B165" s="28"/>
      <c r="C165" s="28"/>
      <c r="D165" s="28"/>
      <c r="E165" s="28"/>
      <c r="F165" s="10"/>
      <c r="G165" s="10"/>
      <c r="H165" s="10"/>
      <c r="I165" s="10"/>
      <c r="V165" s="98">
        <v>159</v>
      </c>
      <c r="W165" s="58">
        <f t="shared" si="6"/>
        <v>15.166666666666707</v>
      </c>
      <c r="X165" s="203">
        <f t="shared" si="7"/>
        <v>1556.0197453418684</v>
      </c>
      <c r="Y165" s="147"/>
      <c r="Z165" s="117"/>
      <c r="AB165" s="62"/>
      <c r="AC165" s="62"/>
      <c r="AD165" s="62"/>
      <c r="AE165" s="123"/>
      <c r="AF165" s="123"/>
    </row>
    <row r="166" spans="1:32" ht="12.75">
      <c r="A166" s="12"/>
      <c r="B166" s="58"/>
      <c r="C166" s="26"/>
      <c r="D166" s="26"/>
      <c r="E166" s="28"/>
      <c r="F166" s="10"/>
      <c r="G166" s="10"/>
      <c r="H166" s="10"/>
      <c r="I166" s="10"/>
      <c r="V166" s="98">
        <v>160</v>
      </c>
      <c r="W166" s="58">
        <f t="shared" si="6"/>
        <v>15.25000000000004</v>
      </c>
      <c r="X166" s="203">
        <f t="shared" si="7"/>
        <v>1610.165343691711</v>
      </c>
      <c r="Y166" s="147"/>
      <c r="Z166" s="117"/>
      <c r="AB166" s="62"/>
      <c r="AC166" s="62"/>
      <c r="AD166" s="62"/>
      <c r="AE166" s="123"/>
      <c r="AF166" s="123"/>
    </row>
    <row r="167" spans="1:32" ht="12.75">
      <c r="A167" s="12"/>
      <c r="B167" s="58"/>
      <c r="C167" s="26"/>
      <c r="D167" s="26"/>
      <c r="E167" s="28"/>
      <c r="F167" s="10"/>
      <c r="G167" s="10"/>
      <c r="H167" s="10"/>
      <c r="I167" s="10"/>
      <c r="V167" s="98">
        <v>161</v>
      </c>
      <c r="W167" s="58">
        <f t="shared" si="6"/>
        <v>15.333333333333375</v>
      </c>
      <c r="X167" s="203">
        <f t="shared" si="7"/>
        <v>1664.9463587082203</v>
      </c>
      <c r="Y167" s="147"/>
      <c r="Z167" s="117"/>
      <c r="AB167" s="62"/>
      <c r="AC167" s="62"/>
      <c r="AD167" s="62"/>
      <c r="AE167" s="123"/>
      <c r="AF167" s="123"/>
    </row>
    <row r="168" spans="1:32" ht="12.75">
      <c r="A168" s="12"/>
      <c r="B168" s="58"/>
      <c r="C168" s="26"/>
      <c r="D168" s="26"/>
      <c r="E168" s="28"/>
      <c r="F168" s="28"/>
      <c r="G168" s="10"/>
      <c r="H168" s="10"/>
      <c r="I168" s="28"/>
      <c r="V168" s="98">
        <v>162</v>
      </c>
      <c r="W168" s="58">
        <f t="shared" si="6"/>
        <v>15.416666666666709</v>
      </c>
      <c r="X168" s="203">
        <f t="shared" si="7"/>
        <v>1720.3662626136177</v>
      </c>
      <c r="Y168" s="147"/>
      <c r="Z168" s="117"/>
      <c r="AB168" s="62"/>
      <c r="AC168" s="62"/>
      <c r="AD168" s="62"/>
      <c r="AE168" s="123"/>
      <c r="AF168" s="123"/>
    </row>
    <row r="169" spans="1:32" ht="12.75">
      <c r="A169" s="40"/>
      <c r="B169" s="58"/>
      <c r="C169" s="26"/>
      <c r="D169" s="26"/>
      <c r="E169" s="28"/>
      <c r="F169" s="28"/>
      <c r="G169" s="10"/>
      <c r="H169" s="6"/>
      <c r="I169" s="28"/>
      <c r="V169" s="98">
        <v>163</v>
      </c>
      <c r="W169" s="58">
        <f t="shared" si="6"/>
        <v>15.500000000000043</v>
      </c>
      <c r="X169" s="203">
        <f t="shared" si="7"/>
        <v>1776.4285276301268</v>
      </c>
      <c r="Y169" s="147"/>
      <c r="Z169" s="117"/>
      <c r="AB169" s="62"/>
      <c r="AC169" s="62"/>
      <c r="AD169" s="62"/>
      <c r="AE169" s="123"/>
      <c r="AF169" s="123"/>
    </row>
    <row r="170" spans="1:32" ht="12.75">
      <c r="A170" s="42"/>
      <c r="B170" s="58"/>
      <c r="C170" s="28"/>
      <c r="D170" s="27"/>
      <c r="E170" s="28"/>
      <c r="F170" s="28"/>
      <c r="G170" s="10"/>
      <c r="H170" s="6"/>
      <c r="I170" s="10"/>
      <c r="V170" s="98">
        <v>164</v>
      </c>
      <c r="W170" s="58">
        <f t="shared" si="6"/>
        <v>15.583333333333377</v>
      </c>
      <c r="X170" s="203">
        <f t="shared" si="7"/>
        <v>1833.13662597997</v>
      </c>
      <c r="Y170" s="147"/>
      <c r="Z170" s="117"/>
      <c r="AB170" s="62"/>
      <c r="AC170" s="62"/>
      <c r="AD170" s="62"/>
      <c r="AE170" s="123"/>
      <c r="AF170" s="123"/>
    </row>
    <row r="171" spans="1:32" ht="12.75">
      <c r="A171" s="40"/>
      <c r="B171" s="58"/>
      <c r="C171" s="26"/>
      <c r="D171" s="26"/>
      <c r="E171" s="28"/>
      <c r="F171" s="28"/>
      <c r="G171" s="10"/>
      <c r="H171" s="10"/>
      <c r="I171" s="10"/>
      <c r="V171" s="98">
        <v>165</v>
      </c>
      <c r="W171" s="58">
        <f t="shared" si="6"/>
        <v>15.66666666666671</v>
      </c>
      <c r="X171" s="203">
        <f t="shared" si="7"/>
        <v>1890.4940298853683</v>
      </c>
      <c r="Y171" s="147"/>
      <c r="Z171" s="117"/>
      <c r="AB171" s="62"/>
      <c r="AC171" s="62"/>
      <c r="AD171" s="62"/>
      <c r="AE171" s="123"/>
      <c r="AF171" s="123"/>
    </row>
    <row r="172" spans="1:32" ht="12.75">
      <c r="A172" s="42"/>
      <c r="B172" s="58"/>
      <c r="C172" s="28"/>
      <c r="D172" s="27"/>
      <c r="E172" s="28"/>
      <c r="F172" s="28"/>
      <c r="G172" s="10"/>
      <c r="H172" s="28"/>
      <c r="I172" s="28"/>
      <c r="V172" s="98">
        <v>166</v>
      </c>
      <c r="W172" s="58">
        <f t="shared" si="6"/>
        <v>15.750000000000044</v>
      </c>
      <c r="X172" s="203">
        <f t="shared" si="7"/>
        <v>1948.5042115685435</v>
      </c>
      <c r="Y172" s="147"/>
      <c r="Z172" s="117"/>
      <c r="AB172" s="62"/>
      <c r="AC172" s="62"/>
      <c r="AD172" s="62"/>
      <c r="AE172" s="123"/>
      <c r="AF172" s="123"/>
    </row>
    <row r="173" spans="1:32" ht="12.75">
      <c r="A173" s="42"/>
      <c r="B173" s="41"/>
      <c r="C173" s="28"/>
      <c r="D173" s="27"/>
      <c r="E173" s="28"/>
      <c r="F173" s="28"/>
      <c r="G173" s="28"/>
      <c r="H173" s="28"/>
      <c r="I173" s="28"/>
      <c r="V173" s="98">
        <v>167</v>
      </c>
      <c r="W173" s="58">
        <f t="shared" si="6"/>
        <v>15.833333333333378</v>
      </c>
      <c r="X173" s="203">
        <f t="shared" si="7"/>
        <v>2007.1706432517196</v>
      </c>
      <c r="Y173" s="147"/>
      <c r="Z173" s="117"/>
      <c r="AB173" s="62"/>
      <c r="AC173" s="62"/>
      <c r="AD173" s="62"/>
      <c r="AE173" s="123"/>
      <c r="AF173" s="123"/>
    </row>
    <row r="174" spans="1:32" ht="12.75">
      <c r="A174" s="42"/>
      <c r="B174" s="58"/>
      <c r="C174" s="28"/>
      <c r="D174" s="18"/>
      <c r="E174" s="28"/>
      <c r="F174" s="28"/>
      <c r="G174" s="28"/>
      <c r="H174" s="28"/>
      <c r="I174" s="28"/>
      <c r="V174" s="98">
        <v>168</v>
      </c>
      <c r="W174" s="58">
        <f t="shared" si="6"/>
        <v>15.916666666666712</v>
      </c>
      <c r="X174" s="203">
        <f t="shared" si="7"/>
        <v>2066.4967971571177</v>
      </c>
      <c r="Y174" s="147"/>
      <c r="Z174" s="117"/>
      <c r="AB174" s="62"/>
      <c r="AC174" s="62"/>
      <c r="AD174" s="62"/>
      <c r="AE174" s="123"/>
      <c r="AF174" s="123"/>
    </row>
    <row r="175" spans="1:32" ht="12.75">
      <c r="A175" s="40"/>
      <c r="B175" s="41"/>
      <c r="C175" s="26"/>
      <c r="D175" s="26"/>
      <c r="E175" s="28"/>
      <c r="F175" s="28"/>
      <c r="G175" s="28"/>
      <c r="H175" s="39"/>
      <c r="I175" s="28"/>
      <c r="V175" s="98">
        <v>169</v>
      </c>
      <c r="W175" s="58">
        <f t="shared" si="6"/>
        <v>16.000000000000046</v>
      </c>
      <c r="X175" s="203">
        <f t="shared" si="7"/>
        <v>2126.4861455069604</v>
      </c>
      <c r="Y175" s="147"/>
      <c r="Z175" s="117"/>
      <c r="AB175" s="62"/>
      <c r="AC175" s="62"/>
      <c r="AD175" s="62"/>
      <c r="AE175" s="123"/>
      <c r="AF175" s="123"/>
    </row>
    <row r="176" spans="1:32" ht="12.75">
      <c r="A176" s="40"/>
      <c r="B176" s="41"/>
      <c r="C176" s="26"/>
      <c r="D176" s="28"/>
      <c r="E176" s="28"/>
      <c r="F176" s="28"/>
      <c r="G176" s="28"/>
      <c r="H176" s="28"/>
      <c r="I176" s="28"/>
      <c r="V176" s="98">
        <v>170</v>
      </c>
      <c r="W176" s="58">
        <f t="shared" si="6"/>
        <v>16.08333333333338</v>
      </c>
      <c r="X176" s="203">
        <f t="shared" si="7"/>
        <v>2187.142160523468</v>
      </c>
      <c r="Y176" s="147"/>
      <c r="Z176" s="117"/>
      <c r="AB176" s="62"/>
      <c r="AC176" s="62"/>
      <c r="AD176" s="62"/>
      <c r="AE176" s="123"/>
      <c r="AF176" s="123"/>
    </row>
    <row r="177" spans="1:32" ht="12.75">
      <c r="A177" s="42"/>
      <c r="B177" s="58"/>
      <c r="C177" s="28"/>
      <c r="D177" s="59"/>
      <c r="E177" s="28"/>
      <c r="F177" s="28"/>
      <c r="G177" s="28"/>
      <c r="H177" s="6"/>
      <c r="I177" s="28"/>
      <c r="V177" s="98">
        <v>171</v>
      </c>
      <c r="W177" s="58">
        <f t="shared" si="6"/>
        <v>16.16666666666671</v>
      </c>
      <c r="X177" s="203">
        <f t="shared" si="7"/>
        <v>2248.4683144288647</v>
      </c>
      <c r="Y177" s="147"/>
      <c r="Z177" s="117"/>
      <c r="AB177" s="62"/>
      <c r="AC177" s="62"/>
      <c r="AD177" s="62"/>
      <c r="AE177" s="123"/>
      <c r="AF177" s="123"/>
    </row>
    <row r="178" spans="1:32" ht="12.75">
      <c r="A178" s="40"/>
      <c r="B178" s="38"/>
      <c r="C178" s="26"/>
      <c r="D178" s="28"/>
      <c r="E178" s="28"/>
      <c r="F178" s="28"/>
      <c r="G178" s="28"/>
      <c r="H178" s="6"/>
      <c r="I178" s="28"/>
      <c r="V178" s="98">
        <v>172</v>
      </c>
      <c r="W178" s="58">
        <f t="shared" si="6"/>
        <v>16.250000000000043</v>
      </c>
      <c r="X178" s="203">
        <f t="shared" si="7"/>
        <v>2310.4680794453725</v>
      </c>
      <c r="Y178" s="147"/>
      <c r="Z178" s="117"/>
      <c r="AB178" s="62"/>
      <c r="AC178" s="62"/>
      <c r="AD178" s="62"/>
      <c r="AE178" s="123"/>
      <c r="AF178" s="123"/>
    </row>
    <row r="179" spans="1:32" ht="12.75">
      <c r="A179" s="28"/>
      <c r="B179" s="28"/>
      <c r="C179" s="28"/>
      <c r="D179" s="28"/>
      <c r="E179" s="28"/>
      <c r="F179" s="28"/>
      <c r="G179" s="28"/>
      <c r="H179" s="39"/>
      <c r="I179" s="28"/>
      <c r="V179" s="98">
        <v>173</v>
      </c>
      <c r="W179" s="58">
        <f t="shared" si="6"/>
        <v>16.333333333333375</v>
      </c>
      <c r="X179" s="203">
        <f t="shared" si="7"/>
        <v>2373.1449277952133</v>
      </c>
      <c r="Y179" s="147"/>
      <c r="Z179" s="117"/>
      <c r="AB179" s="62"/>
      <c r="AC179" s="62"/>
      <c r="AD179" s="62"/>
      <c r="AE179" s="123"/>
      <c r="AF179" s="123"/>
    </row>
    <row r="180" spans="1:32" ht="12.75">
      <c r="A180" s="18"/>
      <c r="B180" s="6"/>
      <c r="C180" s="6"/>
      <c r="D180" s="10"/>
      <c r="E180" s="10"/>
      <c r="F180" s="10"/>
      <c r="G180" s="10"/>
      <c r="H180" s="6"/>
      <c r="I180" s="28"/>
      <c r="V180" s="98">
        <v>174</v>
      </c>
      <c r="W180" s="58">
        <f t="shared" si="6"/>
        <v>16.416666666666707</v>
      </c>
      <c r="X180" s="203">
        <f t="shared" si="7"/>
        <v>2436.50233170061</v>
      </c>
      <c r="Y180" s="147"/>
      <c r="Z180" s="117"/>
      <c r="AB180" s="62"/>
      <c r="AC180" s="62"/>
      <c r="AD180" s="62"/>
      <c r="AE180" s="123"/>
      <c r="AF180" s="123"/>
    </row>
    <row r="181" spans="1:32" ht="12.75">
      <c r="A181" s="12"/>
      <c r="B181" s="38"/>
      <c r="C181" s="18"/>
      <c r="D181" s="18"/>
      <c r="E181" s="10"/>
      <c r="F181" s="10"/>
      <c r="G181" s="10"/>
      <c r="H181" s="6"/>
      <c r="I181" s="10"/>
      <c r="V181" s="98">
        <v>175</v>
      </c>
      <c r="W181" s="58">
        <f t="shared" si="6"/>
        <v>16.50000000000004</v>
      </c>
      <c r="X181" s="203">
        <f t="shared" si="7"/>
        <v>2500.5437633837855</v>
      </c>
      <c r="Y181" s="147"/>
      <c r="Z181" s="117"/>
      <c r="AB181" s="62"/>
      <c r="AC181" s="62"/>
      <c r="AD181" s="62"/>
      <c r="AE181" s="123"/>
      <c r="AF181" s="123"/>
    </row>
    <row r="182" spans="1:32" ht="12.75">
      <c r="A182" s="12"/>
      <c r="B182" s="38"/>
      <c r="C182" s="18"/>
      <c r="D182" s="18"/>
      <c r="E182" s="10"/>
      <c r="F182" s="10"/>
      <c r="G182" s="10"/>
      <c r="H182" s="10"/>
      <c r="I182" s="10"/>
      <c r="V182" s="98">
        <v>176</v>
      </c>
      <c r="W182" s="58">
        <f t="shared" si="6"/>
        <v>16.58333333333337</v>
      </c>
      <c r="X182" s="203">
        <f t="shared" si="7"/>
        <v>2565.2726950669603</v>
      </c>
      <c r="Y182" s="147"/>
      <c r="Z182" s="117"/>
      <c r="AB182" s="62"/>
      <c r="AC182" s="62"/>
      <c r="AD182" s="62"/>
      <c r="AE182" s="123"/>
      <c r="AF182" s="123"/>
    </row>
    <row r="183" spans="1:32" ht="12.75">
      <c r="A183" s="12"/>
      <c r="B183" s="38"/>
      <c r="C183" s="18"/>
      <c r="D183" s="18"/>
      <c r="E183" s="10"/>
      <c r="F183" s="10"/>
      <c r="G183" s="10"/>
      <c r="H183" s="10"/>
      <c r="I183" s="10"/>
      <c r="V183" s="98">
        <v>177</v>
      </c>
      <c r="W183" s="58">
        <f t="shared" si="6"/>
        <v>16.666666666666703</v>
      </c>
      <c r="X183" s="203">
        <f t="shared" si="7"/>
        <v>2630.692598972357</v>
      </c>
      <c r="Y183" s="147"/>
      <c r="Z183" s="117"/>
      <c r="AB183" s="62"/>
      <c r="AC183" s="62"/>
      <c r="AD183" s="62"/>
      <c r="AE183" s="123"/>
      <c r="AF183" s="123"/>
    </row>
    <row r="184" spans="1:32" ht="12.75">
      <c r="A184" s="12"/>
      <c r="B184" s="38"/>
      <c r="C184" s="18"/>
      <c r="D184" s="18"/>
      <c r="E184" s="6"/>
      <c r="F184" s="6"/>
      <c r="G184" s="10"/>
      <c r="H184" s="10"/>
      <c r="I184" s="10"/>
      <c r="V184" s="98">
        <v>178</v>
      </c>
      <c r="W184" s="58">
        <f t="shared" si="6"/>
        <v>16.750000000000036</v>
      </c>
      <c r="X184" s="203">
        <f t="shared" si="7"/>
        <v>2696.8069473221976</v>
      </c>
      <c r="Y184" s="147"/>
      <c r="Z184" s="117"/>
      <c r="AB184" s="62"/>
      <c r="AC184" s="62"/>
      <c r="AD184" s="62"/>
      <c r="AE184" s="123"/>
      <c r="AF184" s="123"/>
    </row>
    <row r="185" spans="1:32" ht="12.75">
      <c r="A185" s="18"/>
      <c r="B185" s="6"/>
      <c r="C185" s="6"/>
      <c r="D185" s="6"/>
      <c r="E185" s="6"/>
      <c r="F185" s="6"/>
      <c r="G185" s="10"/>
      <c r="H185" s="39"/>
      <c r="I185" s="10"/>
      <c r="V185" s="98">
        <v>179</v>
      </c>
      <c r="W185" s="58">
        <f t="shared" si="6"/>
        <v>16.833333333333368</v>
      </c>
      <c r="X185" s="203">
        <f t="shared" si="7"/>
        <v>2763.6192123387054</v>
      </c>
      <c r="Y185" s="147"/>
      <c r="Z185" s="117"/>
      <c r="AB185" s="62"/>
      <c r="AC185" s="62"/>
      <c r="AD185" s="62"/>
      <c r="AE185" s="123"/>
      <c r="AF185" s="123"/>
    </row>
    <row r="186" spans="1:32" ht="12.75">
      <c r="A186" s="12"/>
      <c r="B186" s="60"/>
      <c r="C186" s="18"/>
      <c r="D186" s="18"/>
      <c r="E186" s="6"/>
      <c r="F186" s="6"/>
      <c r="G186" s="6"/>
      <c r="H186" s="6"/>
      <c r="I186" s="10"/>
      <c r="V186" s="98">
        <v>180</v>
      </c>
      <c r="W186" s="58">
        <f t="shared" si="6"/>
        <v>16.9166666666667</v>
      </c>
      <c r="X186" s="203">
        <f t="shared" si="7"/>
        <v>2831.132866244102</v>
      </c>
      <c r="Y186" s="147"/>
      <c r="Z186" s="117"/>
      <c r="AB186" s="62"/>
      <c r="AC186" s="62"/>
      <c r="AD186" s="62"/>
      <c r="AE186" s="123"/>
      <c r="AF186" s="123"/>
    </row>
    <row r="187" spans="1:32" ht="12.75">
      <c r="A187" s="12"/>
      <c r="B187" s="47"/>
      <c r="C187" s="18"/>
      <c r="D187" s="18"/>
      <c r="E187" s="6"/>
      <c r="F187" s="6"/>
      <c r="G187" s="6"/>
      <c r="H187" s="10"/>
      <c r="I187" s="10"/>
      <c r="V187" s="98">
        <v>181</v>
      </c>
      <c r="W187" s="58">
        <f t="shared" si="6"/>
        <v>17.000000000000032</v>
      </c>
      <c r="X187" s="203">
        <f t="shared" si="7"/>
        <v>2899.351381260609</v>
      </c>
      <c r="Y187" s="147"/>
      <c r="Z187" s="117"/>
      <c r="AB187" s="62"/>
      <c r="AC187" s="62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10"/>
      <c r="H188" s="39"/>
      <c r="I188" s="10"/>
      <c r="V188" s="98">
        <v>182</v>
      </c>
      <c r="W188" s="58">
        <f t="shared" si="6"/>
        <v>17.083333333333364</v>
      </c>
      <c r="X188" s="203">
        <f t="shared" si="7"/>
        <v>2968.2782296104506</v>
      </c>
      <c r="Y188" s="147"/>
      <c r="Z188" s="117"/>
      <c r="AB188" s="62"/>
      <c r="AC188" s="62"/>
      <c r="AD188" s="62"/>
      <c r="AE188" s="123"/>
      <c r="AF188" s="123"/>
    </row>
    <row r="189" spans="1:32" ht="12.75">
      <c r="A189" s="6"/>
      <c r="B189" s="46"/>
      <c r="C189" s="28"/>
      <c r="D189" s="26"/>
      <c r="E189" s="28"/>
      <c r="F189" s="28"/>
      <c r="G189" s="28"/>
      <c r="H189" s="10"/>
      <c r="I189" s="10"/>
      <c r="V189" s="98">
        <v>183</v>
      </c>
      <c r="W189" s="58">
        <f t="shared" si="6"/>
        <v>17.166666666666696</v>
      </c>
      <c r="X189" s="203">
        <f t="shared" si="7"/>
        <v>3037.916883515847</v>
      </c>
      <c r="Y189" s="147"/>
      <c r="Z189" s="117"/>
      <c r="AB189" s="62"/>
      <c r="AC189" s="62"/>
      <c r="AD189" s="62"/>
      <c r="AE189" s="123"/>
      <c r="AF189" s="123"/>
    </row>
    <row r="190" spans="1:32" ht="12.75">
      <c r="A190" s="53"/>
      <c r="B190" s="47"/>
      <c r="C190" s="18"/>
      <c r="D190" s="18"/>
      <c r="E190" s="28"/>
      <c r="F190" s="28"/>
      <c r="G190" s="28"/>
      <c r="H190" s="10"/>
      <c r="I190" s="10"/>
      <c r="V190" s="98">
        <v>184</v>
      </c>
      <c r="W190" s="58">
        <f t="shared" si="6"/>
        <v>17.25000000000003</v>
      </c>
      <c r="X190" s="203">
        <f t="shared" si="7"/>
        <v>3108.270815199022</v>
      </c>
      <c r="Y190" s="147"/>
      <c r="Z190" s="117"/>
      <c r="AB190" s="62"/>
      <c r="AC190" s="62"/>
      <c r="AD190" s="62"/>
      <c r="AE190" s="123"/>
      <c r="AF190" s="123"/>
    </row>
    <row r="191" spans="1:32" ht="12.75">
      <c r="A191" s="12"/>
      <c r="B191" s="60"/>
      <c r="C191" s="26"/>
      <c r="D191" s="18"/>
      <c r="E191" s="6"/>
      <c r="F191" s="6"/>
      <c r="G191" s="6"/>
      <c r="H191" s="10"/>
      <c r="I191" s="10"/>
      <c r="V191" s="98">
        <v>185</v>
      </c>
      <c r="W191" s="58">
        <f t="shared" si="6"/>
        <v>17.33333333333336</v>
      </c>
      <c r="X191" s="203">
        <f t="shared" si="7"/>
        <v>3179.3434968821957</v>
      </c>
      <c r="Y191" s="147"/>
      <c r="Z191" s="117"/>
      <c r="AB191" s="62"/>
      <c r="AC191" s="62"/>
      <c r="AD191" s="62"/>
      <c r="AE191" s="123"/>
      <c r="AF191" s="123"/>
    </row>
    <row r="192" spans="1:32" ht="12.75">
      <c r="A192" s="12"/>
      <c r="B192" s="47"/>
      <c r="C192" s="26"/>
      <c r="D192" s="18"/>
      <c r="E192" s="6"/>
      <c r="F192" s="6"/>
      <c r="G192" s="6"/>
      <c r="H192" s="10"/>
      <c r="I192" s="10"/>
      <c r="V192" s="98">
        <v>186</v>
      </c>
      <c r="W192" s="58">
        <f t="shared" si="6"/>
        <v>17.416666666666693</v>
      </c>
      <c r="X192" s="203">
        <f t="shared" si="7"/>
        <v>3251.138400787592</v>
      </c>
      <c r="Y192" s="147"/>
      <c r="Z192" s="117"/>
      <c r="AB192" s="62"/>
      <c r="AC192" s="62"/>
      <c r="AD192" s="62"/>
      <c r="AE192" s="123"/>
      <c r="AF192" s="123"/>
    </row>
    <row r="193" spans="1:32" ht="12.75">
      <c r="A193" s="12"/>
      <c r="B193" s="61"/>
      <c r="C193" s="26"/>
      <c r="D193" s="18"/>
      <c r="E193" s="6"/>
      <c r="F193" s="6"/>
      <c r="G193" s="6"/>
      <c r="H193" s="10"/>
      <c r="I193" s="10"/>
      <c r="V193" s="98">
        <v>187</v>
      </c>
      <c r="W193" s="58">
        <f t="shared" si="6"/>
        <v>17.500000000000025</v>
      </c>
      <c r="X193" s="203">
        <f t="shared" si="7"/>
        <v>3323.658999137433</v>
      </c>
      <c r="Y193" s="147"/>
      <c r="Z193" s="117"/>
      <c r="AB193" s="62"/>
      <c r="AC193" s="62"/>
      <c r="AD193" s="62"/>
      <c r="AE193" s="123"/>
      <c r="AF193" s="123"/>
    </row>
    <row r="194" spans="1:32" ht="12.75">
      <c r="A194" s="12"/>
      <c r="B194" s="47"/>
      <c r="C194" s="26"/>
      <c r="D194" s="18"/>
      <c r="E194" s="6"/>
      <c r="F194" s="6"/>
      <c r="G194" s="6"/>
      <c r="H194" s="10"/>
      <c r="I194" s="10"/>
      <c r="V194" s="98">
        <v>188</v>
      </c>
      <c r="W194" s="58">
        <f t="shared" si="6"/>
        <v>17.583333333333357</v>
      </c>
      <c r="X194" s="203">
        <f t="shared" si="7"/>
        <v>3396.908764153941</v>
      </c>
      <c r="Y194" s="147"/>
      <c r="Z194" s="117"/>
      <c r="AB194" s="62"/>
      <c r="AC194" s="62"/>
      <c r="AD194" s="62"/>
      <c r="AE194" s="123"/>
      <c r="AF194" s="123"/>
    </row>
    <row r="195" spans="1:32" ht="12.75">
      <c r="A195" s="12"/>
      <c r="B195" s="47"/>
      <c r="C195" s="26"/>
      <c r="D195" s="18"/>
      <c r="E195" s="6"/>
      <c r="F195" s="6"/>
      <c r="G195" s="10"/>
      <c r="H195" s="39"/>
      <c r="I195" s="6"/>
      <c r="V195" s="98">
        <v>189</v>
      </c>
      <c r="W195" s="58">
        <f t="shared" si="6"/>
        <v>17.66666666666669</v>
      </c>
      <c r="X195" s="203">
        <f t="shared" si="7"/>
        <v>3470.8911680593365</v>
      </c>
      <c r="Y195" s="147"/>
      <c r="Z195" s="117"/>
      <c r="AB195" s="62"/>
      <c r="AC195" s="62"/>
      <c r="AD195" s="62"/>
      <c r="AE195" s="123"/>
      <c r="AF195" s="123"/>
    </row>
    <row r="196" spans="1:32" ht="12.75">
      <c r="A196" s="28"/>
      <c r="B196" s="28"/>
      <c r="C196" s="28"/>
      <c r="D196" s="26"/>
      <c r="E196" s="28"/>
      <c r="F196" s="28"/>
      <c r="G196" s="28"/>
      <c r="H196" s="28"/>
      <c r="I196" s="6"/>
      <c r="V196" s="98">
        <v>190</v>
      </c>
      <c r="W196" s="58">
        <f t="shared" si="6"/>
        <v>17.75000000000002</v>
      </c>
      <c r="X196" s="203">
        <f t="shared" si="7"/>
        <v>3545.6096830758443</v>
      </c>
      <c r="Y196" s="147"/>
      <c r="Z196" s="117"/>
      <c r="AB196" s="62"/>
      <c r="AC196" s="62"/>
      <c r="AD196" s="62"/>
      <c r="AE196" s="123"/>
      <c r="AF196" s="123"/>
    </row>
    <row r="197" spans="1:32" ht="12.75">
      <c r="A197" s="40"/>
      <c r="B197" s="38"/>
      <c r="C197" s="26"/>
      <c r="D197" s="18"/>
      <c r="E197" s="28"/>
      <c r="F197" s="28"/>
      <c r="G197" s="28"/>
      <c r="H197" s="28"/>
      <c r="I197" s="10"/>
      <c r="V197" s="98">
        <v>191</v>
      </c>
      <c r="W197" s="58">
        <f t="shared" si="6"/>
        <v>17.833333333333353</v>
      </c>
      <c r="X197" s="203">
        <f t="shared" si="7"/>
        <v>3621.067781425686</v>
      </c>
      <c r="Y197" s="147"/>
      <c r="Z197" s="117"/>
      <c r="AB197" s="62"/>
      <c r="AC197" s="62"/>
      <c r="AD197" s="62"/>
      <c r="AE197" s="123"/>
      <c r="AF197" s="123"/>
    </row>
    <row r="198" spans="1:32" ht="12.75">
      <c r="A198" s="40"/>
      <c r="B198" s="41"/>
      <c r="C198" s="26"/>
      <c r="D198" s="26"/>
      <c r="E198" s="28"/>
      <c r="F198" s="28"/>
      <c r="G198" s="28"/>
      <c r="H198" s="28"/>
      <c r="I198" s="28"/>
      <c r="V198" s="98">
        <v>192</v>
      </c>
      <c r="W198" s="58">
        <f t="shared" si="6"/>
        <v>17.916666666666686</v>
      </c>
      <c r="X198" s="203">
        <f t="shared" si="7"/>
        <v>3697.2689353310825</v>
      </c>
      <c r="Y198" s="147"/>
      <c r="Z198" s="117"/>
      <c r="AB198" s="62"/>
      <c r="AC198" s="62"/>
      <c r="AD198" s="62"/>
      <c r="AE198" s="123"/>
      <c r="AF198" s="123"/>
    </row>
    <row r="199" spans="1:32" ht="12.75">
      <c r="A199" s="42"/>
      <c r="B199" s="41"/>
      <c r="C199" s="26"/>
      <c r="D199" s="27"/>
      <c r="E199" s="10"/>
      <c r="F199" s="10"/>
      <c r="G199" s="10"/>
      <c r="H199" s="43"/>
      <c r="I199" s="6"/>
      <c r="V199" s="98">
        <v>193</v>
      </c>
      <c r="W199" s="58">
        <f t="shared" si="6"/>
        <v>18.000000000000018</v>
      </c>
      <c r="X199" s="203">
        <f t="shared" si="7"/>
        <v>3774.2166170142564</v>
      </c>
      <c r="Y199" s="147"/>
      <c r="Z199" s="117"/>
      <c r="AB199" s="62"/>
      <c r="AC199" s="62"/>
      <c r="AD199" s="62"/>
      <c r="AE199" s="123"/>
      <c r="AF199" s="123"/>
    </row>
    <row r="200" spans="1:32" ht="12.75">
      <c r="A200" s="42"/>
      <c r="B200" s="41"/>
      <c r="C200" s="26"/>
      <c r="D200" s="27"/>
      <c r="E200" s="10"/>
      <c r="F200" s="10"/>
      <c r="G200" s="10"/>
      <c r="H200" s="10"/>
      <c r="I200" s="10"/>
      <c r="V200" s="98">
        <v>194</v>
      </c>
      <c r="W200" s="58">
        <f t="shared" si="6"/>
        <v>18.08333333333335</v>
      </c>
      <c r="X200" s="203">
        <f t="shared" si="7"/>
        <v>3851.9142986974302</v>
      </c>
      <c r="Y200" s="147"/>
      <c r="Z200" s="117"/>
      <c r="AB200" s="62"/>
      <c r="AC200" s="62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43"/>
      <c r="H201" s="10"/>
      <c r="I201" s="10"/>
      <c r="V201" s="98">
        <v>195</v>
      </c>
      <c r="W201" s="58">
        <f t="shared" si="6"/>
        <v>18.166666666666682</v>
      </c>
      <c r="X201" s="203">
        <f t="shared" si="7"/>
        <v>3930.3654526028267</v>
      </c>
      <c r="Y201" s="147"/>
      <c r="Z201" s="117"/>
      <c r="AB201" s="62"/>
      <c r="AC201" s="62"/>
      <c r="AD201" s="62"/>
      <c r="AE201" s="123"/>
      <c r="AF201" s="123"/>
    </row>
    <row r="202" spans="1:32" ht="12.75">
      <c r="A202" s="10"/>
      <c r="B202" s="10"/>
      <c r="C202" s="10"/>
      <c r="D202" s="10"/>
      <c r="E202" s="6"/>
      <c r="F202" s="43">
        <f>IF($K$2="Yes",IF($D$33&gt;0,IF($B$199&gt;$B$200,"    Increase doubler or use full-pen. weld",""),""),"")</f>
      </c>
      <c r="G202" s="10"/>
      <c r="H202" s="10"/>
      <c r="I202" s="10"/>
      <c r="V202" s="98">
        <v>196</v>
      </c>
      <c r="W202" s="58">
        <f t="shared" si="6"/>
        <v>18.250000000000014</v>
      </c>
      <c r="X202" s="203">
        <f t="shared" si="7"/>
        <v>4009.5735509526667</v>
      </c>
      <c r="Y202" s="147"/>
      <c r="Z202" s="117"/>
      <c r="AB202" s="62"/>
      <c r="AC202" s="62"/>
      <c r="AD202" s="62"/>
      <c r="AE202" s="123"/>
      <c r="AF202" s="123"/>
    </row>
    <row r="203" spans="1:32" ht="12.75">
      <c r="A203" s="10"/>
      <c r="B203" s="10"/>
      <c r="C203" s="10"/>
      <c r="D203" s="10"/>
      <c r="E203" s="6"/>
      <c r="F203" s="6"/>
      <c r="G203" s="10"/>
      <c r="H203" s="10"/>
      <c r="I203" s="10"/>
      <c r="V203" s="98">
        <v>197</v>
      </c>
      <c r="W203" s="58">
        <f t="shared" si="6"/>
        <v>18.333333333333346</v>
      </c>
      <c r="X203" s="203">
        <f t="shared" si="7"/>
        <v>4089.5420659691745</v>
      </c>
      <c r="Y203" s="147"/>
      <c r="Z203" s="117"/>
      <c r="AB203" s="62"/>
      <c r="AC203" s="62"/>
      <c r="AD203" s="62"/>
      <c r="AE203" s="123"/>
      <c r="AF203" s="123"/>
    </row>
    <row r="204" spans="1:32" ht="12.75">
      <c r="A204" s="10"/>
      <c r="B204" s="10"/>
      <c r="C204" s="10"/>
      <c r="D204" s="10"/>
      <c r="E204" s="10"/>
      <c r="F204" s="10"/>
      <c r="G204" s="10"/>
      <c r="H204" s="10"/>
      <c r="I204" s="32"/>
      <c r="V204" s="98">
        <v>198</v>
      </c>
      <c r="W204" s="58">
        <f t="shared" si="6"/>
        <v>18.41666666666668</v>
      </c>
      <c r="X204" s="203">
        <f t="shared" si="7"/>
        <v>4170.274469874571</v>
      </c>
      <c r="Y204" s="147"/>
      <c r="Z204" s="117"/>
      <c r="AB204" s="62"/>
      <c r="AC204" s="62"/>
      <c r="AD204" s="62"/>
      <c r="AE204" s="123"/>
      <c r="AF204" s="123"/>
    </row>
    <row r="205" spans="1:32" ht="12.75">
      <c r="A205" s="10"/>
      <c r="B205" s="10"/>
      <c r="C205" s="10"/>
      <c r="D205" s="10"/>
      <c r="E205" s="10"/>
      <c r="F205" s="10"/>
      <c r="G205" s="10"/>
      <c r="H205" s="33"/>
      <c r="I205" s="34"/>
      <c r="V205" s="98">
        <v>199</v>
      </c>
      <c r="W205" s="58">
        <f t="shared" si="6"/>
        <v>18.50000000000001</v>
      </c>
      <c r="X205" s="203">
        <f t="shared" si="7"/>
        <v>4251.774234891079</v>
      </c>
      <c r="Y205" s="147"/>
      <c r="Z205" s="117"/>
      <c r="AB205" s="62"/>
      <c r="AC205" s="62"/>
      <c r="AD205" s="62"/>
      <c r="AE205" s="123"/>
      <c r="AF205" s="123"/>
    </row>
    <row r="206" spans="1:32" ht="12.75">
      <c r="A206" s="44"/>
      <c r="B206" s="10"/>
      <c r="C206" s="10"/>
      <c r="D206" s="10"/>
      <c r="E206" s="6"/>
      <c r="F206" s="6"/>
      <c r="G206" s="6"/>
      <c r="H206" s="33"/>
      <c r="I206" s="35"/>
      <c r="V206" s="98">
        <v>200</v>
      </c>
      <c r="W206" s="58">
        <f t="shared" si="6"/>
        <v>18.583333333333343</v>
      </c>
      <c r="X206" s="203">
        <f t="shared" si="7"/>
        <v>4334.044833240919</v>
      </c>
      <c r="Y206" s="147"/>
      <c r="Z206" s="117"/>
      <c r="AB206" s="62"/>
      <c r="AC206" s="62"/>
      <c r="AD206" s="62"/>
      <c r="AE206" s="123"/>
      <c r="AF206" s="123"/>
    </row>
    <row r="207" spans="1:32" ht="12.75">
      <c r="A207" s="6"/>
      <c r="B207" s="46"/>
      <c r="C207" s="6"/>
      <c r="D207" s="18"/>
      <c r="E207" s="10"/>
      <c r="F207" s="46"/>
      <c r="G207" s="10"/>
      <c r="H207" s="57"/>
      <c r="I207" s="36"/>
      <c r="V207" s="98">
        <v>201</v>
      </c>
      <c r="W207" s="58">
        <f t="shared" si="6"/>
        <v>18.666666666666675</v>
      </c>
      <c r="X207" s="203">
        <f t="shared" si="7"/>
        <v>4417.089737146315</v>
      </c>
      <c r="Y207" s="147"/>
      <c r="Z207" s="117"/>
      <c r="AB207" s="62"/>
      <c r="AC207" s="62"/>
      <c r="AD207" s="62"/>
      <c r="AE207" s="123"/>
      <c r="AF207" s="123"/>
    </row>
    <row r="208" spans="1:32" ht="12.75">
      <c r="A208" s="12"/>
      <c r="B208" s="60"/>
      <c r="C208" s="26"/>
      <c r="D208" s="18"/>
      <c r="E208" s="10"/>
      <c r="F208" s="46"/>
      <c r="G208" s="6"/>
      <c r="H208" s="33"/>
      <c r="I208" s="36"/>
      <c r="V208" s="98">
        <v>202</v>
      </c>
      <c r="W208" s="58">
        <f t="shared" si="6"/>
        <v>18.750000000000007</v>
      </c>
      <c r="X208" s="203">
        <f t="shared" si="7"/>
        <v>4500.91241882949</v>
      </c>
      <c r="Y208" s="147"/>
      <c r="Z208" s="117"/>
      <c r="AB208" s="62"/>
      <c r="AC208" s="62"/>
      <c r="AD208" s="62"/>
      <c r="AE208" s="123"/>
      <c r="AF208" s="123"/>
    </row>
    <row r="209" spans="1:32" ht="12.75">
      <c r="A209" s="12"/>
      <c r="B209" s="47"/>
      <c r="C209" s="26"/>
      <c r="D209" s="18"/>
      <c r="E209" s="10"/>
      <c r="F209" s="46"/>
      <c r="G209" s="10"/>
      <c r="H209" s="10"/>
      <c r="I209" s="10"/>
      <c r="V209" s="98">
        <v>203</v>
      </c>
      <c r="W209" s="58">
        <f t="shared" si="6"/>
        <v>18.83333333333334</v>
      </c>
      <c r="X209" s="203">
        <f t="shared" si="7"/>
        <v>4585.516350512664</v>
      </c>
      <c r="Y209" s="147"/>
      <c r="Z209" s="117"/>
      <c r="AB209" s="62"/>
      <c r="AC209" s="62"/>
      <c r="AD209" s="62"/>
      <c r="AE209" s="123"/>
      <c r="AF209" s="123"/>
    </row>
    <row r="210" spans="1:32" ht="12.75">
      <c r="A210" s="12"/>
      <c r="B210" s="47"/>
      <c r="C210" s="26"/>
      <c r="D210" s="18"/>
      <c r="E210" s="10"/>
      <c r="F210" s="10"/>
      <c r="G210" s="10"/>
      <c r="H210" s="39"/>
      <c r="I210" s="6"/>
      <c r="V210" s="98">
        <v>204</v>
      </c>
      <c r="W210" s="58">
        <f t="shared" si="6"/>
        <v>18.91666666666667</v>
      </c>
      <c r="X210" s="203">
        <f t="shared" si="7"/>
        <v>4670.905004418059</v>
      </c>
      <c r="Y210" s="147"/>
      <c r="Z210" s="117"/>
      <c r="AB210" s="62"/>
      <c r="AC210" s="62"/>
      <c r="AD210" s="62"/>
      <c r="AE210" s="123"/>
      <c r="AF210" s="123"/>
    </row>
    <row r="211" spans="1:32" ht="12.75">
      <c r="A211" s="10"/>
      <c r="B211" s="10"/>
      <c r="C211" s="10"/>
      <c r="D211" s="10"/>
      <c r="E211" s="10"/>
      <c r="F211" s="10"/>
      <c r="G211" s="10"/>
      <c r="H211" s="10"/>
      <c r="I211" s="10"/>
      <c r="V211" s="98">
        <v>205</v>
      </c>
      <c r="W211" s="58">
        <f t="shared" si="6"/>
        <v>19.000000000000004</v>
      </c>
      <c r="X211" s="203">
        <f t="shared" si="7"/>
        <v>4757.081852767899</v>
      </c>
      <c r="Y211" s="147"/>
      <c r="Z211" s="117"/>
      <c r="AB211" s="62"/>
      <c r="AC211" s="62"/>
      <c r="AD211" s="62"/>
      <c r="AE211" s="123"/>
      <c r="AF211" s="123"/>
    </row>
    <row r="212" spans="1:32" ht="12.75">
      <c r="A212" s="6"/>
      <c r="B212" s="28"/>
      <c r="C212" s="28"/>
      <c r="D212" s="26"/>
      <c r="E212" s="10"/>
      <c r="F212" s="10"/>
      <c r="G212" s="10"/>
      <c r="H212" s="10"/>
      <c r="I212" s="10"/>
      <c r="V212" s="98">
        <v>206</v>
      </c>
      <c r="W212" s="58">
        <f t="shared" si="6"/>
        <v>19.083333333333336</v>
      </c>
      <c r="X212" s="203">
        <f t="shared" si="7"/>
        <v>4844.050367784407</v>
      </c>
      <c r="Y212" s="147"/>
      <c r="Z212" s="117"/>
      <c r="AB212" s="62"/>
      <c r="AC212" s="62"/>
      <c r="AD212" s="62"/>
      <c r="AE212" s="123"/>
      <c r="AF212" s="123"/>
    </row>
    <row r="213" spans="1:32" ht="12.75">
      <c r="A213" s="48"/>
      <c r="B213" s="41"/>
      <c r="C213" s="26"/>
      <c r="D213" s="26"/>
      <c r="E213" s="10"/>
      <c r="F213" s="10"/>
      <c r="G213" s="10"/>
      <c r="H213" s="10"/>
      <c r="I213" s="10"/>
      <c r="V213" s="98">
        <v>207</v>
      </c>
      <c r="W213" s="58">
        <f t="shared" si="6"/>
        <v>19.166666666666668</v>
      </c>
      <c r="X213" s="203">
        <f t="shared" si="7"/>
        <v>4931.814021689804</v>
      </c>
      <c r="Y213" s="147"/>
      <c r="Z213" s="117"/>
      <c r="AB213" s="62"/>
      <c r="AC213" s="62"/>
      <c r="AD213" s="62"/>
      <c r="AE213" s="123"/>
      <c r="AF213" s="123"/>
    </row>
    <row r="214" spans="1:26" ht="12.75">
      <c r="A214" s="40"/>
      <c r="B214" s="38"/>
      <c r="C214" s="26"/>
      <c r="D214" s="26"/>
      <c r="E214" s="10"/>
      <c r="F214" s="10"/>
      <c r="G214" s="10"/>
      <c r="H214" s="10"/>
      <c r="I214" s="10"/>
      <c r="V214" s="98">
        <v>208</v>
      </c>
      <c r="W214" s="58">
        <f t="shared" si="6"/>
        <v>19.25</v>
      </c>
      <c r="X214" s="203">
        <f t="shared" si="7"/>
        <v>5020.376286706311</v>
      </c>
      <c r="Y214" s="147"/>
      <c r="Z214" s="117"/>
    </row>
    <row r="215" spans="1:26" ht="12.75">
      <c r="A215" s="40"/>
      <c r="B215" s="41"/>
      <c r="C215" s="26"/>
      <c r="D215" s="26"/>
      <c r="E215" s="10"/>
      <c r="F215" s="10"/>
      <c r="G215" s="10"/>
      <c r="H215" s="10"/>
      <c r="I215" s="6"/>
      <c r="V215" s="98">
        <v>209</v>
      </c>
      <c r="W215" s="58">
        <f t="shared" si="6"/>
        <v>19.333333333333332</v>
      </c>
      <c r="X215" s="203">
        <f t="shared" si="7"/>
        <v>5109.7406350561505</v>
      </c>
      <c r="Y215" s="147"/>
      <c r="Z215" s="117"/>
    </row>
    <row r="216" spans="1:26" ht="12.75">
      <c r="A216" s="42"/>
      <c r="B216" s="41"/>
      <c r="C216" s="26"/>
      <c r="D216" s="27"/>
      <c r="E216" s="28"/>
      <c r="F216" s="10"/>
      <c r="G216" s="10"/>
      <c r="H216" s="43"/>
      <c r="I216" s="6"/>
      <c r="V216" s="98">
        <v>210</v>
      </c>
      <c r="W216" s="58">
        <f t="shared" si="6"/>
        <v>19.416666666666664</v>
      </c>
      <c r="X216" s="203">
        <f t="shared" si="7"/>
        <v>5199.910538961547</v>
      </c>
      <c r="Y216" s="147"/>
      <c r="Z216" s="117"/>
    </row>
    <row r="217" spans="1:26" ht="12.75">
      <c r="A217" s="42"/>
      <c r="B217" s="41"/>
      <c r="C217" s="26"/>
      <c r="D217" s="27"/>
      <c r="E217" s="10"/>
      <c r="F217" s="10"/>
      <c r="G217" s="10"/>
      <c r="H217" s="10"/>
      <c r="I217" s="10"/>
      <c r="V217" s="98">
        <v>211</v>
      </c>
      <c r="W217" s="58">
        <f t="shared" si="6"/>
        <v>19.499999999999996</v>
      </c>
      <c r="X217" s="203">
        <f t="shared" si="7"/>
        <v>5290.889470644721</v>
      </c>
      <c r="Y217" s="147"/>
      <c r="Z217" s="117"/>
    </row>
    <row r="218" spans="1:26" ht="12.75">
      <c r="A218" s="10"/>
      <c r="B218" s="10"/>
      <c r="C218" s="10"/>
      <c r="D218" s="10"/>
      <c r="E218" s="10"/>
      <c r="F218" s="10"/>
      <c r="G218" s="43"/>
      <c r="H218" s="10"/>
      <c r="I218" s="10"/>
      <c r="V218" s="98">
        <v>212</v>
      </c>
      <c r="W218" s="58">
        <f t="shared" si="6"/>
        <v>19.58333333333333</v>
      </c>
      <c r="X218" s="203">
        <f t="shared" si="7"/>
        <v>5382.680902327896</v>
      </c>
      <c r="Y218" s="147"/>
      <c r="Z218" s="117"/>
    </row>
    <row r="219" spans="1:26" ht="12.75">
      <c r="A219" s="6"/>
      <c r="B219" s="10"/>
      <c r="C219" s="10"/>
      <c r="D219" s="10"/>
      <c r="E219" s="10"/>
      <c r="F219" s="43"/>
      <c r="G219" s="10"/>
      <c r="H219" s="10"/>
      <c r="I219" s="10"/>
      <c r="V219" s="98">
        <v>213</v>
      </c>
      <c r="W219" s="58">
        <f t="shared" si="6"/>
        <v>19.66666666666666</v>
      </c>
      <c r="X219" s="203">
        <f t="shared" si="7"/>
        <v>5475.288306233291</v>
      </c>
      <c r="Y219" s="147"/>
      <c r="Z219" s="117"/>
    </row>
    <row r="220" spans="1:26" ht="12.75">
      <c r="A220" s="12"/>
      <c r="B220" s="38"/>
      <c r="C220" s="18"/>
      <c r="D220" s="18"/>
      <c r="E220" s="46"/>
      <c r="F220" s="10"/>
      <c r="G220" s="10"/>
      <c r="H220" s="10"/>
      <c r="I220" s="6"/>
      <c r="V220" s="98">
        <v>214</v>
      </c>
      <c r="W220" s="58">
        <f t="shared" si="6"/>
        <v>19.749999999999993</v>
      </c>
      <c r="X220" s="203">
        <f t="shared" si="7"/>
        <v>5568.715154583131</v>
      </c>
      <c r="Y220" s="147"/>
      <c r="Z220" s="117"/>
    </row>
    <row r="221" spans="1:26" ht="12.75">
      <c r="A221" s="12"/>
      <c r="B221" s="38"/>
      <c r="C221" s="18"/>
      <c r="D221" s="18"/>
      <c r="E221" s="46"/>
      <c r="F221" s="46"/>
      <c r="G221" s="10"/>
      <c r="H221" s="39"/>
      <c r="I221" s="10"/>
      <c r="V221" s="98">
        <v>215</v>
      </c>
      <c r="W221" s="58">
        <f t="shared" si="6"/>
        <v>19.833333333333325</v>
      </c>
      <c r="X221" s="203">
        <f t="shared" si="7"/>
        <v>5662.964919599638</v>
      </c>
      <c r="Y221" s="147"/>
      <c r="Z221" s="117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V222" s="98">
        <v>216</v>
      </c>
      <c r="W222" s="58">
        <f t="shared" si="6"/>
        <v>19.916666666666657</v>
      </c>
      <c r="X222" s="203">
        <f t="shared" si="7"/>
        <v>5758.041073505034</v>
      </c>
      <c r="Y222" s="147"/>
      <c r="Z222" s="117"/>
    </row>
    <row r="223" spans="1:26" ht="12.75">
      <c r="A223" s="6"/>
      <c r="B223" s="6"/>
      <c r="C223" s="6"/>
      <c r="D223" s="18"/>
      <c r="E223" s="46"/>
      <c r="F223" s="46"/>
      <c r="G223" s="10"/>
      <c r="H223" s="10"/>
      <c r="I223" s="10"/>
      <c r="V223" s="98">
        <v>217</v>
      </c>
      <c r="W223" s="58">
        <f t="shared" si="6"/>
        <v>19.99999999999999</v>
      </c>
      <c r="X223" s="203">
        <f t="shared" si="7"/>
        <v>5853.94708852154</v>
      </c>
      <c r="Y223" s="147"/>
      <c r="Z223" s="117"/>
    </row>
    <row r="224" spans="1:26" ht="12.75">
      <c r="A224" s="12"/>
      <c r="B224" s="58"/>
      <c r="C224" s="18"/>
      <c r="D224" s="18"/>
      <c r="E224" s="46"/>
      <c r="F224" s="46"/>
      <c r="G224" s="10"/>
      <c r="H224" s="10"/>
      <c r="I224" s="10"/>
      <c r="V224" s="98">
        <v>218</v>
      </c>
      <c r="W224" s="58">
        <f aca="true" t="shared" si="8" ref="W224:W287">$W223+1/12</f>
        <v>20.08333333333332</v>
      </c>
      <c r="X224" s="203">
        <f aca="true" t="shared" si="9" ref="X224:X287">$W224^3-2*$N$7*$W224/($N$5*$D$14*$D$10)-2*$N$8/($N$5*$D$14*$D$10)</f>
        <v>5950.6864368713805</v>
      </c>
      <c r="Y224" s="147"/>
      <c r="Z224" s="117"/>
    </row>
    <row r="225" spans="1:26" ht="12.75">
      <c r="A225" s="12"/>
      <c r="B225" s="38"/>
      <c r="C225" s="18"/>
      <c r="D225" s="18"/>
      <c r="E225" s="46"/>
      <c r="F225" s="46"/>
      <c r="G225" s="10"/>
      <c r="H225" s="10"/>
      <c r="I225" s="10"/>
      <c r="V225" s="98">
        <v>219</v>
      </c>
      <c r="W225" s="58">
        <f t="shared" si="8"/>
        <v>20.166666666666654</v>
      </c>
      <c r="X225" s="203">
        <f t="shared" si="9"/>
        <v>6048.262590776777</v>
      </c>
      <c r="Y225" s="147"/>
      <c r="Z225" s="117"/>
    </row>
    <row r="226" spans="1:26" ht="12.75">
      <c r="A226" s="12"/>
      <c r="B226" s="38"/>
      <c r="C226" s="18"/>
      <c r="D226" s="18"/>
      <c r="E226" s="46"/>
      <c r="F226" s="46"/>
      <c r="G226" s="10"/>
      <c r="H226" s="10"/>
      <c r="I226" s="10"/>
      <c r="V226" s="98">
        <v>220</v>
      </c>
      <c r="W226" s="58">
        <f t="shared" si="8"/>
        <v>20.249999999999986</v>
      </c>
      <c r="X226" s="203">
        <f t="shared" si="9"/>
        <v>6146.67902245995</v>
      </c>
      <c r="Y226" s="147"/>
      <c r="Z226" s="117"/>
    </row>
    <row r="227" spans="1:26" ht="12.75">
      <c r="A227" s="12"/>
      <c r="B227" s="38"/>
      <c r="C227" s="18"/>
      <c r="D227" s="18"/>
      <c r="E227" s="46"/>
      <c r="F227" s="46"/>
      <c r="G227" s="10"/>
      <c r="H227" s="39"/>
      <c r="I227" s="10"/>
      <c r="V227" s="98">
        <v>221</v>
      </c>
      <c r="W227" s="58">
        <f t="shared" si="8"/>
        <v>20.333333333333318</v>
      </c>
      <c r="X227" s="203">
        <f t="shared" si="9"/>
        <v>6245.939204143124</v>
      </c>
      <c r="Y227" s="147"/>
      <c r="Z227" s="117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222</v>
      </c>
      <c r="W228" s="58">
        <f t="shared" si="8"/>
        <v>20.41666666666665</v>
      </c>
      <c r="X228" s="203">
        <f t="shared" si="9"/>
        <v>6346.04660804852</v>
      </c>
      <c r="Y228" s="147"/>
      <c r="Z228" s="117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223</v>
      </c>
      <c r="W229" s="58">
        <f t="shared" si="8"/>
        <v>20.499999999999982</v>
      </c>
      <c r="X229" s="203">
        <f t="shared" si="9"/>
        <v>6447.00470639836</v>
      </c>
      <c r="Y229" s="147"/>
      <c r="Z229" s="117"/>
    </row>
    <row r="230" spans="1:26" ht="12.75">
      <c r="A230" s="49"/>
      <c r="B230" s="10"/>
      <c r="C230" s="10"/>
      <c r="D230" s="10"/>
      <c r="E230" s="10"/>
      <c r="F230" s="10"/>
      <c r="G230" s="10"/>
      <c r="H230" s="10"/>
      <c r="I230" s="10"/>
      <c r="V230" s="98">
        <v>224</v>
      </c>
      <c r="W230" s="58">
        <f t="shared" si="8"/>
        <v>20.583333333333314</v>
      </c>
      <c r="X230" s="203">
        <f t="shared" si="9"/>
        <v>6548.816971414866</v>
      </c>
      <c r="Y230" s="147"/>
      <c r="Z230" s="117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225</v>
      </c>
      <c r="W231" s="58">
        <f t="shared" si="8"/>
        <v>20.666666666666647</v>
      </c>
      <c r="X231" s="203">
        <f t="shared" si="9"/>
        <v>6651.486875320263</v>
      </c>
      <c r="Y231" s="147"/>
      <c r="Z231" s="117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226</v>
      </c>
      <c r="W232" s="58">
        <f t="shared" si="8"/>
        <v>20.74999999999998</v>
      </c>
      <c r="X232" s="203">
        <f t="shared" si="9"/>
        <v>6755.01789033677</v>
      </c>
      <c r="Y232" s="147"/>
      <c r="Z232" s="117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227</v>
      </c>
      <c r="W233" s="58">
        <f t="shared" si="8"/>
        <v>20.83333333333331</v>
      </c>
      <c r="X233" s="203">
        <f t="shared" si="9"/>
        <v>6859.4134886866095</v>
      </c>
      <c r="Y233" s="147"/>
      <c r="Z233" s="117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228</v>
      </c>
      <c r="W234" s="58">
        <f t="shared" si="8"/>
        <v>20.916666666666643</v>
      </c>
      <c r="X234" s="203">
        <f t="shared" si="9"/>
        <v>6964.677142592004</v>
      </c>
      <c r="Y234" s="147"/>
      <c r="Z234" s="117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229</v>
      </c>
      <c r="W235" s="58">
        <f t="shared" si="8"/>
        <v>20.999999999999975</v>
      </c>
      <c r="X235" s="203">
        <f t="shared" si="9"/>
        <v>7070.812324275178</v>
      </c>
      <c r="Y235" s="147"/>
      <c r="Z235" s="117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230</v>
      </c>
      <c r="W236" s="58">
        <f t="shared" si="8"/>
        <v>21.083333333333307</v>
      </c>
      <c r="X236" s="203">
        <f t="shared" si="9"/>
        <v>7177.82250595835</v>
      </c>
      <c r="Y236" s="147"/>
      <c r="Z236" s="117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231</v>
      </c>
      <c r="W237" s="58">
        <f t="shared" si="8"/>
        <v>21.16666666666664</v>
      </c>
      <c r="X237" s="203">
        <f t="shared" si="9"/>
        <v>7285.711159863747</v>
      </c>
      <c r="Y237" s="147"/>
      <c r="Z237" s="117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232</v>
      </c>
      <c r="W238" s="58">
        <f t="shared" si="8"/>
        <v>21.24999999999997</v>
      </c>
      <c r="X238" s="203">
        <f t="shared" si="9"/>
        <v>7394.4817582135865</v>
      </c>
      <c r="Y238" s="147"/>
      <c r="Z238" s="117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233</v>
      </c>
      <c r="W239" s="58">
        <f t="shared" si="8"/>
        <v>21.333333333333304</v>
      </c>
      <c r="X239" s="203">
        <f t="shared" si="9"/>
        <v>7504.1377732300925</v>
      </c>
      <c r="Y239" s="147"/>
      <c r="Z239" s="117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234</v>
      </c>
      <c r="W240" s="58">
        <f t="shared" si="8"/>
        <v>21.416666666666636</v>
      </c>
      <c r="X240" s="203">
        <f t="shared" si="9"/>
        <v>7614.682677135487</v>
      </c>
      <c r="Y240" s="147"/>
      <c r="Z240" s="117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235</v>
      </c>
      <c r="W241" s="58">
        <f t="shared" si="8"/>
        <v>21.499999999999968</v>
      </c>
      <c r="X241" s="203">
        <f t="shared" si="9"/>
        <v>7726.119942151995</v>
      </c>
      <c r="Y241" s="147"/>
      <c r="Z241" s="117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236</v>
      </c>
      <c r="W242" s="58">
        <f t="shared" si="8"/>
        <v>21.5833333333333</v>
      </c>
      <c r="X242" s="203">
        <f t="shared" si="9"/>
        <v>7838.453040501835</v>
      </c>
      <c r="Y242" s="147"/>
      <c r="Z242" s="117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237</v>
      </c>
      <c r="W243" s="58">
        <f t="shared" si="8"/>
        <v>21.666666666666632</v>
      </c>
      <c r="X243" s="203">
        <f t="shared" si="9"/>
        <v>7951.685444407231</v>
      </c>
      <c r="Y243" s="147"/>
      <c r="Z243" s="117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238</v>
      </c>
      <c r="W244" s="58">
        <f t="shared" si="8"/>
        <v>21.749999999999964</v>
      </c>
      <c r="X244" s="203">
        <f t="shared" si="9"/>
        <v>8065.8206260904035</v>
      </c>
      <c r="Y244" s="147"/>
      <c r="Z244" s="117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239</v>
      </c>
      <c r="W245" s="58">
        <f t="shared" si="8"/>
        <v>21.833333333333297</v>
      </c>
      <c r="X245" s="203">
        <f t="shared" si="9"/>
        <v>8180.862057773577</v>
      </c>
      <c r="Y245" s="147"/>
      <c r="Z245" s="117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240</v>
      </c>
      <c r="W246" s="58">
        <f t="shared" si="8"/>
        <v>21.91666666666663</v>
      </c>
      <c r="X246" s="203">
        <f t="shared" si="9"/>
        <v>8296.813211678973</v>
      </c>
      <c r="Y246" s="147"/>
      <c r="Z246" s="117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241</v>
      </c>
      <c r="W247" s="58">
        <f t="shared" si="8"/>
        <v>21.99999999999996</v>
      </c>
      <c r="X247" s="203">
        <f t="shared" si="9"/>
        <v>8413.677560028813</v>
      </c>
      <c r="Y247" s="147"/>
      <c r="Z247" s="117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242</v>
      </c>
      <c r="W248" s="58">
        <f t="shared" si="8"/>
        <v>22.083333333333293</v>
      </c>
      <c r="X248" s="203">
        <f t="shared" si="9"/>
        <v>8531.458575045319</v>
      </c>
      <c r="Y248" s="147"/>
      <c r="Z248" s="117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243</v>
      </c>
      <c r="W249" s="58">
        <f t="shared" si="8"/>
        <v>22.166666666666625</v>
      </c>
      <c r="X249" s="203">
        <f t="shared" si="9"/>
        <v>8650.159728950714</v>
      </c>
      <c r="Y249" s="147"/>
      <c r="Z249" s="117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244</v>
      </c>
      <c r="W250" s="58">
        <f t="shared" si="8"/>
        <v>22.249999999999957</v>
      </c>
      <c r="X250" s="203">
        <f t="shared" si="9"/>
        <v>8769.78449396722</v>
      </c>
      <c r="Y250" s="147"/>
      <c r="Z250" s="117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V251" s="98">
        <v>245</v>
      </c>
      <c r="W251" s="58">
        <f t="shared" si="8"/>
        <v>22.33333333333329</v>
      </c>
      <c r="X251" s="203">
        <f t="shared" si="9"/>
        <v>8890.33634231706</v>
      </c>
      <c r="Y251" s="147"/>
      <c r="Z251" s="117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V252" s="98">
        <v>246</v>
      </c>
      <c r="W252" s="58">
        <f t="shared" si="8"/>
        <v>22.41666666666662</v>
      </c>
      <c r="X252" s="203">
        <f t="shared" si="9"/>
        <v>9011.818746222454</v>
      </c>
      <c r="Y252" s="147"/>
      <c r="Z252" s="117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V253" s="98">
        <v>247</v>
      </c>
      <c r="W253" s="58">
        <f t="shared" si="8"/>
        <v>22.499999999999954</v>
      </c>
      <c r="X253" s="203">
        <f t="shared" si="9"/>
        <v>9134.235177905626</v>
      </c>
      <c r="Y253" s="147"/>
      <c r="Z253" s="117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V254" s="98">
        <v>248</v>
      </c>
      <c r="W254" s="58">
        <f t="shared" si="8"/>
        <v>22.583333333333286</v>
      </c>
      <c r="X254" s="203">
        <f t="shared" si="9"/>
        <v>9257.5891095888</v>
      </c>
      <c r="Y254" s="147"/>
      <c r="Z254" s="117"/>
    </row>
    <row r="255" spans="22:26" ht="12.75">
      <c r="V255" s="98">
        <v>249</v>
      </c>
      <c r="W255" s="58">
        <f t="shared" si="8"/>
        <v>22.666666666666618</v>
      </c>
      <c r="X255" s="203">
        <f t="shared" si="9"/>
        <v>9381.884013494195</v>
      </c>
      <c r="Y255" s="147"/>
      <c r="Z255" s="117"/>
    </row>
    <row r="256" spans="22:26" ht="12.75">
      <c r="V256" s="98">
        <v>250</v>
      </c>
      <c r="W256" s="58">
        <f t="shared" si="8"/>
        <v>22.74999999999995</v>
      </c>
      <c r="X256" s="203">
        <f t="shared" si="9"/>
        <v>9507.123361844033</v>
      </c>
      <c r="Y256" s="147"/>
      <c r="Z256" s="117"/>
    </row>
    <row r="257" spans="22:26" ht="12.75">
      <c r="V257" s="98">
        <v>251</v>
      </c>
      <c r="W257" s="58">
        <f t="shared" si="8"/>
        <v>22.833333333333282</v>
      </c>
      <c r="X257" s="203">
        <f t="shared" si="9"/>
        <v>9633.31062686054</v>
      </c>
      <c r="Y257" s="147"/>
      <c r="Z257" s="117"/>
    </row>
    <row r="258" spans="22:26" ht="12.75">
      <c r="V258" s="98">
        <v>252</v>
      </c>
      <c r="W258" s="58">
        <f t="shared" si="8"/>
        <v>22.916666666666615</v>
      </c>
      <c r="X258" s="203">
        <f t="shared" si="9"/>
        <v>9760.449280765935</v>
      </c>
      <c r="Y258" s="147"/>
      <c r="Z258" s="117"/>
    </row>
    <row r="259" spans="22:26" ht="12.75">
      <c r="V259" s="98">
        <v>253</v>
      </c>
      <c r="W259" s="58">
        <f t="shared" si="8"/>
        <v>22.999999999999947</v>
      </c>
      <c r="X259" s="203">
        <f t="shared" si="9"/>
        <v>9888.542795782441</v>
      </c>
      <c r="Y259" s="147"/>
      <c r="Z259" s="117"/>
    </row>
    <row r="260" spans="22:26" ht="12.75">
      <c r="V260" s="98">
        <v>254</v>
      </c>
      <c r="W260" s="58">
        <f t="shared" si="8"/>
        <v>23.08333333333328</v>
      </c>
      <c r="X260" s="203">
        <f t="shared" si="9"/>
        <v>10017.59464413228</v>
      </c>
      <c r="Y260" s="147"/>
      <c r="Z260" s="117"/>
    </row>
    <row r="261" spans="22:26" ht="12.75">
      <c r="V261" s="98">
        <v>255</v>
      </c>
      <c r="W261" s="58">
        <f t="shared" si="8"/>
        <v>23.16666666666661</v>
      </c>
      <c r="X261" s="203">
        <f t="shared" si="9"/>
        <v>10147.608298037676</v>
      </c>
      <c r="Y261" s="147"/>
      <c r="Z261" s="117"/>
    </row>
    <row r="262" spans="22:26" ht="12.75">
      <c r="V262" s="98">
        <v>256</v>
      </c>
      <c r="W262" s="58">
        <f t="shared" si="8"/>
        <v>23.249999999999943</v>
      </c>
      <c r="X262" s="203">
        <f t="shared" si="9"/>
        <v>10278.58722972085</v>
      </c>
      <c r="Y262" s="147"/>
      <c r="Z262" s="117"/>
    </row>
    <row r="263" spans="22:26" ht="12.75">
      <c r="V263" s="98">
        <v>257</v>
      </c>
      <c r="W263" s="58">
        <f t="shared" si="8"/>
        <v>23.333333333333275</v>
      </c>
      <c r="X263" s="203">
        <f t="shared" si="9"/>
        <v>10410.53491140402</v>
      </c>
      <c r="Y263" s="147"/>
      <c r="Z263" s="117"/>
    </row>
    <row r="264" spans="22:26" ht="12.75">
      <c r="V264" s="98">
        <v>258</v>
      </c>
      <c r="W264" s="58">
        <f t="shared" si="8"/>
        <v>23.416666666666607</v>
      </c>
      <c r="X264" s="203">
        <f t="shared" si="9"/>
        <v>10543.454815309415</v>
      </c>
      <c r="Y264" s="147"/>
      <c r="Z264" s="117"/>
    </row>
    <row r="265" spans="22:26" ht="12.75">
      <c r="V265" s="98">
        <v>259</v>
      </c>
      <c r="W265" s="58">
        <f t="shared" si="8"/>
        <v>23.49999999999994</v>
      </c>
      <c r="X265" s="203">
        <f t="shared" si="9"/>
        <v>10677.350413659255</v>
      </c>
      <c r="Y265" s="147"/>
      <c r="Z265" s="117"/>
    </row>
    <row r="266" spans="22:26" ht="12.75">
      <c r="V266" s="98">
        <v>260</v>
      </c>
      <c r="W266" s="58">
        <f t="shared" si="8"/>
        <v>23.58333333333327</v>
      </c>
      <c r="X266" s="203">
        <f t="shared" si="9"/>
        <v>10812.22517867576</v>
      </c>
      <c r="Y266" s="147"/>
      <c r="Z266" s="117"/>
    </row>
    <row r="267" spans="22:26" ht="12.75">
      <c r="V267" s="98">
        <v>261</v>
      </c>
      <c r="W267" s="58">
        <f t="shared" si="8"/>
        <v>23.666666666666604</v>
      </c>
      <c r="X267" s="203">
        <f t="shared" si="9"/>
        <v>10948.082582581155</v>
      </c>
      <c r="Y267" s="147"/>
      <c r="Z267" s="117"/>
    </row>
    <row r="268" spans="22:26" ht="12.75">
      <c r="V268" s="98">
        <v>262</v>
      </c>
      <c r="W268" s="58">
        <f t="shared" si="8"/>
        <v>23.749999999999936</v>
      </c>
      <c r="X268" s="203">
        <f t="shared" si="9"/>
        <v>11084.92609759766</v>
      </c>
      <c r="Y268" s="147"/>
      <c r="Z268" s="117"/>
    </row>
    <row r="269" spans="22:26" ht="12.75">
      <c r="V269" s="98">
        <v>263</v>
      </c>
      <c r="W269" s="58">
        <f t="shared" si="8"/>
        <v>23.833333333333268</v>
      </c>
      <c r="X269" s="203">
        <f t="shared" si="9"/>
        <v>11222.7591959475</v>
      </c>
      <c r="Y269" s="147"/>
      <c r="Z269" s="117"/>
    </row>
    <row r="270" spans="22:26" ht="12.75">
      <c r="V270" s="98">
        <v>264</v>
      </c>
      <c r="W270" s="58">
        <f t="shared" si="8"/>
        <v>23.9166666666666</v>
      </c>
      <c r="X270" s="203">
        <f t="shared" si="9"/>
        <v>11361.585349852894</v>
      </c>
      <c r="Y270" s="147"/>
      <c r="Z270" s="117"/>
    </row>
    <row r="271" spans="22:26" ht="12.75">
      <c r="V271" s="98">
        <v>265</v>
      </c>
      <c r="W271" s="58">
        <f t="shared" si="8"/>
        <v>23.999999999999932</v>
      </c>
      <c r="X271" s="203">
        <f t="shared" si="9"/>
        <v>11501.408031536068</v>
      </c>
      <c r="Y271" s="147"/>
      <c r="Z271" s="117"/>
    </row>
    <row r="272" spans="22:26" ht="12.75">
      <c r="V272" s="98">
        <v>266</v>
      </c>
      <c r="W272" s="58">
        <f t="shared" si="8"/>
        <v>24.083333333333265</v>
      </c>
      <c r="X272" s="203">
        <f t="shared" si="9"/>
        <v>11642.230713219238</v>
      </c>
      <c r="Y272" s="147"/>
      <c r="Z272" s="117"/>
    </row>
    <row r="273" spans="22:26" ht="12.75">
      <c r="V273" s="98">
        <v>267</v>
      </c>
      <c r="W273" s="58">
        <f t="shared" si="8"/>
        <v>24.166666666666597</v>
      </c>
      <c r="X273" s="203">
        <f t="shared" si="9"/>
        <v>11784.056867124635</v>
      </c>
      <c r="Y273" s="147"/>
      <c r="Z273" s="117"/>
    </row>
    <row r="274" spans="22:26" ht="12.75">
      <c r="V274" s="98">
        <v>268</v>
      </c>
      <c r="W274" s="58">
        <f t="shared" si="8"/>
        <v>24.24999999999993</v>
      </c>
      <c r="X274" s="203">
        <f t="shared" si="9"/>
        <v>11926.889965474475</v>
      </c>
      <c r="Y274" s="147"/>
      <c r="Z274" s="117"/>
    </row>
    <row r="275" spans="22:26" ht="12.75">
      <c r="V275" s="98">
        <v>269</v>
      </c>
      <c r="W275" s="58">
        <f t="shared" si="8"/>
        <v>24.33333333333326</v>
      </c>
      <c r="X275" s="203">
        <f t="shared" si="9"/>
        <v>12070.733480490977</v>
      </c>
      <c r="Y275" s="147"/>
      <c r="Z275" s="117"/>
    </row>
    <row r="276" spans="22:26" ht="12.75">
      <c r="V276" s="98">
        <v>270</v>
      </c>
      <c r="W276" s="58">
        <f t="shared" si="8"/>
        <v>24.416666666666593</v>
      </c>
      <c r="X276" s="203">
        <f t="shared" si="9"/>
        <v>12215.590884396373</v>
      </c>
      <c r="Y276" s="147"/>
      <c r="Z276" s="117"/>
    </row>
    <row r="277" spans="22:26" ht="12.75">
      <c r="V277" s="98">
        <v>271</v>
      </c>
      <c r="W277" s="58">
        <f t="shared" si="8"/>
        <v>24.499999999999925</v>
      </c>
      <c r="X277" s="203">
        <f t="shared" si="9"/>
        <v>12361.465649412878</v>
      </c>
      <c r="Y277" s="147"/>
      <c r="Z277" s="117"/>
    </row>
    <row r="278" spans="22:26" ht="12.75">
      <c r="V278" s="98">
        <v>272</v>
      </c>
      <c r="W278" s="58">
        <f t="shared" si="8"/>
        <v>24.583333333333258</v>
      </c>
      <c r="X278" s="203">
        <f t="shared" si="9"/>
        <v>12508.361247762718</v>
      </c>
      <c r="Y278" s="147"/>
      <c r="Z278" s="117"/>
    </row>
    <row r="279" spans="22:26" ht="12.75">
      <c r="V279" s="98">
        <v>273</v>
      </c>
      <c r="W279" s="58">
        <f t="shared" si="8"/>
        <v>24.66666666666659</v>
      </c>
      <c r="X279" s="203">
        <f t="shared" si="9"/>
        <v>12656.281151668109</v>
      </c>
      <c r="Y279" s="147"/>
      <c r="Z279" s="117"/>
    </row>
    <row r="280" spans="22:26" ht="12.75">
      <c r="V280" s="98">
        <v>274</v>
      </c>
      <c r="W280" s="58">
        <f t="shared" si="8"/>
        <v>24.749999999999922</v>
      </c>
      <c r="X280" s="203">
        <f t="shared" si="9"/>
        <v>12805.228833351282</v>
      </c>
      <c r="Y280" s="147"/>
      <c r="Z280" s="117"/>
    </row>
    <row r="281" spans="22:26" ht="12.75">
      <c r="V281" s="98">
        <v>275</v>
      </c>
      <c r="W281" s="58">
        <f t="shared" si="8"/>
        <v>24.833333333333254</v>
      </c>
      <c r="X281" s="203">
        <f t="shared" si="9"/>
        <v>12955.207765034454</v>
      </c>
      <c r="Y281" s="147"/>
      <c r="Z281" s="117"/>
    </row>
    <row r="282" spans="22:26" ht="12.75">
      <c r="V282" s="98">
        <v>276</v>
      </c>
      <c r="W282" s="58">
        <f t="shared" si="8"/>
        <v>24.916666666666586</v>
      </c>
      <c r="X282" s="203">
        <f t="shared" si="9"/>
        <v>13106.221418939847</v>
      </c>
      <c r="Y282" s="147"/>
      <c r="Z282" s="117"/>
    </row>
    <row r="283" spans="22:26" ht="12.75">
      <c r="V283" s="98">
        <v>277</v>
      </c>
      <c r="W283" s="58">
        <f t="shared" si="8"/>
        <v>24.99999999999992</v>
      </c>
      <c r="X283" s="203">
        <f t="shared" si="9"/>
        <v>13258.273267289687</v>
      </c>
      <c r="Y283" s="147"/>
      <c r="Z283" s="117"/>
    </row>
    <row r="284" spans="22:26" ht="12.75">
      <c r="V284" s="98">
        <v>278</v>
      </c>
      <c r="W284" s="58">
        <f t="shared" si="8"/>
        <v>25.08333333333325</v>
      </c>
      <c r="X284" s="203">
        <f t="shared" si="9"/>
        <v>13411.366782306193</v>
      </c>
      <c r="Y284" s="147"/>
      <c r="Z284" s="117"/>
    </row>
    <row r="285" spans="22:24" ht="12.75">
      <c r="V285" s="98">
        <v>279</v>
      </c>
      <c r="W285" s="58">
        <f t="shared" si="8"/>
        <v>25.166666666666583</v>
      </c>
      <c r="X285" s="203">
        <f t="shared" si="9"/>
        <v>13565.505436211586</v>
      </c>
    </row>
    <row r="286" spans="22:24" ht="12.75">
      <c r="V286" s="98">
        <v>280</v>
      </c>
      <c r="W286" s="58">
        <f t="shared" si="8"/>
        <v>25.249999999999915</v>
      </c>
      <c r="X286" s="203">
        <f t="shared" si="9"/>
        <v>13720.692701228092</v>
      </c>
    </row>
    <row r="287" spans="22:24" ht="12.75">
      <c r="V287" s="98">
        <v>281</v>
      </c>
      <c r="W287" s="58">
        <f t="shared" si="8"/>
        <v>25.333333333333247</v>
      </c>
      <c r="X287" s="203">
        <f t="shared" si="9"/>
        <v>13876.93204957793</v>
      </c>
    </row>
    <row r="288" spans="22:24" ht="12.75">
      <c r="V288" s="98">
        <v>282</v>
      </c>
      <c r="W288" s="58">
        <f aca="true" t="shared" si="10" ref="W288:W351">$W287+1/12</f>
        <v>25.41666666666658</v>
      </c>
      <c r="X288" s="203">
        <f aca="true" t="shared" si="11" ref="X288:X351">$W288^3-2*$N$7*$W288/($N$5*$D$14*$D$10)-2*$N$8/($N$5*$D$14*$D$10)</f>
        <v>14034.226953483327</v>
      </c>
    </row>
    <row r="289" spans="22:24" ht="12.75">
      <c r="V289" s="98">
        <v>283</v>
      </c>
      <c r="W289" s="58">
        <f t="shared" si="10"/>
        <v>25.49999999999991</v>
      </c>
      <c r="X289" s="203">
        <f t="shared" si="11"/>
        <v>14192.580885166495</v>
      </c>
    </row>
    <row r="290" spans="22:24" ht="12.75">
      <c r="V290" s="98">
        <v>284</v>
      </c>
      <c r="W290" s="58">
        <f t="shared" si="10"/>
        <v>25.583333333333243</v>
      </c>
      <c r="X290" s="203">
        <f t="shared" si="11"/>
        <v>14351.997316849667</v>
      </c>
    </row>
    <row r="291" spans="22:24" ht="12.75">
      <c r="V291" s="98">
        <v>285</v>
      </c>
      <c r="W291" s="58">
        <f t="shared" si="10"/>
        <v>25.666666666666575</v>
      </c>
      <c r="X291" s="203">
        <f t="shared" si="11"/>
        <v>14512.479720755062</v>
      </c>
    </row>
    <row r="292" spans="22:26" ht="12.75">
      <c r="V292" s="98">
        <v>286</v>
      </c>
      <c r="W292" s="58">
        <f t="shared" si="10"/>
        <v>25.749999999999908</v>
      </c>
      <c r="X292" s="203">
        <f t="shared" si="11"/>
        <v>14674.031569104898</v>
      </c>
      <c r="Y292" s="62"/>
      <c r="Z292" s="62"/>
    </row>
    <row r="293" spans="22:26" ht="12.75">
      <c r="V293" s="98">
        <v>287</v>
      </c>
      <c r="W293" s="58">
        <f t="shared" si="10"/>
        <v>25.83333333333324</v>
      </c>
      <c r="X293" s="203">
        <f t="shared" si="11"/>
        <v>14836.656334121406</v>
      </c>
      <c r="Y293" s="98"/>
      <c r="Z293" s="62"/>
    </row>
    <row r="294" spans="22:26" ht="12.75">
      <c r="V294" s="98">
        <v>288</v>
      </c>
      <c r="W294" s="58">
        <f t="shared" si="10"/>
        <v>25.916666666666572</v>
      </c>
      <c r="X294" s="203">
        <f t="shared" si="11"/>
        <v>15000.357488026797</v>
      </c>
      <c r="Y294" s="98"/>
      <c r="Z294" s="62"/>
    </row>
    <row r="295" spans="22:26" ht="12.75">
      <c r="V295" s="98">
        <v>289</v>
      </c>
      <c r="W295" s="58">
        <f t="shared" si="10"/>
        <v>25.999999999999904</v>
      </c>
      <c r="X295" s="203">
        <f t="shared" si="11"/>
        <v>15165.138503043303</v>
      </c>
      <c r="Z295" s="62"/>
    </row>
    <row r="296" spans="22:26" ht="12.75">
      <c r="V296" s="98">
        <v>290</v>
      </c>
      <c r="W296" s="58">
        <f t="shared" si="10"/>
        <v>26.083333333333236</v>
      </c>
      <c r="X296" s="203">
        <f t="shared" si="11"/>
        <v>15331.002851393141</v>
      </c>
      <c r="Y296" s="62"/>
      <c r="Z296" s="62"/>
    </row>
    <row r="297" spans="22:24" ht="12.75">
      <c r="V297" s="98">
        <v>291</v>
      </c>
      <c r="W297" s="58">
        <f t="shared" si="10"/>
        <v>26.16666666666657</v>
      </c>
      <c r="X297" s="203">
        <f t="shared" si="11"/>
        <v>15497.954005298538</v>
      </c>
    </row>
    <row r="298" spans="22:26" ht="12.75">
      <c r="V298" s="98">
        <v>292</v>
      </c>
      <c r="W298" s="58">
        <f t="shared" si="10"/>
        <v>26.2499999999999</v>
      </c>
      <c r="X298" s="203">
        <f t="shared" si="11"/>
        <v>15665.995436981704</v>
      </c>
      <c r="Y298" s="62"/>
      <c r="Z298" s="62"/>
    </row>
    <row r="299" spans="22:26" ht="12.75">
      <c r="V299" s="98">
        <v>293</v>
      </c>
      <c r="W299" s="58">
        <f t="shared" si="10"/>
        <v>26.333333333333233</v>
      </c>
      <c r="X299" s="203">
        <f t="shared" si="11"/>
        <v>15835.130618664878</v>
      </c>
      <c r="Y299" s="98"/>
      <c r="Z299" s="62"/>
    </row>
    <row r="300" spans="22:26" ht="12.75">
      <c r="V300" s="98">
        <v>294</v>
      </c>
      <c r="W300" s="58">
        <f t="shared" si="10"/>
        <v>26.416666666666565</v>
      </c>
      <c r="X300" s="203">
        <f t="shared" si="11"/>
        <v>16005.363022570271</v>
      </c>
      <c r="Y300" s="98"/>
      <c r="Z300" s="62"/>
    </row>
    <row r="301" spans="22:26" ht="12.75">
      <c r="V301" s="98">
        <v>295</v>
      </c>
      <c r="W301" s="58">
        <f t="shared" si="10"/>
        <v>26.499999999999897</v>
      </c>
      <c r="X301" s="203">
        <f t="shared" si="11"/>
        <v>16176.696120920109</v>
      </c>
      <c r="Z301" s="62"/>
    </row>
    <row r="302" spans="22:26" ht="12.75">
      <c r="V302" s="98">
        <v>296</v>
      </c>
      <c r="W302" s="58">
        <f t="shared" si="10"/>
        <v>26.58333333333323</v>
      </c>
      <c r="X302" s="203">
        <f t="shared" si="11"/>
        <v>16349.133385936611</v>
      </c>
      <c r="Y302" s="62"/>
      <c r="Z302" s="62"/>
    </row>
    <row r="303" spans="22:24" ht="12.75">
      <c r="V303" s="98">
        <v>297</v>
      </c>
      <c r="W303" s="58">
        <f t="shared" si="10"/>
        <v>26.66666666666656</v>
      </c>
      <c r="X303" s="203">
        <f t="shared" si="11"/>
        <v>16522.678289842006</v>
      </c>
    </row>
    <row r="304" spans="22:24" ht="12.75">
      <c r="V304" s="98">
        <v>298</v>
      </c>
      <c r="W304" s="58">
        <f t="shared" si="10"/>
        <v>26.749999999999893</v>
      </c>
      <c r="X304" s="203">
        <f t="shared" si="11"/>
        <v>16697.33430485851</v>
      </c>
    </row>
    <row r="305" spans="22:24" ht="12.75">
      <c r="V305" s="98">
        <v>299</v>
      </c>
      <c r="W305" s="58">
        <f t="shared" si="10"/>
        <v>26.833333333333226</v>
      </c>
      <c r="X305" s="203">
        <f t="shared" si="11"/>
        <v>16873.10490320835</v>
      </c>
    </row>
    <row r="306" spans="22:24" ht="12.75">
      <c r="V306" s="98">
        <v>300</v>
      </c>
      <c r="W306" s="58">
        <f t="shared" si="10"/>
        <v>26.916666666666558</v>
      </c>
      <c r="X306" s="203">
        <f t="shared" si="11"/>
        <v>17049.99355711374</v>
      </c>
    </row>
    <row r="307" spans="22:24" ht="12.75">
      <c r="V307" s="98">
        <v>301</v>
      </c>
      <c r="W307" s="58">
        <f t="shared" si="10"/>
        <v>26.99999999999989</v>
      </c>
      <c r="X307" s="203">
        <f t="shared" si="11"/>
        <v>17228.003738796913</v>
      </c>
    </row>
    <row r="308" spans="22:24" ht="12.75">
      <c r="V308" s="98">
        <v>302</v>
      </c>
      <c r="W308" s="58">
        <f t="shared" si="10"/>
        <v>27.083333333333222</v>
      </c>
      <c r="X308" s="203">
        <f t="shared" si="11"/>
        <v>17407.138920480087</v>
      </c>
    </row>
    <row r="309" spans="22:24" ht="12.75">
      <c r="V309" s="98">
        <v>303</v>
      </c>
      <c r="W309" s="58">
        <f t="shared" si="10"/>
        <v>27.166666666666554</v>
      </c>
      <c r="X309" s="203">
        <f t="shared" si="11"/>
        <v>17587.402574385476</v>
      </c>
    </row>
    <row r="310" spans="22:24" ht="12.75">
      <c r="V310" s="98">
        <v>304</v>
      </c>
      <c r="W310" s="58">
        <f t="shared" si="10"/>
        <v>27.249999999999886</v>
      </c>
      <c r="X310" s="203">
        <f t="shared" si="11"/>
        <v>17768.798172735318</v>
      </c>
    </row>
    <row r="311" spans="22:24" ht="12.75">
      <c r="V311" s="98">
        <v>305</v>
      </c>
      <c r="W311" s="58">
        <f t="shared" si="10"/>
        <v>27.33333333333322</v>
      </c>
      <c r="X311" s="203">
        <f t="shared" si="11"/>
        <v>17951.329187751817</v>
      </c>
    </row>
    <row r="312" spans="22:24" ht="12.75">
      <c r="V312" s="98">
        <v>306</v>
      </c>
      <c r="W312" s="58">
        <f t="shared" si="10"/>
        <v>27.41666666666655</v>
      </c>
      <c r="X312" s="203">
        <f t="shared" si="11"/>
        <v>18134.999091657213</v>
      </c>
    </row>
    <row r="313" spans="22:24" ht="12.75">
      <c r="V313" s="98">
        <v>307</v>
      </c>
      <c r="W313" s="58">
        <f t="shared" si="10"/>
        <v>27.499999999999883</v>
      </c>
      <c r="X313" s="203">
        <f t="shared" si="11"/>
        <v>18319.811356673716</v>
      </c>
    </row>
    <row r="314" spans="22:24" ht="12.75">
      <c r="V314" s="98">
        <v>308</v>
      </c>
      <c r="W314" s="58">
        <f t="shared" si="10"/>
        <v>27.583333333333215</v>
      </c>
      <c r="X314" s="203">
        <f t="shared" si="11"/>
        <v>18505.769455023554</v>
      </c>
    </row>
    <row r="315" spans="22:24" ht="12.75">
      <c r="V315" s="98">
        <v>309</v>
      </c>
      <c r="W315" s="58">
        <f t="shared" si="10"/>
        <v>27.666666666666547</v>
      </c>
      <c r="X315" s="203">
        <f t="shared" si="11"/>
        <v>18692.876858928947</v>
      </c>
    </row>
    <row r="316" spans="22:24" ht="12.75">
      <c r="V316" s="98">
        <v>310</v>
      </c>
      <c r="W316" s="58">
        <f t="shared" si="10"/>
        <v>27.74999999999988</v>
      </c>
      <c r="X316" s="203">
        <f t="shared" si="11"/>
        <v>18881.137040612117</v>
      </c>
    </row>
    <row r="317" spans="22:24" ht="12.75">
      <c r="V317" s="98">
        <v>311</v>
      </c>
      <c r="W317" s="58">
        <f t="shared" si="10"/>
        <v>27.83333333333321</v>
      </c>
      <c r="X317" s="203">
        <f t="shared" si="11"/>
        <v>19070.553472295287</v>
      </c>
    </row>
    <row r="318" spans="22:24" ht="12.75">
      <c r="V318" s="98">
        <v>312</v>
      </c>
      <c r="W318" s="58">
        <f t="shared" si="10"/>
        <v>27.916666666666544</v>
      </c>
      <c r="X318" s="203">
        <f t="shared" si="11"/>
        <v>19261.12962620068</v>
      </c>
    </row>
    <row r="319" spans="22:24" ht="12.75">
      <c r="V319" s="98">
        <v>313</v>
      </c>
      <c r="W319" s="58">
        <f t="shared" si="10"/>
        <v>27.999999999999876</v>
      </c>
      <c r="X319" s="203">
        <f t="shared" si="11"/>
        <v>19452.868974550518</v>
      </c>
    </row>
    <row r="320" spans="22:24" ht="12.75">
      <c r="V320" s="98">
        <v>314</v>
      </c>
      <c r="W320" s="58">
        <f t="shared" si="10"/>
        <v>28.083333333333208</v>
      </c>
      <c r="X320" s="203">
        <f t="shared" si="11"/>
        <v>19645.77498956702</v>
      </c>
    </row>
    <row r="321" spans="22:24" ht="12.75">
      <c r="V321" s="98">
        <v>315</v>
      </c>
      <c r="W321" s="58">
        <f t="shared" si="10"/>
        <v>28.16666666666654</v>
      </c>
      <c r="X321" s="203">
        <f t="shared" si="11"/>
        <v>19839.851143472413</v>
      </c>
    </row>
    <row r="322" spans="22:24" ht="12.75">
      <c r="V322" s="98">
        <v>316</v>
      </c>
      <c r="W322" s="58">
        <f t="shared" si="10"/>
        <v>28.249999999999872</v>
      </c>
      <c r="X322" s="203">
        <f t="shared" si="11"/>
        <v>20035.100908488916</v>
      </c>
    </row>
    <row r="323" spans="22:24" ht="12.75">
      <c r="V323" s="98">
        <v>317</v>
      </c>
      <c r="W323" s="58">
        <f t="shared" si="10"/>
        <v>28.333333333333204</v>
      </c>
      <c r="X323" s="203">
        <f t="shared" si="11"/>
        <v>20231.527756838757</v>
      </c>
    </row>
    <row r="324" spans="22:24" ht="12.75">
      <c r="V324" s="98">
        <v>318</v>
      </c>
      <c r="W324" s="58">
        <f t="shared" si="10"/>
        <v>28.416666666666536</v>
      </c>
      <c r="X324" s="203">
        <f t="shared" si="11"/>
        <v>20429.13516074415</v>
      </c>
    </row>
    <row r="325" spans="22:24" ht="12.75">
      <c r="V325" s="98">
        <v>319</v>
      </c>
      <c r="W325" s="58">
        <f t="shared" si="10"/>
        <v>28.49999999999987</v>
      </c>
      <c r="X325" s="203">
        <f t="shared" si="11"/>
        <v>20627.92659242732</v>
      </c>
    </row>
    <row r="326" spans="22:24" ht="12.75">
      <c r="V326" s="98">
        <v>320</v>
      </c>
      <c r="W326" s="58">
        <f t="shared" si="10"/>
        <v>28.5833333333332</v>
      </c>
      <c r="X326" s="203">
        <f t="shared" si="11"/>
        <v>20827.905524110487</v>
      </c>
    </row>
    <row r="327" spans="22:24" ht="12.75">
      <c r="V327" s="98">
        <v>321</v>
      </c>
      <c r="W327" s="58">
        <f t="shared" si="10"/>
        <v>28.666666666666533</v>
      </c>
      <c r="X327" s="203">
        <f t="shared" si="11"/>
        <v>21029.075428015884</v>
      </c>
    </row>
    <row r="328" spans="22:24" ht="12.75">
      <c r="V328" s="98">
        <v>322</v>
      </c>
      <c r="W328" s="58">
        <f t="shared" si="10"/>
        <v>28.749999999999865</v>
      </c>
      <c r="X328" s="203">
        <f t="shared" si="11"/>
        <v>21231.439776365718</v>
      </c>
    </row>
    <row r="329" spans="22:24" ht="12.75">
      <c r="V329" s="98">
        <v>323</v>
      </c>
      <c r="W329" s="58">
        <f t="shared" si="10"/>
        <v>28.833333333333197</v>
      </c>
      <c r="X329" s="203">
        <f t="shared" si="11"/>
        <v>21435.002041382224</v>
      </c>
    </row>
    <row r="330" spans="22:24" ht="12.75">
      <c r="V330" s="98">
        <v>324</v>
      </c>
      <c r="W330" s="58">
        <f t="shared" si="10"/>
        <v>28.91666666666653</v>
      </c>
      <c r="X330" s="203">
        <f t="shared" si="11"/>
        <v>21639.765695287613</v>
      </c>
    </row>
    <row r="331" spans="22:24" ht="12.75">
      <c r="V331" s="98">
        <v>325</v>
      </c>
      <c r="W331" s="58">
        <f t="shared" si="10"/>
        <v>28.99999999999986</v>
      </c>
      <c r="X331" s="203">
        <f t="shared" si="11"/>
        <v>21845.73421030412</v>
      </c>
    </row>
    <row r="332" spans="22:24" ht="12.75">
      <c r="V332" s="98">
        <v>326</v>
      </c>
      <c r="W332" s="58">
        <f t="shared" si="10"/>
        <v>29.083333333333194</v>
      </c>
      <c r="X332" s="203">
        <f t="shared" si="11"/>
        <v>22052.911058653954</v>
      </c>
    </row>
    <row r="333" spans="22:24" ht="12.75">
      <c r="V333" s="98">
        <v>327</v>
      </c>
      <c r="W333" s="58">
        <f t="shared" si="10"/>
        <v>29.166666666666526</v>
      </c>
      <c r="X333" s="203">
        <f t="shared" si="11"/>
        <v>22261.29971255935</v>
      </c>
    </row>
    <row r="334" spans="22:24" ht="12.75">
      <c r="V334" s="98">
        <v>328</v>
      </c>
      <c r="W334" s="58">
        <f t="shared" si="10"/>
        <v>29.249999999999858</v>
      </c>
      <c r="X334" s="203">
        <f t="shared" si="11"/>
        <v>22470.903644242517</v>
      </c>
    </row>
    <row r="335" spans="22:24" ht="12.75">
      <c r="V335" s="98">
        <v>329</v>
      </c>
      <c r="W335" s="58">
        <f t="shared" si="10"/>
        <v>29.33333333333319</v>
      </c>
      <c r="X335" s="203">
        <f t="shared" si="11"/>
        <v>22681.726325925687</v>
      </c>
    </row>
    <row r="336" spans="22:24" ht="12.75">
      <c r="V336" s="98">
        <v>330</v>
      </c>
      <c r="W336" s="58">
        <f t="shared" si="10"/>
        <v>29.416666666666522</v>
      </c>
      <c r="X336" s="203">
        <f t="shared" si="11"/>
        <v>22893.77122983108</v>
      </c>
    </row>
    <row r="337" spans="22:24" ht="12.75">
      <c r="V337" s="98">
        <v>331</v>
      </c>
      <c r="W337" s="58">
        <f t="shared" si="10"/>
        <v>29.499999999999854</v>
      </c>
      <c r="X337" s="203">
        <f t="shared" si="11"/>
        <v>23107.041828180914</v>
      </c>
    </row>
    <row r="338" spans="22:24" ht="12.75">
      <c r="V338" s="98">
        <v>332</v>
      </c>
      <c r="W338" s="58">
        <f t="shared" si="10"/>
        <v>29.583333333333186</v>
      </c>
      <c r="X338" s="203">
        <f t="shared" si="11"/>
        <v>23321.54159319742</v>
      </c>
    </row>
    <row r="339" spans="22:24" ht="12.75">
      <c r="V339" s="98">
        <v>333</v>
      </c>
      <c r="W339" s="58">
        <f t="shared" si="10"/>
        <v>29.66666666666652</v>
      </c>
      <c r="X339" s="203">
        <f t="shared" si="11"/>
        <v>23537.27399710281</v>
      </c>
    </row>
    <row r="340" spans="22:24" ht="12.75">
      <c r="V340" s="98">
        <v>334</v>
      </c>
      <c r="W340" s="58">
        <f t="shared" si="10"/>
        <v>29.74999999999985</v>
      </c>
      <c r="X340" s="203">
        <f t="shared" si="11"/>
        <v>23754.242512119316</v>
      </c>
    </row>
    <row r="341" spans="22:24" ht="12.75">
      <c r="V341" s="98">
        <v>335</v>
      </c>
      <c r="W341" s="58">
        <f t="shared" si="10"/>
        <v>29.833333333333183</v>
      </c>
      <c r="X341" s="203">
        <f t="shared" si="11"/>
        <v>23972.45061046915</v>
      </c>
    </row>
    <row r="342" spans="22:24" ht="12.75">
      <c r="V342" s="98">
        <v>336</v>
      </c>
      <c r="W342" s="58">
        <f t="shared" si="10"/>
        <v>29.916666666666515</v>
      </c>
      <c r="X342" s="203">
        <f t="shared" si="11"/>
        <v>24191.901764374543</v>
      </c>
    </row>
    <row r="343" spans="22:24" ht="12.75">
      <c r="V343" s="98">
        <v>337</v>
      </c>
      <c r="W343" s="58">
        <f t="shared" si="10"/>
        <v>29.999999999999847</v>
      </c>
      <c r="X343" s="203">
        <f t="shared" si="11"/>
        <v>24412.59944605771</v>
      </c>
    </row>
    <row r="344" spans="22:24" ht="12.75">
      <c r="V344" s="98">
        <v>338</v>
      </c>
      <c r="W344" s="58">
        <f t="shared" si="10"/>
        <v>30.08333333333318</v>
      </c>
      <c r="X344" s="203">
        <f t="shared" si="11"/>
        <v>24634.547127740883</v>
      </c>
    </row>
    <row r="345" spans="22:24" ht="12.75">
      <c r="V345" s="98">
        <v>339</v>
      </c>
      <c r="W345" s="58">
        <f t="shared" si="10"/>
        <v>30.16666666666651</v>
      </c>
      <c r="X345" s="203">
        <f t="shared" si="11"/>
        <v>24857.748281646273</v>
      </c>
    </row>
    <row r="346" spans="22:24" ht="12.75">
      <c r="V346" s="98">
        <v>340</v>
      </c>
      <c r="W346" s="58">
        <f t="shared" si="10"/>
        <v>30.249999999999844</v>
      </c>
      <c r="X346" s="203">
        <f t="shared" si="11"/>
        <v>25082.20637999611</v>
      </c>
    </row>
    <row r="347" spans="22:24" ht="12.75">
      <c r="V347" s="98">
        <v>341</v>
      </c>
      <c r="W347" s="58">
        <f t="shared" si="10"/>
        <v>30.333333333333176</v>
      </c>
      <c r="X347" s="203">
        <f t="shared" si="11"/>
        <v>25307.92489501261</v>
      </c>
    </row>
    <row r="348" spans="22:24" ht="12.75">
      <c r="V348" s="98">
        <v>342</v>
      </c>
      <c r="W348" s="58">
        <f t="shared" si="10"/>
        <v>30.416666666666508</v>
      </c>
      <c r="X348" s="203">
        <f t="shared" si="11"/>
        <v>25534.907298918002</v>
      </c>
    </row>
    <row r="349" spans="22:24" ht="12.75">
      <c r="V349" s="98">
        <v>343</v>
      </c>
      <c r="W349" s="58">
        <f t="shared" si="10"/>
        <v>30.49999999999984</v>
      </c>
      <c r="X349" s="203">
        <f t="shared" si="11"/>
        <v>25763.157063934505</v>
      </c>
    </row>
    <row r="350" spans="22:24" ht="12.75">
      <c r="V350" s="98">
        <v>344</v>
      </c>
      <c r="W350" s="58">
        <f t="shared" si="10"/>
        <v>30.583333333333172</v>
      </c>
      <c r="X350" s="203">
        <f t="shared" si="11"/>
        <v>25992.677662284343</v>
      </c>
    </row>
    <row r="351" spans="22:24" ht="12.75">
      <c r="V351" s="98">
        <v>345</v>
      </c>
      <c r="W351" s="58">
        <f t="shared" si="10"/>
        <v>30.666666666666504</v>
      </c>
      <c r="X351" s="203">
        <f t="shared" si="11"/>
        <v>26223.472566189736</v>
      </c>
    </row>
    <row r="352" spans="22:24" ht="12.75">
      <c r="V352" s="98">
        <v>346</v>
      </c>
      <c r="W352" s="58">
        <f aca="true" t="shared" si="12" ref="W352:W415">$W351+1/12</f>
        <v>30.749999999999837</v>
      </c>
      <c r="X352" s="203">
        <f aca="true" t="shared" si="13" ref="X352:X415">$W352^3-2*$N$7*$W352/($N$5*$D$14*$D$10)-2*$N$8/($N$5*$D$14*$D$10)</f>
        <v>26455.545247872906</v>
      </c>
    </row>
    <row r="353" spans="22:24" ht="12.75">
      <c r="V353" s="98">
        <v>347</v>
      </c>
      <c r="W353" s="58">
        <f t="shared" si="12"/>
        <v>30.83333333333317</v>
      </c>
      <c r="X353" s="203">
        <f t="shared" si="13"/>
        <v>26688.899179556076</v>
      </c>
    </row>
    <row r="354" spans="22:24" ht="12.75">
      <c r="V354" s="98">
        <v>348</v>
      </c>
      <c r="W354" s="58">
        <f t="shared" si="12"/>
        <v>30.9166666666665</v>
      </c>
      <c r="X354" s="203">
        <f t="shared" si="13"/>
        <v>26923.53783346146</v>
      </c>
    </row>
    <row r="355" spans="22:24" ht="12.75">
      <c r="V355" s="98">
        <v>349</v>
      </c>
      <c r="W355" s="58">
        <f t="shared" si="12"/>
        <v>30.999999999999833</v>
      </c>
      <c r="X355" s="203">
        <f t="shared" si="13"/>
        <v>27159.464681811303</v>
      </c>
    </row>
    <row r="356" spans="22:24" ht="12.75">
      <c r="V356" s="98">
        <v>350</v>
      </c>
      <c r="W356" s="58">
        <f t="shared" si="12"/>
        <v>31.083333333333165</v>
      </c>
      <c r="X356" s="203">
        <f t="shared" si="13"/>
        <v>27396.683196827802</v>
      </c>
    </row>
    <row r="357" spans="22:24" ht="12.75">
      <c r="V357" s="98">
        <v>351</v>
      </c>
      <c r="W357" s="58">
        <f t="shared" si="12"/>
        <v>31.166666666666497</v>
      </c>
      <c r="X357" s="203">
        <f t="shared" si="13"/>
        <v>27635.196850733195</v>
      </c>
    </row>
    <row r="358" spans="22:24" ht="12.75">
      <c r="V358" s="98">
        <v>352</v>
      </c>
      <c r="W358" s="58">
        <f t="shared" si="12"/>
        <v>31.24999999999983</v>
      </c>
      <c r="X358" s="203">
        <f t="shared" si="13"/>
        <v>27875.009115749694</v>
      </c>
    </row>
    <row r="359" spans="22:24" ht="12.75">
      <c r="V359" s="98">
        <v>353</v>
      </c>
      <c r="W359" s="58">
        <f t="shared" si="12"/>
        <v>31.33333333333316</v>
      </c>
      <c r="X359" s="203">
        <f t="shared" si="13"/>
        <v>28116.123464099535</v>
      </c>
    </row>
    <row r="360" spans="22:24" ht="12.75">
      <c r="V360" s="98">
        <v>354</v>
      </c>
      <c r="W360" s="58">
        <f t="shared" si="12"/>
        <v>31.416666666666494</v>
      </c>
      <c r="X360" s="203">
        <f t="shared" si="13"/>
        <v>28358.54336800492</v>
      </c>
    </row>
    <row r="361" spans="22:24" ht="12.75">
      <c r="V361" s="98">
        <v>355</v>
      </c>
      <c r="W361" s="58">
        <f t="shared" si="12"/>
        <v>31.499999999999826</v>
      </c>
      <c r="X361" s="203">
        <f t="shared" si="13"/>
        <v>28602.272299688095</v>
      </c>
    </row>
    <row r="362" spans="22:24" ht="12.75">
      <c r="V362" s="98">
        <v>356</v>
      </c>
      <c r="W362" s="58">
        <f t="shared" si="12"/>
        <v>31.583333333333158</v>
      </c>
      <c r="X362" s="203">
        <f t="shared" si="13"/>
        <v>28847.31373137126</v>
      </c>
    </row>
    <row r="363" spans="22:24" ht="12.75">
      <c r="V363" s="98">
        <v>357</v>
      </c>
      <c r="W363" s="58">
        <f t="shared" si="12"/>
        <v>31.66666666666649</v>
      </c>
      <c r="X363" s="203">
        <f t="shared" si="13"/>
        <v>29093.67113527665</v>
      </c>
    </row>
    <row r="364" spans="22:24" ht="12.75">
      <c r="V364" s="98">
        <v>358</v>
      </c>
      <c r="W364" s="58">
        <f t="shared" si="12"/>
        <v>31.749999999999822</v>
      </c>
      <c r="X364" s="203">
        <f t="shared" si="13"/>
        <v>29341.34798362649</v>
      </c>
    </row>
    <row r="365" spans="22:24" ht="12.75">
      <c r="V365" s="98">
        <v>359</v>
      </c>
      <c r="W365" s="58">
        <f t="shared" si="12"/>
        <v>31.833333333333155</v>
      </c>
      <c r="X365" s="203">
        <f t="shared" si="13"/>
        <v>29590.34774864299</v>
      </c>
    </row>
    <row r="366" spans="22:24" ht="12.75">
      <c r="V366" s="98">
        <v>360</v>
      </c>
      <c r="W366" s="58">
        <f t="shared" si="12"/>
        <v>31.916666666666487</v>
      </c>
      <c r="X366" s="203">
        <f t="shared" si="13"/>
        <v>29840.67390254838</v>
      </c>
    </row>
    <row r="367" spans="22:24" ht="12.75">
      <c r="V367" s="98">
        <v>361</v>
      </c>
      <c r="W367" s="58">
        <f t="shared" si="12"/>
        <v>31.99999999999982</v>
      </c>
      <c r="X367" s="203">
        <f t="shared" si="13"/>
        <v>30092.329917564883</v>
      </c>
    </row>
    <row r="368" spans="22:24" ht="12.75">
      <c r="V368" s="98">
        <v>362</v>
      </c>
      <c r="W368" s="58">
        <f t="shared" si="12"/>
        <v>32.08333333333315</v>
      </c>
      <c r="X368" s="203">
        <f t="shared" si="13"/>
        <v>30345.319265914717</v>
      </c>
    </row>
    <row r="369" spans="22:24" ht="12.75">
      <c r="V369" s="98">
        <v>363</v>
      </c>
      <c r="W369" s="58">
        <f t="shared" si="12"/>
        <v>32.16666666666649</v>
      </c>
      <c r="X369" s="203">
        <f t="shared" si="13"/>
        <v>30599.64541982012</v>
      </c>
    </row>
    <row r="370" spans="22:24" ht="12.75">
      <c r="V370" s="98">
        <v>364</v>
      </c>
      <c r="W370" s="58">
        <f t="shared" si="12"/>
        <v>32.24999999999982</v>
      </c>
      <c r="X370" s="203">
        <f t="shared" si="13"/>
        <v>30855.311851503302</v>
      </c>
    </row>
    <row r="371" spans="22:24" ht="12.75">
      <c r="V371" s="98">
        <v>365</v>
      </c>
      <c r="W371" s="58">
        <f t="shared" si="12"/>
        <v>32.33333333333316</v>
      </c>
      <c r="X371" s="203">
        <f t="shared" si="13"/>
        <v>31112.32203318648</v>
      </c>
    </row>
    <row r="372" spans="22:24" ht="12.75">
      <c r="V372" s="98">
        <v>366</v>
      </c>
      <c r="W372" s="58">
        <f t="shared" si="12"/>
        <v>32.416666666666494</v>
      </c>
      <c r="X372" s="203">
        <f t="shared" si="13"/>
        <v>31370.67943709188</v>
      </c>
    </row>
    <row r="373" spans="22:24" ht="12.75">
      <c r="V373" s="98">
        <v>367</v>
      </c>
      <c r="W373" s="58">
        <f t="shared" si="12"/>
        <v>32.49999999999983</v>
      </c>
      <c r="X373" s="203">
        <f t="shared" si="13"/>
        <v>31630.387535441725</v>
      </c>
    </row>
    <row r="374" spans="22:24" ht="12.75">
      <c r="V374" s="98">
        <v>368</v>
      </c>
      <c r="W374" s="58">
        <f t="shared" si="12"/>
        <v>32.583333333333165</v>
      </c>
      <c r="X374" s="203">
        <f t="shared" si="13"/>
        <v>31891.449800458242</v>
      </c>
    </row>
    <row r="375" spans="22:24" ht="12.75">
      <c r="V375" s="98">
        <v>369</v>
      </c>
      <c r="W375" s="58">
        <f t="shared" si="12"/>
        <v>32.6666666666665</v>
      </c>
      <c r="X375" s="203">
        <f t="shared" si="13"/>
        <v>32153.869704363635</v>
      </c>
    </row>
    <row r="376" spans="22:24" ht="12.75">
      <c r="V376" s="98">
        <v>370</v>
      </c>
      <c r="W376" s="58">
        <f t="shared" si="12"/>
        <v>32.74999999999984</v>
      </c>
      <c r="X376" s="203">
        <f t="shared" si="13"/>
        <v>32417.65071938016</v>
      </c>
    </row>
    <row r="377" spans="22:24" ht="12.75">
      <c r="V377" s="98">
        <v>371</v>
      </c>
      <c r="W377" s="58">
        <f t="shared" si="12"/>
        <v>32.83333333333317</v>
      </c>
      <c r="X377" s="203">
        <f t="shared" si="13"/>
        <v>32682.796317730004</v>
      </c>
    </row>
    <row r="378" spans="22:24" ht="12.75">
      <c r="V378" s="98">
        <v>372</v>
      </c>
      <c r="W378" s="58">
        <f t="shared" si="12"/>
        <v>32.91666666666651</v>
      </c>
      <c r="X378" s="203">
        <f t="shared" si="13"/>
        <v>32949.3099716354</v>
      </c>
    </row>
    <row r="379" spans="22:24" ht="12.75">
      <c r="V379" s="98">
        <v>373</v>
      </c>
      <c r="W379" s="58">
        <f t="shared" si="12"/>
        <v>32.999999999999844</v>
      </c>
      <c r="X379" s="203">
        <f t="shared" si="13"/>
        <v>33217.195153318586</v>
      </c>
    </row>
    <row r="380" spans="22:24" ht="12.75">
      <c r="V380" s="98">
        <v>374</v>
      </c>
      <c r="W380" s="58">
        <f t="shared" si="12"/>
        <v>33.08333333333318</v>
      </c>
      <c r="X380" s="203">
        <f t="shared" si="13"/>
        <v>33486.45533500177</v>
      </c>
    </row>
    <row r="381" spans="22:24" ht="12.75">
      <c r="V381" s="98">
        <v>375</v>
      </c>
      <c r="W381" s="58">
        <f t="shared" si="12"/>
        <v>33.166666666666515</v>
      </c>
      <c r="X381" s="203">
        <f t="shared" si="13"/>
        <v>33757.09398890717</v>
      </c>
    </row>
    <row r="382" spans="22:24" ht="12.75">
      <c r="V382" s="98">
        <v>376</v>
      </c>
      <c r="W382" s="58">
        <f t="shared" si="12"/>
        <v>33.24999999999985</v>
      </c>
      <c r="X382" s="203">
        <f t="shared" si="13"/>
        <v>34029.11458725701</v>
      </c>
    </row>
    <row r="383" spans="22:24" ht="12.75">
      <c r="V383" s="98">
        <v>377</v>
      </c>
      <c r="W383" s="58">
        <f t="shared" si="12"/>
        <v>33.33333333333319</v>
      </c>
      <c r="X383" s="203">
        <f t="shared" si="13"/>
        <v>34302.52060227353</v>
      </c>
    </row>
    <row r="384" spans="22:24" ht="12.75">
      <c r="V384" s="98">
        <v>378</v>
      </c>
      <c r="W384" s="58">
        <f t="shared" si="12"/>
        <v>33.41666666666652</v>
      </c>
      <c r="X384" s="203">
        <f t="shared" si="13"/>
        <v>34577.31550617894</v>
      </c>
    </row>
    <row r="385" spans="22:24" ht="12.75">
      <c r="V385" s="98">
        <v>379</v>
      </c>
      <c r="W385" s="58">
        <f t="shared" si="12"/>
        <v>33.49999999999986</v>
      </c>
      <c r="X385" s="203">
        <f t="shared" si="13"/>
        <v>34853.50277119544</v>
      </c>
    </row>
    <row r="386" spans="22:24" ht="12.75">
      <c r="V386" s="98">
        <v>380</v>
      </c>
      <c r="W386" s="58">
        <f t="shared" si="12"/>
        <v>33.583333333333194</v>
      </c>
      <c r="X386" s="203">
        <f t="shared" si="13"/>
        <v>35131.085869545284</v>
      </c>
    </row>
    <row r="387" spans="22:24" ht="12.75">
      <c r="V387" s="98">
        <v>381</v>
      </c>
      <c r="W387" s="58">
        <f t="shared" si="12"/>
        <v>33.66666666666653</v>
      </c>
      <c r="X387" s="203">
        <f t="shared" si="13"/>
        <v>35410.0682734507</v>
      </c>
    </row>
    <row r="388" spans="22:24" ht="12.75">
      <c r="V388" s="98">
        <v>382</v>
      </c>
      <c r="W388" s="58">
        <f t="shared" si="12"/>
        <v>33.749999999999865</v>
      </c>
      <c r="X388" s="203">
        <f t="shared" si="13"/>
        <v>35690.45345513388</v>
      </c>
    </row>
    <row r="389" spans="22:24" ht="12.75">
      <c r="V389" s="98">
        <v>383</v>
      </c>
      <c r="W389" s="58">
        <f t="shared" si="12"/>
        <v>33.8333333333332</v>
      </c>
      <c r="X389" s="203">
        <f t="shared" si="13"/>
        <v>35972.244886817054</v>
      </c>
    </row>
    <row r="390" spans="22:24" ht="12.75">
      <c r="V390" s="98">
        <v>384</v>
      </c>
      <c r="W390" s="58">
        <f t="shared" si="12"/>
        <v>33.916666666666536</v>
      </c>
      <c r="X390" s="203">
        <f t="shared" si="13"/>
        <v>36255.44604072246</v>
      </c>
    </row>
    <row r="391" spans="22:24" ht="12.75">
      <c r="V391" s="98">
        <v>385</v>
      </c>
      <c r="W391" s="58">
        <f t="shared" si="12"/>
        <v>33.99999999999987</v>
      </c>
      <c r="X391" s="203">
        <f t="shared" si="13"/>
        <v>36540.06038907231</v>
      </c>
    </row>
    <row r="392" spans="22:24" ht="12.75">
      <c r="V392" s="98">
        <v>386</v>
      </c>
      <c r="W392" s="58">
        <f t="shared" si="12"/>
        <v>34.08333333333321</v>
      </c>
      <c r="X392" s="203">
        <f t="shared" si="13"/>
        <v>36826.09140408882</v>
      </c>
    </row>
    <row r="393" spans="22:24" ht="12.75">
      <c r="V393" s="98">
        <v>387</v>
      </c>
      <c r="W393" s="58">
        <f t="shared" si="12"/>
        <v>34.16666666666654</v>
      </c>
      <c r="X393" s="203">
        <f t="shared" si="13"/>
        <v>37113.542557994224</v>
      </c>
    </row>
    <row r="394" spans="22:24" ht="12.75">
      <c r="V394" s="98">
        <v>388</v>
      </c>
      <c r="W394" s="58">
        <f t="shared" si="12"/>
        <v>34.24999999999988</v>
      </c>
      <c r="X394" s="203">
        <f t="shared" si="13"/>
        <v>37402.41732301074</v>
      </c>
    </row>
    <row r="395" spans="22:24" ht="12.75">
      <c r="V395" s="98">
        <v>389</v>
      </c>
      <c r="W395" s="58">
        <f t="shared" si="12"/>
        <v>34.333333333333215</v>
      </c>
      <c r="X395" s="203">
        <f t="shared" si="13"/>
        <v>37692.719171360586</v>
      </c>
    </row>
    <row r="396" spans="22:24" ht="12.75">
      <c r="V396" s="98">
        <v>390</v>
      </c>
      <c r="W396" s="58">
        <f t="shared" si="12"/>
        <v>34.41666666666655</v>
      </c>
      <c r="X396" s="203">
        <f t="shared" si="13"/>
        <v>37984.45157526599</v>
      </c>
    </row>
    <row r="397" spans="22:24" ht="12.75">
      <c r="V397" s="98">
        <v>391</v>
      </c>
      <c r="W397" s="58">
        <f t="shared" si="12"/>
        <v>34.499999999999886</v>
      </c>
      <c r="X397" s="203">
        <f t="shared" si="13"/>
        <v>38277.618006949175</v>
      </c>
    </row>
    <row r="398" spans="22:24" ht="12.75">
      <c r="V398" s="98">
        <v>392</v>
      </c>
      <c r="W398" s="58">
        <f t="shared" si="12"/>
        <v>34.58333333333322</v>
      </c>
      <c r="X398" s="203">
        <f t="shared" si="13"/>
        <v>38572.221938632356</v>
      </c>
    </row>
    <row r="399" spans="22:24" ht="12.75">
      <c r="V399" s="98">
        <v>393</v>
      </c>
      <c r="W399" s="58">
        <f t="shared" si="12"/>
        <v>34.66666666666656</v>
      </c>
      <c r="X399" s="203">
        <f t="shared" si="13"/>
        <v>38868.26684253776</v>
      </c>
    </row>
    <row r="400" spans="22:24" ht="12.75">
      <c r="V400" s="98">
        <v>394</v>
      </c>
      <c r="W400" s="58">
        <f t="shared" si="12"/>
        <v>34.74999999999989</v>
      </c>
      <c r="X400" s="203">
        <f t="shared" si="13"/>
        <v>39165.7561908876</v>
      </c>
    </row>
    <row r="401" spans="22:24" ht="12.75">
      <c r="V401" s="98">
        <v>395</v>
      </c>
      <c r="W401" s="58">
        <f t="shared" si="12"/>
        <v>34.83333333333323</v>
      </c>
      <c r="X401" s="203">
        <f t="shared" si="13"/>
        <v>39464.69345590412</v>
      </c>
    </row>
    <row r="402" spans="22:24" ht="12.75">
      <c r="V402" s="98">
        <v>396</v>
      </c>
      <c r="W402" s="58">
        <f t="shared" si="12"/>
        <v>34.916666666666565</v>
      </c>
      <c r="X402" s="203">
        <f t="shared" si="13"/>
        <v>39765.082109809526</v>
      </c>
    </row>
    <row r="403" spans="22:24" ht="12.75">
      <c r="V403" s="98">
        <v>397</v>
      </c>
      <c r="W403" s="58">
        <f t="shared" si="12"/>
        <v>34.9999999999999</v>
      </c>
      <c r="X403" s="203">
        <f t="shared" si="13"/>
        <v>40066.925624826035</v>
      </c>
    </row>
    <row r="404" spans="22:24" ht="12.75">
      <c r="V404" s="98">
        <v>398</v>
      </c>
      <c r="W404" s="58">
        <f t="shared" si="12"/>
        <v>35.083333333333236</v>
      </c>
      <c r="X404" s="203">
        <f t="shared" si="13"/>
        <v>40370.227473175895</v>
      </c>
    </row>
    <row r="405" spans="22:24" ht="12.75">
      <c r="V405" s="98">
        <v>399</v>
      </c>
      <c r="W405" s="58">
        <f t="shared" si="12"/>
        <v>35.16666666666657</v>
      </c>
      <c r="X405" s="203">
        <f t="shared" si="13"/>
        <v>40674.99112708129</v>
      </c>
    </row>
    <row r="406" spans="22:24" ht="12.75">
      <c r="V406" s="98">
        <v>400</v>
      </c>
      <c r="W406" s="58">
        <f t="shared" si="12"/>
        <v>35.24999999999991</v>
      </c>
      <c r="X406" s="203">
        <f t="shared" si="13"/>
        <v>40981.22005876447</v>
      </c>
    </row>
    <row r="407" spans="22:24" ht="12.75">
      <c r="V407" s="98">
        <v>401</v>
      </c>
      <c r="W407" s="58">
        <f t="shared" si="12"/>
        <v>35.33333333333324</v>
      </c>
      <c r="X407" s="203">
        <f t="shared" si="13"/>
        <v>41288.91774044766</v>
      </c>
    </row>
    <row r="408" spans="22:24" ht="12.75">
      <c r="V408" s="98">
        <v>402</v>
      </c>
      <c r="W408" s="58">
        <f t="shared" si="12"/>
        <v>35.41666666666658</v>
      </c>
      <c r="X408" s="203">
        <f t="shared" si="13"/>
        <v>41598.08764435306</v>
      </c>
    </row>
    <row r="409" spans="22:24" ht="12.75">
      <c r="V409" s="98">
        <v>403</v>
      </c>
      <c r="W409" s="58">
        <f t="shared" si="12"/>
        <v>35.499999999999915</v>
      </c>
      <c r="X409" s="203">
        <f t="shared" si="13"/>
        <v>41908.7332427029</v>
      </c>
    </row>
    <row r="410" spans="22:24" ht="12.75">
      <c r="V410" s="98">
        <v>404</v>
      </c>
      <c r="W410" s="58">
        <f t="shared" si="12"/>
        <v>35.58333333333325</v>
      </c>
      <c r="X410" s="203">
        <f t="shared" si="13"/>
        <v>42220.85800771943</v>
      </c>
    </row>
    <row r="411" spans="22:24" ht="12.75">
      <c r="V411" s="98">
        <v>405</v>
      </c>
      <c r="W411" s="58">
        <f t="shared" si="12"/>
        <v>35.666666666666586</v>
      </c>
      <c r="X411" s="203">
        <f t="shared" si="13"/>
        <v>42534.465411624835</v>
      </c>
    </row>
    <row r="412" spans="22:24" ht="12.75">
      <c r="V412" s="98">
        <v>406</v>
      </c>
      <c r="W412" s="58">
        <f t="shared" si="12"/>
        <v>35.74999999999992</v>
      </c>
      <c r="X412" s="203">
        <f t="shared" si="13"/>
        <v>42849.558926641344</v>
      </c>
    </row>
    <row r="413" spans="22:24" ht="12.75">
      <c r="V413" s="98">
        <v>407</v>
      </c>
      <c r="W413" s="58">
        <f t="shared" si="12"/>
        <v>35.83333333333326</v>
      </c>
      <c r="X413" s="203">
        <f t="shared" si="13"/>
        <v>43166.1420249912</v>
      </c>
    </row>
    <row r="414" spans="22:24" ht="12.75">
      <c r="V414" s="98">
        <v>408</v>
      </c>
      <c r="W414" s="58">
        <f t="shared" si="12"/>
        <v>35.91666666666659</v>
      </c>
      <c r="X414" s="203">
        <f t="shared" si="13"/>
        <v>43484.2181788966</v>
      </c>
    </row>
    <row r="415" spans="22:24" ht="12.75">
      <c r="V415" s="98">
        <v>409</v>
      </c>
      <c r="W415" s="58">
        <f t="shared" si="12"/>
        <v>35.99999999999993</v>
      </c>
      <c r="X415" s="203">
        <f t="shared" si="13"/>
        <v>43803.79086057979</v>
      </c>
    </row>
    <row r="416" spans="22:24" ht="12.75">
      <c r="V416" s="98">
        <v>410</v>
      </c>
      <c r="W416" s="58">
        <f aca="true" t="shared" si="14" ref="W416:W463">$W415+1/12</f>
        <v>36.083333333333265</v>
      </c>
      <c r="X416" s="203">
        <f aca="true" t="shared" si="15" ref="X416:X463">$W416^3-2*$N$7*$W416/($N$5*$D$14*$D$10)-2*$N$8/($N$5*$D$14*$D$10)</f>
        <v>44124.863542262974</v>
      </c>
    </row>
    <row r="417" spans="22:24" ht="12.75">
      <c r="V417" s="98">
        <v>411</v>
      </c>
      <c r="W417" s="58">
        <f t="shared" si="14"/>
        <v>36.1666666666666</v>
      </c>
      <c r="X417" s="203">
        <f t="shared" si="15"/>
        <v>44447.439696168374</v>
      </c>
    </row>
    <row r="418" spans="22:24" ht="12.75">
      <c r="V418" s="98">
        <v>412</v>
      </c>
      <c r="W418" s="58">
        <f t="shared" si="14"/>
        <v>36.249999999999936</v>
      </c>
      <c r="X418" s="203">
        <f t="shared" si="15"/>
        <v>44771.52279451823</v>
      </c>
    </row>
    <row r="419" spans="22:24" ht="12.75">
      <c r="V419" s="98">
        <v>413</v>
      </c>
      <c r="W419" s="58">
        <f t="shared" si="14"/>
        <v>36.33333333333327</v>
      </c>
      <c r="X419" s="203">
        <f t="shared" si="15"/>
        <v>45097.11630953474</v>
      </c>
    </row>
    <row r="420" spans="22:24" ht="12.75">
      <c r="V420" s="98">
        <v>414</v>
      </c>
      <c r="W420" s="58">
        <f t="shared" si="14"/>
        <v>36.41666666666661</v>
      </c>
      <c r="X420" s="203">
        <f t="shared" si="15"/>
        <v>45424.223713440144</v>
      </c>
    </row>
    <row r="421" spans="22:24" ht="12.75">
      <c r="V421" s="98">
        <v>415</v>
      </c>
      <c r="W421" s="58">
        <f t="shared" si="14"/>
        <v>36.49999999999994</v>
      </c>
      <c r="X421" s="203">
        <f t="shared" si="15"/>
        <v>45752.84847845666</v>
      </c>
    </row>
    <row r="422" spans="22:24" ht="12.75">
      <c r="V422" s="98">
        <v>416</v>
      </c>
      <c r="W422" s="58">
        <f t="shared" si="14"/>
        <v>36.58333333333328</v>
      </c>
      <c r="X422" s="203">
        <f t="shared" si="15"/>
        <v>46082.994076806506</v>
      </c>
    </row>
    <row r="423" spans="22:24" ht="12.75">
      <c r="V423" s="98">
        <v>417</v>
      </c>
      <c r="W423" s="58">
        <f t="shared" si="14"/>
        <v>36.666666666666615</v>
      </c>
      <c r="X423" s="203">
        <f t="shared" si="15"/>
        <v>46414.66398071192</v>
      </c>
    </row>
    <row r="424" spans="22:24" ht="12.75">
      <c r="V424" s="98">
        <v>418</v>
      </c>
      <c r="W424" s="58">
        <f t="shared" si="14"/>
        <v>36.74999999999995</v>
      </c>
      <c r="X424" s="203">
        <f t="shared" si="15"/>
        <v>46747.8616623951</v>
      </c>
    </row>
    <row r="425" spans="22:24" ht="12.75">
      <c r="V425" s="98">
        <v>419</v>
      </c>
      <c r="W425" s="58">
        <f t="shared" si="14"/>
        <v>36.833333333333286</v>
      </c>
      <c r="X425" s="203">
        <f t="shared" si="15"/>
        <v>47082.59059407828</v>
      </c>
    </row>
    <row r="426" spans="22:24" ht="12.75">
      <c r="V426" s="98">
        <v>420</v>
      </c>
      <c r="W426" s="58">
        <f t="shared" si="14"/>
        <v>36.91666666666662</v>
      </c>
      <c r="X426" s="203">
        <f t="shared" si="15"/>
        <v>47418.85424798369</v>
      </c>
    </row>
    <row r="427" spans="22:24" ht="12.75">
      <c r="V427" s="98">
        <v>421</v>
      </c>
      <c r="W427" s="58">
        <f t="shared" si="14"/>
        <v>36.99999999999996</v>
      </c>
      <c r="X427" s="203">
        <f t="shared" si="15"/>
        <v>47756.65609633354</v>
      </c>
    </row>
    <row r="428" spans="22:24" ht="12.75">
      <c r="V428" s="98">
        <v>422</v>
      </c>
      <c r="W428" s="58">
        <f t="shared" si="14"/>
        <v>37.08333333333329</v>
      </c>
      <c r="X428" s="203">
        <f t="shared" si="15"/>
        <v>48095.99961135006</v>
      </c>
    </row>
    <row r="429" spans="22:24" ht="12.75">
      <c r="V429" s="98">
        <v>423</v>
      </c>
      <c r="W429" s="58">
        <f t="shared" si="14"/>
        <v>37.16666666666663</v>
      </c>
      <c r="X429" s="203">
        <f t="shared" si="15"/>
        <v>48436.88826525547</v>
      </c>
    </row>
    <row r="430" spans="22:24" ht="12.75">
      <c r="V430" s="98">
        <v>424</v>
      </c>
      <c r="W430" s="58">
        <f t="shared" si="14"/>
        <v>37.249999999999964</v>
      </c>
      <c r="X430" s="203">
        <f t="shared" si="15"/>
        <v>48779.32553027198</v>
      </c>
    </row>
    <row r="431" spans="22:24" ht="12.75">
      <c r="V431" s="98">
        <v>425</v>
      </c>
      <c r="W431" s="58">
        <f t="shared" si="14"/>
        <v>37.3333333333333</v>
      </c>
      <c r="X431" s="203">
        <f t="shared" si="15"/>
        <v>49123.31487862184</v>
      </c>
    </row>
    <row r="432" spans="22:24" ht="12.75">
      <c r="V432" s="98">
        <v>426</v>
      </c>
      <c r="W432" s="58">
        <f t="shared" si="14"/>
        <v>37.416666666666636</v>
      </c>
      <c r="X432" s="203">
        <f t="shared" si="15"/>
        <v>49468.85978252724</v>
      </c>
    </row>
    <row r="433" spans="22:24" ht="12.75">
      <c r="V433" s="98">
        <v>427</v>
      </c>
      <c r="W433" s="58">
        <f t="shared" si="14"/>
        <v>37.49999999999997</v>
      </c>
      <c r="X433" s="203">
        <f t="shared" si="15"/>
        <v>49815.963714210426</v>
      </c>
    </row>
    <row r="434" spans="22:24" ht="12.75">
      <c r="V434" s="98">
        <v>428</v>
      </c>
      <c r="W434" s="58">
        <f t="shared" si="14"/>
        <v>37.58333333333331</v>
      </c>
      <c r="X434" s="203">
        <f t="shared" si="15"/>
        <v>50164.63014589361</v>
      </c>
    </row>
    <row r="435" spans="22:24" ht="12.75">
      <c r="V435" s="98">
        <v>429</v>
      </c>
      <c r="W435" s="58">
        <f t="shared" si="14"/>
        <v>37.66666666666664</v>
      </c>
      <c r="X435" s="203">
        <f t="shared" si="15"/>
        <v>50514.862549799014</v>
      </c>
    </row>
    <row r="436" spans="22:24" ht="12.75">
      <c r="V436" s="98">
        <v>430</v>
      </c>
      <c r="W436" s="58">
        <f t="shared" si="14"/>
        <v>37.74999999999998</v>
      </c>
      <c r="X436" s="203">
        <f t="shared" si="15"/>
        <v>50866.664398148874</v>
      </c>
    </row>
    <row r="437" spans="22:24" ht="12.75">
      <c r="V437" s="98">
        <v>431</v>
      </c>
      <c r="W437" s="58">
        <f t="shared" si="14"/>
        <v>37.833333333333314</v>
      </c>
      <c r="X437" s="203">
        <f t="shared" si="15"/>
        <v>51220.039163165384</v>
      </c>
    </row>
    <row r="438" spans="22:24" ht="12.75">
      <c r="V438" s="98">
        <v>432</v>
      </c>
      <c r="W438" s="58">
        <f t="shared" si="14"/>
        <v>37.91666666666665</v>
      </c>
      <c r="X438" s="203">
        <f t="shared" si="15"/>
        <v>51574.9903170708</v>
      </c>
    </row>
    <row r="439" spans="22:24" ht="12.75">
      <c r="V439" s="98">
        <v>433</v>
      </c>
      <c r="W439" s="58">
        <f t="shared" si="14"/>
        <v>37.999999999999986</v>
      </c>
      <c r="X439" s="203">
        <f t="shared" si="15"/>
        <v>51931.52133208731</v>
      </c>
    </row>
    <row r="440" spans="22:24" ht="12.75">
      <c r="V440" s="98">
        <v>434</v>
      </c>
      <c r="W440" s="58">
        <f t="shared" si="14"/>
        <v>38.08333333333332</v>
      </c>
      <c r="X440" s="203">
        <f t="shared" si="15"/>
        <v>52289.63568043717</v>
      </c>
    </row>
    <row r="441" spans="22:24" ht="12.75">
      <c r="V441" s="98">
        <v>435</v>
      </c>
      <c r="W441" s="58">
        <f t="shared" si="14"/>
        <v>38.16666666666666</v>
      </c>
      <c r="X441" s="203">
        <f t="shared" si="15"/>
        <v>52649.33683434257</v>
      </c>
    </row>
    <row r="442" spans="22:24" ht="12.75">
      <c r="V442" s="98">
        <v>436</v>
      </c>
      <c r="W442" s="58">
        <f t="shared" si="14"/>
        <v>38.24999999999999</v>
      </c>
      <c r="X442" s="203">
        <f t="shared" si="15"/>
        <v>53010.62826602576</v>
      </c>
    </row>
    <row r="443" spans="22:24" ht="12.75">
      <c r="V443" s="98">
        <v>437</v>
      </c>
      <c r="W443" s="58">
        <f t="shared" si="14"/>
        <v>38.33333333333333</v>
      </c>
      <c r="X443" s="203">
        <f t="shared" si="15"/>
        <v>53373.513447708945</v>
      </c>
    </row>
    <row r="444" spans="22:24" ht="12.75">
      <c r="V444" s="98">
        <v>438</v>
      </c>
      <c r="W444" s="58">
        <f t="shared" si="14"/>
        <v>38.416666666666664</v>
      </c>
      <c r="X444" s="203">
        <f t="shared" si="15"/>
        <v>53737.995851614345</v>
      </c>
    </row>
    <row r="445" spans="22:24" ht="12.75">
      <c r="V445" s="98">
        <v>439</v>
      </c>
      <c r="W445" s="58">
        <f t="shared" si="14"/>
        <v>38.5</v>
      </c>
      <c r="X445" s="203">
        <f t="shared" si="15"/>
        <v>54104.0789499642</v>
      </c>
    </row>
    <row r="446" spans="22:24" ht="12.75">
      <c r="V446" s="98">
        <v>440</v>
      </c>
      <c r="W446" s="58">
        <f t="shared" si="14"/>
        <v>38.583333333333336</v>
      </c>
      <c r="X446" s="203">
        <f t="shared" si="15"/>
        <v>54471.76621498072</v>
      </c>
    </row>
    <row r="447" spans="22:24" ht="12.75">
      <c r="V447" s="98">
        <v>441</v>
      </c>
      <c r="W447" s="58">
        <f t="shared" si="14"/>
        <v>38.66666666666667</v>
      </c>
      <c r="X447" s="203">
        <f t="shared" si="15"/>
        <v>54841.06111888613</v>
      </c>
    </row>
    <row r="448" spans="22:24" ht="12.75">
      <c r="V448" s="98">
        <v>442</v>
      </c>
      <c r="W448" s="58">
        <f t="shared" si="14"/>
        <v>38.75000000000001</v>
      </c>
      <c r="X448" s="203">
        <f t="shared" si="15"/>
        <v>55211.96713390264</v>
      </c>
    </row>
    <row r="449" spans="22:24" ht="12.75">
      <c r="V449" s="98">
        <v>443</v>
      </c>
      <c r="W449" s="58">
        <f t="shared" si="14"/>
        <v>38.83333333333334</v>
      </c>
      <c r="X449" s="203">
        <f t="shared" si="15"/>
        <v>55584.4877322525</v>
      </c>
    </row>
    <row r="450" spans="22:24" ht="12.75">
      <c r="V450" s="98">
        <v>444</v>
      </c>
      <c r="W450" s="58">
        <f t="shared" si="14"/>
        <v>38.91666666666668</v>
      </c>
      <c r="X450" s="203">
        <f t="shared" si="15"/>
        <v>55958.6263861579</v>
      </c>
    </row>
    <row r="451" spans="22:24" ht="12.75">
      <c r="V451" s="98">
        <v>445</v>
      </c>
      <c r="W451" s="58">
        <f t="shared" si="14"/>
        <v>39.000000000000014</v>
      </c>
      <c r="X451" s="203">
        <f t="shared" si="15"/>
        <v>56334.386567841095</v>
      </c>
    </row>
    <row r="452" spans="22:24" ht="12.75">
      <c r="V452" s="98">
        <v>446</v>
      </c>
      <c r="W452" s="58">
        <f t="shared" si="14"/>
        <v>39.08333333333335</v>
      </c>
      <c r="X452" s="203">
        <f t="shared" si="15"/>
        <v>56711.771749524276</v>
      </c>
    </row>
    <row r="453" spans="22:24" ht="12.75">
      <c r="V453" s="98">
        <v>447</v>
      </c>
      <c r="W453" s="58">
        <f t="shared" si="14"/>
        <v>39.166666666666686</v>
      </c>
      <c r="X453" s="203">
        <f t="shared" si="15"/>
        <v>57090.78540342968</v>
      </c>
    </row>
    <row r="454" spans="22:24" ht="12.75">
      <c r="V454" s="98">
        <v>448</v>
      </c>
      <c r="W454" s="58">
        <f t="shared" si="14"/>
        <v>39.25000000000002</v>
      </c>
      <c r="X454" s="203">
        <f t="shared" si="15"/>
        <v>57471.431001779536</v>
      </c>
    </row>
    <row r="455" spans="22:24" ht="12.75">
      <c r="V455" s="98">
        <v>449</v>
      </c>
      <c r="W455" s="58">
        <f t="shared" si="14"/>
        <v>39.33333333333336</v>
      </c>
      <c r="X455" s="203">
        <f t="shared" si="15"/>
        <v>57853.71201679606</v>
      </c>
    </row>
    <row r="456" spans="22:24" ht="12.75">
      <c r="V456" s="98">
        <v>450</v>
      </c>
      <c r="W456" s="58">
        <f t="shared" si="14"/>
        <v>39.41666666666669</v>
      </c>
      <c r="X456" s="203">
        <f t="shared" si="15"/>
        <v>58237.63192070146</v>
      </c>
    </row>
    <row r="457" spans="22:24" ht="12.75">
      <c r="V457" s="98">
        <v>451</v>
      </c>
      <c r="W457" s="58">
        <f t="shared" si="14"/>
        <v>39.50000000000003</v>
      </c>
      <c r="X457" s="203">
        <f t="shared" si="15"/>
        <v>58623.194185717985</v>
      </c>
    </row>
    <row r="458" spans="22:24" ht="12.75">
      <c r="V458" s="98">
        <v>452</v>
      </c>
      <c r="W458" s="58">
        <f t="shared" si="14"/>
        <v>39.583333333333364</v>
      </c>
      <c r="X458" s="203">
        <f t="shared" si="15"/>
        <v>59010.40228406784</v>
      </c>
    </row>
    <row r="459" spans="22:24" ht="12.75">
      <c r="V459" s="98">
        <v>453</v>
      </c>
      <c r="W459" s="58">
        <f t="shared" si="14"/>
        <v>39.6666666666667</v>
      </c>
      <c r="X459" s="203">
        <f t="shared" si="15"/>
        <v>59399.25968797325</v>
      </c>
    </row>
    <row r="460" spans="22:24" ht="12.75">
      <c r="V460" s="98">
        <v>454</v>
      </c>
      <c r="W460" s="58">
        <f t="shared" si="14"/>
        <v>39.750000000000036</v>
      </c>
      <c r="X460" s="203">
        <f t="shared" si="15"/>
        <v>59789.76986965643</v>
      </c>
    </row>
    <row r="461" spans="22:24" ht="12.75">
      <c r="V461" s="98">
        <v>455</v>
      </c>
      <c r="W461" s="58">
        <f t="shared" si="14"/>
        <v>39.83333333333337</v>
      </c>
      <c r="X461" s="203">
        <f t="shared" si="15"/>
        <v>60181.93630133963</v>
      </c>
    </row>
    <row r="462" spans="22:24" ht="12.75">
      <c r="V462" s="98">
        <v>456</v>
      </c>
      <c r="W462" s="58">
        <f t="shared" si="14"/>
        <v>39.91666666666671</v>
      </c>
      <c r="X462" s="203">
        <f t="shared" si="15"/>
        <v>60575.762455245036</v>
      </c>
    </row>
    <row r="463" spans="22:24" ht="12.75">
      <c r="V463" s="98">
        <v>457</v>
      </c>
      <c r="W463" s="58">
        <f t="shared" si="14"/>
        <v>40.00000000000004</v>
      </c>
      <c r="X463" s="203">
        <f t="shared" si="15"/>
        <v>60971.25180359489</v>
      </c>
    </row>
    <row r="464" spans="22:24" ht="12.75">
      <c r="V464" s="138" t="s">
        <v>149</v>
      </c>
      <c r="X464" s="203"/>
    </row>
    <row r="465" spans="22:24" ht="12.75">
      <c r="V465" s="104" t="s">
        <v>23</v>
      </c>
      <c r="W465" s="100" t="str">
        <f>"Trial 'L'"</f>
        <v>Trial 'L'</v>
      </c>
      <c r="X465" s="101" t="s">
        <v>24</v>
      </c>
    </row>
    <row r="466" spans="22:24" ht="12.75">
      <c r="V466" s="133">
        <f>LOOKUP($W$466,$W$5:$W$463,$V$5:$V$463)</f>
        <v>122</v>
      </c>
      <c r="W466" s="102">
        <f>LOOKUP(0,$X$5:$X$463,$W$5:$W$463)</f>
        <v>12.083333333333352</v>
      </c>
      <c r="X466" s="199">
        <f>LOOKUP($V$466,$V$5:$V$463,$X$5:$X$508)</f>
        <v>-32.40211582451752</v>
      </c>
    </row>
    <row r="467" spans="22:26" ht="12.75">
      <c r="V467" s="133">
        <f>$V$466+1</f>
        <v>123</v>
      </c>
      <c r="W467" s="102">
        <f>LOOKUP($V$467,$V$5:$V$463,$W$5:$W$463)</f>
        <v>12.166666666666686</v>
      </c>
      <c r="X467" s="199">
        <f>LOOKUP($V$467,$V$5:$V$463,$X$5:$X$463)</f>
        <v>0.6740380808803366</v>
      </c>
      <c r="Y467" s="62"/>
      <c r="Z467" s="62"/>
    </row>
    <row r="468" spans="22:26" ht="12.75">
      <c r="V468" s="106" t="str">
        <f>"Interpolating between L("&amp;$V$466&amp;") and L("&amp;$V$467&amp;") to find where value = 0:"</f>
        <v>Interpolating between L(122) and L(123) to find where value = 0:</v>
      </c>
      <c r="Y468" s="98"/>
      <c r="Z468" s="62"/>
    </row>
    <row r="469" spans="22:26" ht="12.75">
      <c r="V469" s="69" t="s">
        <v>18</v>
      </c>
      <c r="W469" s="102">
        <f>($W$467-$W$466)*(0-$X$466)/($X$467-$X$466)+$W$466</f>
        <v>12.164968469221057</v>
      </c>
      <c r="X469" s="70" t="s">
        <v>3</v>
      </c>
      <c r="Y469" s="98"/>
      <c r="Z469" s="62"/>
    </row>
    <row r="470" ht="12.75">
      <c r="Z470" s="62"/>
    </row>
    <row r="471" spans="25:26" ht="12.75">
      <c r="Y471" s="62"/>
      <c r="Z471" s="62"/>
    </row>
    <row r="472" spans="22:24" ht="12.75">
      <c r="V472" s="98"/>
      <c r="W472" s="58"/>
      <c r="X472" s="203"/>
    </row>
    <row r="473" spans="22:24" ht="12.75">
      <c r="V473" s="98"/>
      <c r="W473" s="58"/>
      <c r="X473" s="203"/>
    </row>
    <row r="474" spans="22:24" ht="12.75">
      <c r="V474" s="98"/>
      <c r="W474" s="58"/>
      <c r="X474" s="203"/>
    </row>
    <row r="475" spans="22:24" ht="12.75">
      <c r="V475" s="98"/>
      <c r="W475" s="58"/>
      <c r="X475" s="203"/>
    </row>
    <row r="476" spans="22:24" ht="12.75">
      <c r="V476" s="98"/>
      <c r="W476" s="58"/>
      <c r="X476" s="203"/>
    </row>
    <row r="477" spans="22:24" ht="12.75">
      <c r="V477" s="98"/>
      <c r="W477" s="58"/>
      <c r="X477" s="203"/>
    </row>
    <row r="478" spans="22:24" ht="12.75">
      <c r="V478" s="98"/>
      <c r="W478" s="58"/>
      <c r="X478" s="203"/>
    </row>
    <row r="479" spans="22:24" ht="12.75">
      <c r="V479" s="98"/>
      <c r="W479" s="58"/>
      <c r="X479" s="203"/>
    </row>
    <row r="480" spans="22:24" ht="12.75">
      <c r="V480" s="98"/>
      <c r="W480" s="58"/>
      <c r="X480" s="203"/>
    </row>
    <row r="481" spans="22:24" ht="12.75">
      <c r="V481" s="98"/>
      <c r="W481" s="58"/>
      <c r="X481" s="203"/>
    </row>
    <row r="482" spans="22:24" ht="12.75">
      <c r="V482" s="98"/>
      <c r="W482" s="58"/>
      <c r="X482" s="203"/>
    </row>
    <row r="483" spans="22:24" ht="12.75">
      <c r="V483" s="98"/>
      <c r="W483" s="58"/>
      <c r="X483" s="203"/>
    </row>
    <row r="484" spans="22:24" ht="12.75">
      <c r="V484" s="98"/>
      <c r="W484" s="58"/>
      <c r="X484" s="203"/>
    </row>
    <row r="485" spans="22:24" ht="12.75">
      <c r="V485" s="98"/>
      <c r="W485" s="58"/>
      <c r="X485" s="203"/>
    </row>
    <row r="486" spans="22:24" ht="12.75">
      <c r="V486" s="98"/>
      <c r="W486" s="58"/>
      <c r="X486" s="203"/>
    </row>
    <row r="487" spans="22:24" ht="12.75">
      <c r="V487" s="98"/>
      <c r="W487" s="58"/>
      <c r="X487" s="203"/>
    </row>
    <row r="488" spans="22:24" ht="12.75">
      <c r="V488" s="98"/>
      <c r="W488" s="58"/>
      <c r="X488" s="203"/>
    </row>
    <row r="489" spans="22:24" ht="12.75">
      <c r="V489" s="98"/>
      <c r="W489" s="58"/>
      <c r="X489" s="203"/>
    </row>
    <row r="490" spans="22:24" ht="12.75">
      <c r="V490" s="98"/>
      <c r="W490" s="58"/>
      <c r="X490" s="203"/>
    </row>
    <row r="491" spans="22:24" ht="12.75">
      <c r="V491" s="98"/>
      <c r="W491" s="58"/>
      <c r="X491" s="203"/>
    </row>
    <row r="492" spans="22:24" ht="12.75">
      <c r="V492" s="98"/>
      <c r="W492" s="58"/>
      <c r="X492" s="203"/>
    </row>
    <row r="493" spans="22:24" ht="12.75">
      <c r="V493" s="98"/>
      <c r="W493" s="58"/>
      <c r="X493" s="203"/>
    </row>
    <row r="494" spans="22:24" ht="12.75">
      <c r="V494" s="98"/>
      <c r="W494" s="58"/>
      <c r="X494" s="203"/>
    </row>
    <row r="495" spans="22:24" ht="12.75">
      <c r="V495" s="98"/>
      <c r="W495" s="58"/>
      <c r="X495" s="203"/>
    </row>
    <row r="496" spans="22:24" ht="12.75">
      <c r="V496" s="98"/>
      <c r="W496" s="58"/>
      <c r="X496" s="203"/>
    </row>
    <row r="497" spans="22:24" ht="12.75">
      <c r="V497" s="98"/>
      <c r="W497" s="58"/>
      <c r="X497" s="203"/>
    </row>
    <row r="498" spans="22:24" ht="12.75">
      <c r="V498" s="98"/>
      <c r="W498" s="58"/>
      <c r="X498" s="203"/>
    </row>
    <row r="499" spans="22:24" ht="12.75">
      <c r="V499" s="98"/>
      <c r="W499" s="58"/>
      <c r="X499" s="203"/>
    </row>
    <row r="500" spans="22:24" ht="12.75">
      <c r="V500" s="98"/>
      <c r="W500" s="58"/>
      <c r="X500" s="203"/>
    </row>
    <row r="501" spans="22:24" ht="12.75">
      <c r="V501" s="98"/>
      <c r="W501" s="58"/>
      <c r="X501" s="203"/>
    </row>
    <row r="502" spans="22:24" ht="12.75">
      <c r="V502" s="98"/>
      <c r="W502" s="58"/>
      <c r="X502" s="203"/>
    </row>
    <row r="503" spans="22:24" ht="12.75">
      <c r="V503" s="98"/>
      <c r="W503" s="58"/>
      <c r="X503" s="203"/>
    </row>
    <row r="504" spans="22:24" ht="12.75">
      <c r="V504" s="98"/>
      <c r="W504" s="58"/>
      <c r="X504" s="203"/>
    </row>
    <row r="505" spans="22:24" ht="12.75">
      <c r="V505" s="98"/>
      <c r="W505" s="58"/>
      <c r="X505" s="203"/>
    </row>
    <row r="506" spans="22:24" ht="12.75">
      <c r="V506" s="98"/>
      <c r="W506" s="58"/>
      <c r="X506" s="203"/>
    </row>
    <row r="507" spans="22:24" ht="12.75">
      <c r="V507" s="98"/>
      <c r="W507" s="58"/>
      <c r="X507" s="203"/>
    </row>
    <row r="508" spans="22:24" ht="12.75">
      <c r="V508" s="98"/>
      <c r="W508" s="58"/>
      <c r="X508" s="203"/>
    </row>
  </sheetData>
  <sheetProtection sheet="1" objects="1" scenarios="1"/>
  <dataValidations count="1">
    <dataValidation allowBlank="1" showInputMessage="1" showErrorMessage="1" prompt="N = the number of blows per foot of a 140-pound hammer falling 30 inches onto a 2&quot; O.D. split spoon sampler.  This is known as the &quot;Standard Penetration Test&quot;." sqref="D15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2.4</oddHeader>
    <oddFooter>&amp;C&amp;P of &amp;N&amp;R&amp;D  &amp;T</oddFooter>
  </headerFooter>
  <rowBreaks count="4" manualBreakCount="4">
    <brk id="52" max="8" man="1"/>
    <brk id="104" max="8" man="1"/>
    <brk id="154" max="8" man="1"/>
    <brk id="204" max="8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6" hidden="1" customWidth="1"/>
    <col min="23" max="23" width="9.7109375" style="96" hidden="1" customWidth="1"/>
    <col min="24" max="24" width="11.7109375" style="96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97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51"/>
      <c r="Z1" s="98"/>
      <c r="AA1" s="190" t="s">
        <v>338</v>
      </c>
      <c r="AB1" s="98"/>
      <c r="AC1" s="98"/>
      <c r="AD1" s="62"/>
      <c r="AE1" s="123"/>
      <c r="AF1" s="123"/>
    </row>
    <row r="2" spans="1:32" ht="12.75">
      <c r="A2" s="77" t="s">
        <v>186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5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L3" s="46"/>
      <c r="M3" s="138" t="s">
        <v>154</v>
      </c>
      <c r="Q3" s="98"/>
      <c r="R3" s="98"/>
      <c r="V3" s="70"/>
      <c r="W3" s="101"/>
      <c r="X3" s="101"/>
      <c r="Z3" s="141"/>
      <c r="AB3" s="140"/>
      <c r="AC3" s="140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133</v>
      </c>
      <c r="G4" s="156"/>
      <c r="H4" s="157"/>
      <c r="I4" s="158"/>
      <c r="J4" s="50"/>
      <c r="K4" s="102"/>
      <c r="L4" s="70"/>
      <c r="M4" s="220" t="s">
        <v>167</v>
      </c>
      <c r="N4" s="203">
        <f>$D$14/4</f>
        <v>2</v>
      </c>
      <c r="O4" s="207" t="s">
        <v>13</v>
      </c>
      <c r="P4" s="207" t="s">
        <v>170</v>
      </c>
      <c r="V4" s="69"/>
      <c r="W4" s="101"/>
      <c r="X4" s="101"/>
      <c r="Y4" s="69"/>
      <c r="Z4" s="69"/>
      <c r="AB4" s="46"/>
      <c r="AC4" s="46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132</v>
      </c>
      <c r="G5" s="191"/>
      <c r="H5" s="155" t="s">
        <v>131</v>
      </c>
      <c r="I5" s="191"/>
      <c r="J5" s="50"/>
      <c r="K5" s="102"/>
      <c r="L5" s="70"/>
      <c r="M5" s="220" t="s">
        <v>176</v>
      </c>
      <c r="N5" s="203">
        <f>$N$4/2</f>
        <v>1</v>
      </c>
      <c r="O5" s="207" t="s">
        <v>13</v>
      </c>
      <c r="P5" s="207" t="s">
        <v>177</v>
      </c>
      <c r="V5" s="98"/>
      <c r="W5" s="130"/>
      <c r="X5" s="203"/>
      <c r="Y5" s="147"/>
      <c r="Z5" s="117"/>
      <c r="AB5" s="146"/>
      <c r="AC5" s="46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220" t="s">
        <v>168</v>
      </c>
      <c r="N6" s="203">
        <f>IF($D$20=0,0.001*$D$23/(9*$N$5*$D$10),$D$20*$D$23/(9*$N$5*$D$10))</f>
        <v>0.900711111111111</v>
      </c>
      <c r="O6" s="207" t="s">
        <v>3</v>
      </c>
      <c r="P6" s="207" t="s">
        <v>339</v>
      </c>
      <c r="V6" s="98"/>
      <c r="W6" s="130"/>
      <c r="X6" s="203"/>
      <c r="Y6" s="147"/>
      <c r="Z6" s="117"/>
      <c r="AB6" s="124"/>
      <c r="AC6" s="46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148" t="s">
        <v>59</v>
      </c>
      <c r="N7" s="73"/>
      <c r="O7" s="70"/>
      <c r="P7" s="70"/>
      <c r="U7" s="102"/>
      <c r="V7" s="98"/>
      <c r="W7" s="130"/>
      <c r="X7" s="203"/>
      <c r="Y7" s="147"/>
      <c r="Z7" s="117"/>
      <c r="AB7" s="124"/>
      <c r="AC7" s="46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"/>
      <c r="G8" s="2"/>
      <c r="H8" s="2"/>
      <c r="I8" s="227"/>
      <c r="J8" s="46"/>
      <c r="K8" s="108"/>
      <c r="L8" s="70"/>
      <c r="M8" s="104" t="s">
        <v>19</v>
      </c>
      <c r="N8" s="105">
        <f>IF($D$20=0,0.001,$D$20*$D$23)</f>
        <v>20.266</v>
      </c>
      <c r="O8" s="106" t="s">
        <v>7</v>
      </c>
      <c r="P8" s="96" t="s">
        <v>152</v>
      </c>
      <c r="V8" s="98"/>
      <c r="W8" s="130"/>
      <c r="X8" s="203"/>
      <c r="Y8" s="147"/>
      <c r="Z8" s="117"/>
      <c r="AB8" s="125"/>
      <c r="AC8" s="46"/>
      <c r="AD8" s="46"/>
      <c r="AE8" s="46"/>
      <c r="AF8" s="46"/>
    </row>
    <row r="9" spans="1:32" ht="12.75">
      <c r="A9" s="151" t="s">
        <v>109</v>
      </c>
      <c r="B9" s="50"/>
      <c r="C9" s="50"/>
      <c r="D9" s="50"/>
      <c r="E9" s="50"/>
      <c r="F9" s="288"/>
      <c r="G9" s="81" t="str">
        <f>"Pv="&amp;$D$19&amp;" k"</f>
        <v>Pv=3 k</v>
      </c>
      <c r="H9" s="6"/>
      <c r="I9" s="14"/>
      <c r="J9" s="46"/>
      <c r="K9" s="108"/>
      <c r="L9" s="51"/>
      <c r="M9" s="104" t="s">
        <v>12</v>
      </c>
      <c r="N9" s="105">
        <f>($D$22+$D$20*($D$21+$D$11+$D$15))*$D$23</f>
        <v>580.11425</v>
      </c>
      <c r="O9" s="106" t="s">
        <v>9</v>
      </c>
      <c r="P9" s="106" t="s">
        <v>153</v>
      </c>
      <c r="V9" s="98"/>
      <c r="W9" s="130"/>
      <c r="X9" s="203"/>
      <c r="Y9" s="147"/>
      <c r="Z9" s="117"/>
      <c r="AB9" s="125"/>
      <c r="AC9" s="46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285"/>
      <c r="G10" s="6"/>
      <c r="H10" s="6"/>
      <c r="I10" s="14"/>
      <c r="J10" s="36"/>
      <c r="L10" s="70"/>
      <c r="M10" s="220" t="s">
        <v>171</v>
      </c>
      <c r="N10" s="235">
        <f>$N$9/$N$8</f>
        <v>28.625</v>
      </c>
      <c r="O10" s="207" t="s">
        <v>3</v>
      </c>
      <c r="P10" s="207" t="s">
        <v>172</v>
      </c>
      <c r="V10" s="98"/>
      <c r="W10" s="130"/>
      <c r="X10" s="203"/>
      <c r="Y10" s="147"/>
      <c r="Z10" s="117"/>
      <c r="AB10" s="125"/>
      <c r="AC10" s="126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"M="&amp;$D$22&amp;" ft-k"</f>
        <v>M=0 ft-k</v>
      </c>
      <c r="I11" s="14"/>
      <c r="L11" s="51"/>
      <c r="M11" s="220" t="s">
        <v>169</v>
      </c>
      <c r="N11" s="203">
        <f>ROUND(1.5*$D$10+$N$6*(1+SQRT(2+(4*$N$10+6*$D$10)/$N$6)),3)</f>
        <v>15.526</v>
      </c>
      <c r="O11" s="221" t="s">
        <v>3</v>
      </c>
      <c r="P11" s="207" t="s">
        <v>261</v>
      </c>
      <c r="Q11" s="207"/>
      <c r="T11" s="102"/>
      <c r="V11" s="98"/>
      <c r="W11" s="130"/>
      <c r="X11" s="203"/>
      <c r="Y11" s="147"/>
      <c r="Z11" s="117"/>
      <c r="AB11" s="125"/>
      <c r="AC11" s="126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"Ph="&amp;$D$20&amp;" k"</f>
        <v>Ph=10.133 k</v>
      </c>
      <c r="G12" s="6"/>
      <c r="H12" s="6"/>
      <c r="I12" s="14"/>
      <c r="K12" s="103"/>
      <c r="L12" s="70"/>
      <c r="M12" s="104" t="s">
        <v>31</v>
      </c>
      <c r="N12" s="108">
        <f>$D$11+$D$15+$N$11</f>
        <v>15.526</v>
      </c>
      <c r="O12" s="106" t="s">
        <v>3</v>
      </c>
      <c r="P12" s="51" t="s">
        <v>84</v>
      </c>
      <c r="T12" s="98"/>
      <c r="V12" s="98"/>
      <c r="W12" s="130"/>
      <c r="X12" s="203"/>
      <c r="Y12" s="147"/>
      <c r="Z12" s="117"/>
      <c r="AB12" s="125"/>
      <c r="AC12" s="126"/>
      <c r="AD12" s="46"/>
      <c r="AE12" s="46"/>
      <c r="AF12" s="46"/>
    </row>
    <row r="13" spans="1:32" ht="12.75">
      <c r="A13" s="151" t="s">
        <v>110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38" t="s">
        <v>62</v>
      </c>
      <c r="N13" s="108"/>
      <c r="O13" s="106"/>
      <c r="P13" s="106"/>
      <c r="V13" s="98"/>
      <c r="W13" s="130"/>
      <c r="X13" s="203"/>
      <c r="Y13" s="147"/>
      <c r="Z13" s="117"/>
      <c r="AB13" s="125"/>
      <c r="AC13" s="126"/>
      <c r="AD13" s="46"/>
      <c r="AE13" s="46"/>
      <c r="AF13" s="46"/>
    </row>
    <row r="14" spans="1:32" ht="12.75">
      <c r="A14" s="7"/>
      <c r="B14" s="12"/>
      <c r="C14" s="208" t="s">
        <v>150</v>
      </c>
      <c r="D14" s="223">
        <v>8</v>
      </c>
      <c r="E14" s="10"/>
      <c r="F14" s="6"/>
      <c r="G14" s="6"/>
      <c r="H14" s="6"/>
      <c r="I14" s="14"/>
      <c r="K14" s="103"/>
      <c r="L14" s="70"/>
      <c r="M14" s="104" t="s">
        <v>14</v>
      </c>
      <c r="N14" s="105">
        <f>PI()*$D$10^2/4</f>
        <v>4.908738521234052</v>
      </c>
      <c r="O14" s="106" t="s">
        <v>15</v>
      </c>
      <c r="P14" s="96" t="s">
        <v>51</v>
      </c>
      <c r="T14" s="102"/>
      <c r="V14" s="98"/>
      <c r="W14" s="130"/>
      <c r="X14" s="203"/>
      <c r="Y14" s="147"/>
      <c r="Z14" s="117"/>
      <c r="AB14" s="125"/>
      <c r="AC14" s="127"/>
      <c r="AD14" s="46"/>
      <c r="AE14" s="46"/>
      <c r="AF14" s="46"/>
    </row>
    <row r="15" spans="1:32" ht="12.75">
      <c r="A15" s="63"/>
      <c r="B15" s="10"/>
      <c r="C15" s="12" t="s">
        <v>127</v>
      </c>
      <c r="D15" s="165">
        <v>0</v>
      </c>
      <c r="E15" s="64" t="s">
        <v>3</v>
      </c>
      <c r="F15" s="82" t="str">
        <f>"           H="&amp;$D$21&amp;"'"</f>
        <v>           H=28.625'</v>
      </c>
      <c r="G15" s="82"/>
      <c r="H15" s="6"/>
      <c r="I15" s="252" t="s">
        <v>252</v>
      </c>
      <c r="K15" s="109"/>
      <c r="L15" s="69"/>
      <c r="M15" s="69" t="s">
        <v>57</v>
      </c>
      <c r="N15" s="73">
        <f>$N$14*$N$12*0.15</f>
        <v>11.431961142101983</v>
      </c>
      <c r="O15" s="70" t="s">
        <v>7</v>
      </c>
      <c r="P15" s="70" t="s">
        <v>81</v>
      </c>
      <c r="Q15" s="98"/>
      <c r="V15" s="98"/>
      <c r="W15" s="130"/>
      <c r="X15" s="203"/>
      <c r="Y15" s="147"/>
      <c r="Z15" s="117"/>
      <c r="AB15" s="46"/>
      <c r="AC15" s="110"/>
      <c r="AD15" s="46"/>
      <c r="AE15" s="46"/>
      <c r="AF15" s="46"/>
    </row>
    <row r="16" spans="1:32" ht="12.75">
      <c r="A16" s="9"/>
      <c r="B16" s="12"/>
      <c r="C16" s="48" t="s">
        <v>128</v>
      </c>
      <c r="D16" s="166">
        <v>4</v>
      </c>
      <c r="E16" s="67" t="s">
        <v>13</v>
      </c>
      <c r="F16" s="6"/>
      <c r="G16" s="6"/>
      <c r="H16" s="6"/>
      <c r="I16" s="252" t="s">
        <v>253</v>
      </c>
      <c r="K16" s="103"/>
      <c r="M16" s="128" t="s">
        <v>65</v>
      </c>
      <c r="N16" s="38">
        <f>$D$19+$N$15</f>
        <v>14.431961142101983</v>
      </c>
      <c r="O16" s="51" t="s">
        <v>7</v>
      </c>
      <c r="P16" s="135" t="s">
        <v>162</v>
      </c>
      <c r="V16" s="98"/>
      <c r="W16" s="130"/>
      <c r="X16" s="203"/>
      <c r="Y16" s="147"/>
      <c r="Z16" s="117"/>
      <c r="AB16" s="125"/>
      <c r="AC16" s="128"/>
      <c r="AD16" s="61"/>
      <c r="AE16" s="46"/>
      <c r="AF16" s="46"/>
    </row>
    <row r="17" spans="1:32" ht="12.75">
      <c r="A17" s="63"/>
      <c r="B17" s="10"/>
      <c r="C17" s="10"/>
      <c r="D17" s="10"/>
      <c r="E17" s="10"/>
      <c r="F17" s="6"/>
      <c r="G17" s="6"/>
      <c r="H17" s="82" t="str">
        <f>"    h1="&amp;$D$11&amp;"'"</f>
        <v>    h1=0'</v>
      </c>
      <c r="I17" s="14"/>
      <c r="K17" s="103"/>
      <c r="M17" s="104" t="s">
        <v>50</v>
      </c>
      <c r="N17" s="108">
        <f>$N$16/$N$14</f>
        <v>2.940054981472878</v>
      </c>
      <c r="O17" s="106" t="s">
        <v>13</v>
      </c>
      <c r="P17" s="106" t="s">
        <v>66</v>
      </c>
      <c r="V17" s="98"/>
      <c r="W17" s="130"/>
      <c r="X17" s="203"/>
      <c r="Y17" s="147"/>
      <c r="Z17" s="117"/>
      <c r="AB17" s="125"/>
      <c r="AC17" s="46"/>
      <c r="AD17" s="61"/>
      <c r="AE17" s="46"/>
      <c r="AF17" s="46"/>
    </row>
    <row r="18" spans="1:32" ht="12.75">
      <c r="A18" s="152" t="s">
        <v>111</v>
      </c>
      <c r="B18" s="12"/>
      <c r="C18" s="12"/>
      <c r="D18" s="41"/>
      <c r="E18" s="66"/>
      <c r="F18" s="6"/>
      <c r="G18" s="6"/>
      <c r="H18" s="6"/>
      <c r="I18" s="85" t="str">
        <f>"  h2="&amp;$D$15&amp;"'"</f>
        <v>  h2=0'</v>
      </c>
      <c r="K18" s="100"/>
      <c r="L18" s="69"/>
      <c r="M18" s="148" t="s">
        <v>286</v>
      </c>
      <c r="V18" s="98"/>
      <c r="W18" s="130"/>
      <c r="X18" s="203"/>
      <c r="Y18" s="147"/>
      <c r="Z18" s="117"/>
      <c r="AB18" s="125"/>
      <c r="AC18" s="51"/>
      <c r="AD18" s="61"/>
      <c r="AE18" s="46"/>
      <c r="AF18" s="46"/>
    </row>
    <row r="19" spans="1:32" ht="12.75">
      <c r="A19" s="7"/>
      <c r="B19" s="12"/>
      <c r="C19" s="12" t="s">
        <v>5</v>
      </c>
      <c r="D19" s="164">
        <v>3</v>
      </c>
      <c r="E19" s="66" t="s">
        <v>7</v>
      </c>
      <c r="F19" s="6"/>
      <c r="G19" s="6"/>
      <c r="H19" s="6"/>
      <c r="I19" s="14"/>
      <c r="K19" s="100"/>
      <c r="L19" s="69"/>
      <c r="M19" s="71" t="s">
        <v>33</v>
      </c>
      <c r="N19" s="105">
        <f>$N$8*($N$10+1.5*$D$10+0.5*$N$6)</f>
        <v>665.2386556888888</v>
      </c>
      <c r="O19" s="51" t="s">
        <v>9</v>
      </c>
      <c r="P19" s="96" t="s">
        <v>290</v>
      </c>
      <c r="V19" s="98"/>
      <c r="W19" s="130"/>
      <c r="X19" s="203"/>
      <c r="Y19" s="147"/>
      <c r="Z19" s="117"/>
      <c r="AB19" s="60"/>
      <c r="AC19" s="129"/>
      <c r="AD19" s="60"/>
      <c r="AE19" s="46"/>
      <c r="AF19" s="46"/>
    </row>
    <row r="20" spans="1:32" ht="12.75">
      <c r="A20" s="7"/>
      <c r="B20" s="12"/>
      <c r="C20" s="12" t="s">
        <v>6</v>
      </c>
      <c r="D20" s="165">
        <v>10.133</v>
      </c>
      <c r="E20" s="66" t="s">
        <v>7</v>
      </c>
      <c r="F20" s="6"/>
      <c r="G20" s="6"/>
      <c r="H20" s="6"/>
      <c r="I20" s="14"/>
      <c r="K20" s="100"/>
      <c r="L20" s="69"/>
      <c r="M20" s="71" t="s">
        <v>285</v>
      </c>
      <c r="N20" s="105">
        <f>1.5*$D$10+$N$6</f>
        <v>4.650711111111111</v>
      </c>
      <c r="O20" s="51" t="s">
        <v>3</v>
      </c>
      <c r="P20" s="96" t="s">
        <v>291</v>
      </c>
      <c r="Q20" s="98"/>
      <c r="V20" s="98"/>
      <c r="W20" s="130"/>
      <c r="X20" s="203"/>
      <c r="Y20" s="147"/>
      <c r="Z20" s="117"/>
      <c r="AB20" s="60"/>
      <c r="AC20" s="130"/>
      <c r="AD20" s="60"/>
      <c r="AE20" s="46"/>
      <c r="AF20" s="46"/>
    </row>
    <row r="21" spans="1:32" ht="12.75">
      <c r="A21" s="7"/>
      <c r="B21" s="12"/>
      <c r="C21" s="12" t="s">
        <v>8</v>
      </c>
      <c r="D21" s="165">
        <v>28.625</v>
      </c>
      <c r="E21" s="66" t="s">
        <v>3</v>
      </c>
      <c r="F21" s="65" t="s">
        <v>91</v>
      </c>
      <c r="G21" s="6"/>
      <c r="H21" s="6"/>
      <c r="I21" s="14"/>
      <c r="K21" s="100"/>
      <c r="L21" s="69"/>
      <c r="M21" s="51"/>
      <c r="N21" s="50"/>
      <c r="O21" s="50"/>
      <c r="P21" s="108"/>
      <c r="V21" s="98"/>
      <c r="W21" s="130"/>
      <c r="X21" s="203"/>
      <c r="Y21" s="147"/>
      <c r="Z21" s="117"/>
      <c r="AB21" s="60"/>
      <c r="AC21" s="71"/>
      <c r="AD21" s="60"/>
      <c r="AE21" s="46"/>
      <c r="AF21" s="46"/>
    </row>
    <row r="22" spans="1:32" ht="12.75">
      <c r="A22" s="7"/>
      <c r="B22" s="6"/>
      <c r="C22" s="48" t="s">
        <v>10</v>
      </c>
      <c r="D22" s="165">
        <v>0</v>
      </c>
      <c r="E22" s="67" t="s">
        <v>9</v>
      </c>
      <c r="F22" s="142" t="s">
        <v>92</v>
      </c>
      <c r="G22" s="18"/>
      <c r="H22" s="82" t="str">
        <f>"  L="&amp;ROUND($N$11,2)&amp;"'"</f>
        <v>  L=15.53'</v>
      </c>
      <c r="I22" s="14"/>
      <c r="K22" s="103"/>
      <c r="L22" s="69"/>
      <c r="M22" s="71"/>
      <c r="N22" s="105"/>
      <c r="O22" s="51"/>
      <c r="P22" s="283"/>
      <c r="V22" s="98"/>
      <c r="W22" s="130"/>
      <c r="X22" s="203"/>
      <c r="Y22" s="147"/>
      <c r="Z22" s="117"/>
      <c r="AB22" s="46"/>
      <c r="AC22" s="46"/>
      <c r="AD22" s="46"/>
      <c r="AE22" s="46"/>
      <c r="AF22" s="46"/>
    </row>
    <row r="23" spans="1:32" ht="12.75">
      <c r="A23" s="63"/>
      <c r="B23" s="10"/>
      <c r="C23" s="208" t="s">
        <v>151</v>
      </c>
      <c r="D23" s="166">
        <v>2</v>
      </c>
      <c r="E23" s="10"/>
      <c r="F23" s="6"/>
      <c r="G23" s="6"/>
      <c r="H23" s="6"/>
      <c r="I23" s="14"/>
      <c r="K23" s="100"/>
      <c r="L23" s="69"/>
      <c r="M23" s="69"/>
      <c r="N23" s="102"/>
      <c r="O23" s="106"/>
      <c r="V23" s="98"/>
      <c r="W23" s="130"/>
      <c r="X23" s="203"/>
      <c r="Y23" s="147"/>
      <c r="Z23" s="117"/>
      <c r="AB23" s="60"/>
      <c r="AC23" s="110"/>
      <c r="AD23" s="46"/>
      <c r="AE23" s="46"/>
      <c r="AF23" s="46"/>
    </row>
    <row r="24" spans="1:32" ht="12.75">
      <c r="A24" s="63"/>
      <c r="B24" s="10"/>
      <c r="C24" s="10"/>
      <c r="D24" s="10"/>
      <c r="E24" s="10"/>
      <c r="F24" s="143" t="s">
        <v>93</v>
      </c>
      <c r="G24" s="6"/>
      <c r="H24" s="6"/>
      <c r="I24" s="14"/>
      <c r="J24" s="46"/>
      <c r="K24" s="100"/>
      <c r="L24" s="69"/>
      <c r="M24" s="50"/>
      <c r="V24" s="98"/>
      <c r="W24" s="130"/>
      <c r="X24" s="203"/>
      <c r="Y24" s="147"/>
      <c r="Z24" s="117"/>
      <c r="AB24" s="62"/>
      <c r="AC24" s="62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207"/>
      <c r="N25" s="73"/>
      <c r="O25" s="70"/>
      <c r="P25" s="70"/>
      <c r="V25" s="98"/>
      <c r="W25" s="130"/>
      <c r="X25" s="203"/>
      <c r="Y25" s="147"/>
      <c r="Z25" s="117"/>
      <c r="AB25" s="62"/>
      <c r="AC25" s="62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/>
      <c r="W26" s="130"/>
      <c r="X26" s="203"/>
      <c r="Y26" s="147"/>
      <c r="Z26" s="117"/>
      <c r="AB26" s="62"/>
      <c r="AC26" s="62"/>
      <c r="AD26" s="62"/>
      <c r="AE26" s="123"/>
      <c r="AF26" s="123"/>
    </row>
    <row r="27" spans="1:32" ht="12.75">
      <c r="A27" s="63"/>
      <c r="B27" s="10"/>
      <c r="C27" s="10"/>
      <c r="D27" s="10"/>
      <c r="E27" s="10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/>
      <c r="W27" s="130"/>
      <c r="X27" s="203"/>
      <c r="Y27" s="147"/>
      <c r="Z27" s="117"/>
      <c r="AB27" s="62"/>
      <c r="AC27" s="62"/>
      <c r="AD27" s="62"/>
      <c r="AE27" s="123"/>
      <c r="AF27" s="123"/>
    </row>
    <row r="28" spans="1:32" ht="12.75">
      <c r="A28" s="63"/>
      <c r="B28" s="28"/>
      <c r="C28" s="209"/>
      <c r="D28" s="28"/>
      <c r="E28" s="6"/>
      <c r="F28" s="86" t="s">
        <v>279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/>
      <c r="W28" s="130"/>
      <c r="X28" s="203"/>
      <c r="Y28" s="147"/>
      <c r="Z28" s="117"/>
      <c r="AB28" s="62"/>
      <c r="AC28" s="62"/>
      <c r="AD28" s="62"/>
      <c r="AE28" s="123"/>
      <c r="AF28" s="123"/>
    </row>
    <row r="29" spans="1:32" ht="12.75">
      <c r="A29" s="31" t="s">
        <v>179</v>
      </c>
      <c r="B29" s="10"/>
      <c r="C29" s="10"/>
      <c r="D29" s="10"/>
      <c r="E29" s="10"/>
      <c r="F29" s="10"/>
      <c r="G29" s="10"/>
      <c r="H29" s="10"/>
      <c r="I29" s="11"/>
      <c r="J29" s="46"/>
      <c r="K29" s="100"/>
      <c r="L29" s="71"/>
      <c r="M29" s="50"/>
      <c r="V29" s="98"/>
      <c r="W29" s="130"/>
      <c r="X29" s="203"/>
      <c r="Y29" s="147"/>
      <c r="Z29" s="117"/>
      <c r="AB29" s="62"/>
      <c r="AC29" s="62"/>
      <c r="AD29" s="62"/>
      <c r="AE29" s="123"/>
      <c r="AF29" s="123"/>
    </row>
    <row r="30" spans="1:32" ht="13.5" customHeight="1">
      <c r="A30" s="63"/>
      <c r="B30" s="10"/>
      <c r="C30" s="10"/>
      <c r="D30" s="10"/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/>
      <c r="W30" s="130"/>
      <c r="X30" s="203"/>
      <c r="Y30" s="147"/>
      <c r="Z30" s="117"/>
      <c r="AB30" s="62"/>
      <c r="AC30" s="62"/>
      <c r="AD30" s="62"/>
      <c r="AE30" s="123"/>
      <c r="AF30" s="123"/>
    </row>
    <row r="31" spans="1:32" ht="13.5" customHeight="1">
      <c r="A31" s="153" t="s">
        <v>174</v>
      </c>
      <c r="B31" s="10"/>
      <c r="C31" s="10"/>
      <c r="D31" s="10"/>
      <c r="E31" s="10"/>
      <c r="F31" s="10"/>
      <c r="G31" s="10"/>
      <c r="H31" s="10"/>
      <c r="I31" s="11"/>
      <c r="J31" s="46"/>
      <c r="K31" s="100"/>
      <c r="L31" s="69"/>
      <c r="M31" s="50"/>
      <c r="T31" s="100"/>
      <c r="V31" s="98"/>
      <c r="W31" s="130"/>
      <c r="X31" s="203"/>
      <c r="Y31" s="147"/>
      <c r="Z31" s="117"/>
      <c r="AB31" s="62"/>
      <c r="AC31" s="62"/>
      <c r="AD31" s="62"/>
      <c r="AE31" s="123"/>
      <c r="AF31" s="123"/>
    </row>
    <row r="32" spans="1:32" ht="12.75">
      <c r="A32" s="222" t="s">
        <v>167</v>
      </c>
      <c r="B32" s="196">
        <f>$N$4</f>
        <v>2</v>
      </c>
      <c r="C32" s="286" t="s">
        <v>13</v>
      </c>
      <c r="D32" s="198" t="str">
        <f>$P$4</f>
        <v>qu = N/4  (unconfined compressive strength of soil)</v>
      </c>
      <c r="E32" s="6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/>
      <c r="W32" s="130"/>
      <c r="X32" s="203"/>
      <c r="Y32" s="147"/>
      <c r="Z32" s="117"/>
      <c r="AB32" s="62"/>
      <c r="AC32" s="62"/>
      <c r="AD32" s="62"/>
      <c r="AE32" s="123"/>
      <c r="AF32" s="123"/>
    </row>
    <row r="33" spans="1:32" ht="12.75">
      <c r="A33" s="222" t="s">
        <v>176</v>
      </c>
      <c r="B33" s="197">
        <f>$N$5</f>
        <v>1</v>
      </c>
      <c r="C33" s="286" t="s">
        <v>13</v>
      </c>
      <c r="D33" s="198" t="str">
        <f>$P$5</f>
        <v>c = qu/2  (shear strength of soil)</v>
      </c>
      <c r="E33" s="6"/>
      <c r="F33" s="28"/>
      <c r="G33" s="28"/>
      <c r="H33" s="28"/>
      <c r="I33" s="90"/>
      <c r="J33" s="46"/>
      <c r="K33" s="100"/>
      <c r="L33" s="69"/>
      <c r="U33" s="98"/>
      <c r="V33" s="98"/>
      <c r="W33" s="130"/>
      <c r="X33" s="203"/>
      <c r="Y33" s="147"/>
      <c r="Z33" s="117"/>
      <c r="AB33" s="62"/>
      <c r="AC33" s="62"/>
      <c r="AD33" s="62"/>
      <c r="AE33" s="123"/>
      <c r="AF33" s="123"/>
    </row>
    <row r="34" spans="1:32" ht="12.75">
      <c r="A34" s="222" t="s">
        <v>168</v>
      </c>
      <c r="B34" s="299">
        <f>$N$6</f>
        <v>0.900711111111111</v>
      </c>
      <c r="C34" s="286" t="s">
        <v>3</v>
      </c>
      <c r="D34" s="198" t="str">
        <f>$P$6</f>
        <v>q =Ph*OLF/(9*c*D)  (where: 9 = bearing capacity factor, Nc)</v>
      </c>
      <c r="E34" s="6"/>
      <c r="F34" s="10"/>
      <c r="G34" s="28"/>
      <c r="H34" s="28"/>
      <c r="I34" s="90"/>
      <c r="J34" s="46"/>
      <c r="K34" s="100"/>
      <c r="M34" s="104"/>
      <c r="N34" s="105"/>
      <c r="O34" s="106"/>
      <c r="P34" s="51"/>
      <c r="V34" s="98"/>
      <c r="W34" s="130"/>
      <c r="X34" s="203"/>
      <c r="Y34" s="147"/>
      <c r="Z34" s="117"/>
      <c r="AB34" s="62"/>
      <c r="AC34" s="62"/>
      <c r="AD34" s="62"/>
      <c r="AE34" s="123"/>
      <c r="AF34" s="123"/>
    </row>
    <row r="35" spans="1:32" ht="12.75">
      <c r="A35" s="63"/>
      <c r="B35" s="17"/>
      <c r="C35" s="18"/>
      <c r="D35" s="18"/>
      <c r="E35" s="28"/>
      <c r="F35" s="28"/>
      <c r="G35" s="19"/>
      <c r="H35" s="19"/>
      <c r="I35" s="14"/>
      <c r="J35" s="46"/>
      <c r="K35" s="100"/>
      <c r="M35" s="104"/>
      <c r="N35" s="105"/>
      <c r="O35" s="106"/>
      <c r="P35" s="51"/>
      <c r="V35" s="98"/>
      <c r="W35" s="130"/>
      <c r="X35" s="203"/>
      <c r="Y35" s="147"/>
      <c r="Z35" s="117"/>
      <c r="AB35" s="62"/>
      <c r="AC35" s="62"/>
      <c r="AD35" s="62"/>
      <c r="AE35" s="123"/>
      <c r="AF35" s="123"/>
    </row>
    <row r="36" spans="1:32" ht="12.75" customHeight="1">
      <c r="A36" s="153" t="s">
        <v>114</v>
      </c>
      <c r="B36" s="38"/>
      <c r="C36" s="26"/>
      <c r="D36" s="28"/>
      <c r="E36" s="6"/>
      <c r="F36" s="19"/>
      <c r="G36" s="19"/>
      <c r="H36" s="19"/>
      <c r="I36" s="14"/>
      <c r="J36" s="46"/>
      <c r="K36" s="100"/>
      <c r="L36" s="69"/>
      <c r="V36" s="98"/>
      <c r="W36" s="130"/>
      <c r="X36" s="203"/>
      <c r="Y36" s="147"/>
      <c r="Z36" s="117"/>
      <c r="AB36" s="62"/>
      <c r="AC36" s="62"/>
      <c r="AD36" s="62"/>
      <c r="AE36" s="123"/>
      <c r="AF36" s="123"/>
    </row>
    <row r="37" spans="1:32" ht="12.75" customHeight="1">
      <c r="A37" s="21" t="s">
        <v>19</v>
      </c>
      <c r="B37" s="172">
        <f>$N$8</f>
        <v>20.266</v>
      </c>
      <c r="C37" s="66" t="s">
        <v>7</v>
      </c>
      <c r="D37" s="6" t="str">
        <f>$P$8</f>
        <v>Ho = Ph*OLF</v>
      </c>
      <c r="E37" s="6"/>
      <c r="F37" s="19"/>
      <c r="G37" s="20"/>
      <c r="H37" s="30"/>
      <c r="I37" s="14"/>
      <c r="J37" s="46"/>
      <c r="K37" s="100"/>
      <c r="L37" s="69"/>
      <c r="M37" s="104"/>
      <c r="N37" s="105"/>
      <c r="O37" s="106"/>
      <c r="P37" s="51"/>
      <c r="V37" s="98"/>
      <c r="W37" s="130"/>
      <c r="X37" s="203"/>
      <c r="Y37" s="147"/>
      <c r="Z37" s="117"/>
      <c r="AB37" s="62"/>
      <c r="AC37" s="62"/>
      <c r="AD37" s="62"/>
      <c r="AE37" s="123"/>
      <c r="AF37" s="123"/>
    </row>
    <row r="38" spans="1:32" ht="12.75" customHeight="1">
      <c r="A38" s="21" t="s">
        <v>12</v>
      </c>
      <c r="B38" s="170">
        <f>$N$9</f>
        <v>580.11425</v>
      </c>
      <c r="C38" s="66" t="s">
        <v>9</v>
      </c>
      <c r="D38" s="6" t="str">
        <f>$P$9</f>
        <v>Mo = (M+Ph*(H+h1+h2))*OLF</v>
      </c>
      <c r="E38" s="6"/>
      <c r="F38" s="19"/>
      <c r="G38" s="28"/>
      <c r="H38" s="28"/>
      <c r="I38" s="90"/>
      <c r="K38" s="100"/>
      <c r="L38" s="98"/>
      <c r="M38" s="104"/>
      <c r="N38" s="105"/>
      <c r="O38" s="106"/>
      <c r="P38" s="51"/>
      <c r="V38" s="98"/>
      <c r="W38" s="130"/>
      <c r="X38" s="203"/>
      <c r="Y38" s="147"/>
      <c r="Z38" s="117"/>
      <c r="AB38" s="62"/>
      <c r="AC38" s="62"/>
      <c r="AD38" s="62"/>
      <c r="AE38" s="123"/>
      <c r="AF38" s="123"/>
    </row>
    <row r="39" spans="1:32" ht="12.75" customHeight="1">
      <c r="A39" s="222" t="s">
        <v>171</v>
      </c>
      <c r="B39" s="197">
        <f>$N$10</f>
        <v>28.625</v>
      </c>
      <c r="C39" s="286" t="s">
        <v>3</v>
      </c>
      <c r="D39" s="6" t="str">
        <f>$P$10</f>
        <v>Heff = Mo/Ho</v>
      </c>
      <c r="E39" s="28"/>
      <c r="F39" s="28"/>
      <c r="G39" s="19"/>
      <c r="H39" s="28"/>
      <c r="I39" s="14"/>
      <c r="K39" s="100"/>
      <c r="L39" s="71"/>
      <c r="V39" s="98"/>
      <c r="W39" s="130"/>
      <c r="X39" s="203"/>
      <c r="Y39" s="147"/>
      <c r="Z39" s="117"/>
      <c r="AB39" s="62"/>
      <c r="AC39" s="62"/>
      <c r="AD39" s="62"/>
      <c r="AE39" s="123"/>
      <c r="AF39" s="123"/>
    </row>
    <row r="40" spans="1:32" ht="12.75" customHeight="1">
      <c r="A40" s="222" t="s">
        <v>169</v>
      </c>
      <c r="B40" s="197">
        <f>$N$11</f>
        <v>15.526</v>
      </c>
      <c r="C40" s="286" t="s">
        <v>3</v>
      </c>
      <c r="D40" s="6" t="str">
        <f>$P$11</f>
        <v>L = 1.5*D+q*(1+SQRT(2+(4*Heff+6*D)/q))</v>
      </c>
      <c r="E40" s="6"/>
      <c r="F40" s="19"/>
      <c r="G40" s="19"/>
      <c r="H40" s="19"/>
      <c r="I40" s="14"/>
      <c r="K40" s="100"/>
      <c r="L40" s="69"/>
      <c r="M40" s="104"/>
      <c r="N40" s="105"/>
      <c r="O40" s="106"/>
      <c r="P40" s="51"/>
      <c r="V40" s="98"/>
      <c r="W40" s="130"/>
      <c r="X40" s="203"/>
      <c r="Y40" s="147"/>
      <c r="Z40" s="117"/>
      <c r="AB40" s="62"/>
      <c r="AC40" s="62"/>
      <c r="AD40" s="62"/>
      <c r="AE40" s="123"/>
      <c r="AF40" s="123"/>
    </row>
    <row r="41" spans="1:32" ht="12.75" customHeight="1">
      <c r="A41" s="21" t="s">
        <v>31</v>
      </c>
      <c r="B41" s="173">
        <f>$N$12</f>
        <v>15.526</v>
      </c>
      <c r="C41" s="66" t="s">
        <v>3</v>
      </c>
      <c r="D41" s="6" t="str">
        <f>$P$12</f>
        <v>Lt = h1+h2+L  (total length)</v>
      </c>
      <c r="E41" s="28"/>
      <c r="F41" s="19"/>
      <c r="G41" s="28"/>
      <c r="H41" s="28"/>
      <c r="I41" s="90"/>
      <c r="K41" s="100"/>
      <c r="M41" s="104"/>
      <c r="N41" s="105"/>
      <c r="O41" s="106"/>
      <c r="P41" s="51"/>
      <c r="V41" s="98"/>
      <c r="W41" s="130"/>
      <c r="X41" s="203"/>
      <c r="Y41" s="147"/>
      <c r="Z41" s="117"/>
      <c r="AB41" s="62"/>
      <c r="AC41" s="62"/>
      <c r="AD41" s="62"/>
      <c r="AE41" s="123"/>
      <c r="AF41" s="123"/>
    </row>
    <row r="42" spans="1:32" ht="12.75">
      <c r="A42" s="63"/>
      <c r="B42" s="10"/>
      <c r="C42" s="10"/>
      <c r="D42" s="10"/>
      <c r="E42" s="28"/>
      <c r="F42" s="28"/>
      <c r="G42" s="19"/>
      <c r="H42" s="19"/>
      <c r="I42" s="14"/>
      <c r="J42" s="46"/>
      <c r="K42" s="100"/>
      <c r="M42" s="148"/>
      <c r="N42" s="98"/>
      <c r="O42" s="101"/>
      <c r="P42" s="144"/>
      <c r="V42" s="98"/>
      <c r="W42" s="130"/>
      <c r="X42" s="203"/>
      <c r="Y42" s="147"/>
      <c r="Z42" s="117"/>
      <c r="AB42" s="62"/>
      <c r="AC42" s="62"/>
      <c r="AD42" s="62"/>
      <c r="AE42" s="123"/>
      <c r="AF42" s="123"/>
    </row>
    <row r="43" spans="1:32" ht="12.75">
      <c r="A43" s="153" t="s">
        <v>116</v>
      </c>
      <c r="B43" s="113"/>
      <c r="C43" s="26"/>
      <c r="D43" s="26"/>
      <c r="E43" s="28"/>
      <c r="F43" s="19"/>
      <c r="G43" s="19"/>
      <c r="H43" s="30"/>
      <c r="I43" s="14"/>
      <c r="J43" s="46"/>
      <c r="K43" s="100"/>
      <c r="L43" s="69"/>
      <c r="M43" s="69"/>
      <c r="N43" s="101"/>
      <c r="O43" s="70"/>
      <c r="P43" s="51"/>
      <c r="V43" s="98"/>
      <c r="W43" s="130"/>
      <c r="X43" s="203"/>
      <c r="Y43" s="147"/>
      <c r="Z43" s="117"/>
      <c r="AB43" s="62"/>
      <c r="AC43" s="62"/>
      <c r="AD43" s="62"/>
      <c r="AE43" s="123"/>
      <c r="AF43" s="123"/>
    </row>
    <row r="44" spans="1:32" ht="12.75" customHeight="1">
      <c r="A44" s="91" t="s">
        <v>14</v>
      </c>
      <c r="B44" s="172">
        <f>$N$14</f>
        <v>4.908738521234052</v>
      </c>
      <c r="C44" s="287" t="s">
        <v>15</v>
      </c>
      <c r="D44" s="28" t="s">
        <v>60</v>
      </c>
      <c r="E44" s="28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/>
      <c r="W44" s="130"/>
      <c r="X44" s="203"/>
      <c r="Y44" s="147"/>
      <c r="Z44" s="117"/>
      <c r="AB44" s="62"/>
      <c r="AC44" s="62"/>
      <c r="AD44" s="62"/>
      <c r="AE44" s="123"/>
      <c r="AF44" s="123"/>
    </row>
    <row r="45" spans="1:32" ht="12.75">
      <c r="A45" s="21" t="s">
        <v>57</v>
      </c>
      <c r="B45" s="170">
        <f>$N$15</f>
        <v>11.431961142101983</v>
      </c>
      <c r="C45" s="287" t="s">
        <v>7</v>
      </c>
      <c r="D45" s="18" t="str">
        <f>$P$15</f>
        <v>Wf = (Af*Lt)*0.150  (pier weight)</v>
      </c>
      <c r="E45" s="19"/>
      <c r="F45" s="19"/>
      <c r="G45" s="20"/>
      <c r="H45" s="30"/>
      <c r="I45" s="14"/>
      <c r="J45" s="46"/>
      <c r="K45" s="100"/>
      <c r="L45" s="69"/>
      <c r="M45" s="69"/>
      <c r="N45" s="102"/>
      <c r="O45" s="70"/>
      <c r="P45" s="51"/>
      <c r="V45" s="98"/>
      <c r="W45" s="130"/>
      <c r="X45" s="203"/>
      <c r="Y45" s="147"/>
      <c r="Z45" s="117"/>
      <c r="AB45" s="62"/>
      <c r="AC45" s="62"/>
      <c r="AD45" s="62"/>
      <c r="AE45" s="123"/>
      <c r="AF45" s="123"/>
    </row>
    <row r="46" spans="1:32" ht="12.75">
      <c r="A46" s="93" t="s">
        <v>64</v>
      </c>
      <c r="B46" s="170">
        <f>$N$16</f>
        <v>14.431961142101983</v>
      </c>
      <c r="C46" s="287" t="s">
        <v>7</v>
      </c>
      <c r="D46" s="136" t="s">
        <v>161</v>
      </c>
      <c r="E46" s="132"/>
      <c r="F46" s="19"/>
      <c r="G46" s="20"/>
      <c r="H46" s="19"/>
      <c r="I46" s="14"/>
      <c r="J46" s="46"/>
      <c r="K46" s="100"/>
      <c r="L46" s="69"/>
      <c r="M46" s="69"/>
      <c r="N46" s="102"/>
      <c r="O46" s="70"/>
      <c r="P46" s="51"/>
      <c r="V46" s="98"/>
      <c r="W46" s="130"/>
      <c r="X46" s="203"/>
      <c r="Y46" s="147"/>
      <c r="Z46" s="117"/>
      <c r="AB46" s="62"/>
      <c r="AC46" s="62"/>
      <c r="AD46" s="62"/>
      <c r="AE46" s="123"/>
      <c r="AF46" s="123"/>
    </row>
    <row r="47" spans="1:32" ht="12.75">
      <c r="A47" s="91" t="s">
        <v>50</v>
      </c>
      <c r="B47" s="171">
        <f>$N$17</f>
        <v>2.940054981472878</v>
      </c>
      <c r="C47" s="287" t="s">
        <v>13</v>
      </c>
      <c r="D47" s="26" t="s">
        <v>67</v>
      </c>
      <c r="E47" s="19"/>
      <c r="F47" s="134"/>
      <c r="G47" s="20"/>
      <c r="H47" s="19"/>
      <c r="I47" s="14"/>
      <c r="J47" s="46"/>
      <c r="K47" s="100"/>
      <c r="L47" s="69"/>
      <c r="M47" s="69"/>
      <c r="N47" s="102"/>
      <c r="O47" s="70"/>
      <c r="P47" s="51"/>
      <c r="V47" s="98"/>
      <c r="W47" s="130"/>
      <c r="X47" s="203"/>
      <c r="Y47" s="147"/>
      <c r="Z47" s="117"/>
      <c r="AB47" s="62"/>
      <c r="AC47" s="62"/>
      <c r="AD47" s="62"/>
      <c r="AE47" s="123"/>
      <c r="AF47" s="123"/>
    </row>
    <row r="48" spans="1:32" ht="12.75" customHeight="1">
      <c r="A48" s="211"/>
      <c r="B48" s="26"/>
      <c r="C48" s="28"/>
      <c r="D48" s="18"/>
      <c r="E48" s="19"/>
      <c r="F48" s="19"/>
      <c r="G48" s="19"/>
      <c r="H48" s="19"/>
      <c r="I48" s="14"/>
      <c r="J48" s="46"/>
      <c r="K48" s="100"/>
      <c r="L48" s="71"/>
      <c r="M48" s="69"/>
      <c r="N48" s="73"/>
      <c r="O48" s="70"/>
      <c r="P48" s="51"/>
      <c r="V48" s="98"/>
      <c r="W48" s="130"/>
      <c r="X48" s="203"/>
      <c r="Y48" s="147"/>
      <c r="Z48" s="117"/>
      <c r="AB48" s="62"/>
      <c r="AC48" s="62"/>
      <c r="AD48" s="62"/>
      <c r="AE48" s="123"/>
      <c r="AF48" s="123"/>
    </row>
    <row r="49" spans="1:32" ht="12.75" customHeight="1">
      <c r="A49" s="153" t="s">
        <v>284</v>
      </c>
      <c r="B49" s="26"/>
      <c r="C49" s="66"/>
      <c r="D49" s="18"/>
      <c r="E49" s="19"/>
      <c r="F49" s="19"/>
      <c r="G49" s="19"/>
      <c r="H49" s="19"/>
      <c r="I49" s="14"/>
      <c r="J49" s="46"/>
      <c r="K49" s="100"/>
      <c r="L49" s="71"/>
      <c r="M49" s="69"/>
      <c r="N49" s="73"/>
      <c r="O49" s="70"/>
      <c r="P49" s="51"/>
      <c r="V49" s="98"/>
      <c r="W49" s="130"/>
      <c r="X49" s="203"/>
      <c r="Y49" s="147"/>
      <c r="Z49" s="117"/>
      <c r="AB49" s="62"/>
      <c r="AC49" s="62"/>
      <c r="AD49" s="62"/>
      <c r="AE49" s="123"/>
      <c r="AF49" s="123"/>
    </row>
    <row r="50" spans="1:32" ht="12.75" customHeight="1">
      <c r="A50" s="91" t="s">
        <v>33</v>
      </c>
      <c r="B50" s="273">
        <f>$N$19</f>
        <v>665.2386556888888</v>
      </c>
      <c r="C50" s="66" t="s">
        <v>9</v>
      </c>
      <c r="D50" s="18" t="str">
        <f>$P$19</f>
        <v>M(max) = Ho*(Heff+1.5*D+0.5*q)</v>
      </c>
      <c r="E50" s="19"/>
      <c r="F50" s="19"/>
      <c r="G50" s="19"/>
      <c r="H50" s="19"/>
      <c r="I50" s="14"/>
      <c r="J50" s="46"/>
      <c r="K50" s="100"/>
      <c r="L50" s="71"/>
      <c r="M50" s="69"/>
      <c r="N50" s="73"/>
      <c r="O50" s="70"/>
      <c r="P50" s="51"/>
      <c r="V50" s="98"/>
      <c r="W50" s="130"/>
      <c r="X50" s="203"/>
      <c r="Y50" s="147"/>
      <c r="Z50" s="117"/>
      <c r="AB50" s="62"/>
      <c r="AC50" s="62"/>
      <c r="AD50" s="62"/>
      <c r="AE50" s="123"/>
      <c r="AF50" s="123"/>
    </row>
    <row r="51" spans="1:32" ht="12.75">
      <c r="A51" s="91" t="s">
        <v>285</v>
      </c>
      <c r="B51" s="274">
        <f>$N$20</f>
        <v>4.650711111111111</v>
      </c>
      <c r="C51" s="66" t="s">
        <v>3</v>
      </c>
      <c r="D51" s="29" t="str">
        <f>$P$20</f>
        <v>y = 1.5*D+q (below resisting surface)</v>
      </c>
      <c r="E51" s="19"/>
      <c r="F51" s="19"/>
      <c r="G51" s="19"/>
      <c r="H51" s="6"/>
      <c r="I51" s="23"/>
      <c r="K51" s="100"/>
      <c r="L51" s="69"/>
      <c r="M51" s="148"/>
      <c r="N51" s="70"/>
      <c r="O51" s="145"/>
      <c r="P51" s="145"/>
      <c r="V51" s="98"/>
      <c r="W51" s="130"/>
      <c r="X51" s="203"/>
      <c r="Y51" s="147"/>
      <c r="Z51" s="117"/>
      <c r="AB51" s="62"/>
      <c r="AC51" s="62"/>
      <c r="AD51" s="62"/>
      <c r="AE51" s="123"/>
      <c r="AF51" s="123"/>
    </row>
    <row r="52" spans="1:32" ht="12.75">
      <c r="A52" s="262"/>
      <c r="B52" s="263"/>
      <c r="C52" s="263"/>
      <c r="D52" s="263"/>
      <c r="E52" s="263"/>
      <c r="F52" s="263"/>
      <c r="G52" s="263"/>
      <c r="H52" s="24"/>
      <c r="I52" s="25" t="s">
        <v>54</v>
      </c>
      <c r="K52" s="100"/>
      <c r="M52" s="69"/>
      <c r="N52" s="101"/>
      <c r="O52" s="70"/>
      <c r="P52" s="51"/>
      <c r="V52" s="98"/>
      <c r="W52" s="130"/>
      <c r="X52" s="203"/>
      <c r="Y52" s="147"/>
      <c r="Z52" s="117"/>
      <c r="AB52" s="62"/>
      <c r="AC52" s="62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J53" s="46"/>
      <c r="K53" s="100"/>
      <c r="M53" s="69"/>
      <c r="N53" s="102"/>
      <c r="O53" s="70"/>
      <c r="P53" s="51"/>
      <c r="V53" s="98"/>
      <c r="W53" s="130"/>
      <c r="X53" s="203"/>
      <c r="Y53" s="147"/>
      <c r="Z53" s="117"/>
      <c r="AB53" s="62"/>
      <c r="AC53" s="62"/>
      <c r="AD53" s="62"/>
      <c r="AE53" s="123"/>
      <c r="AF53" s="123"/>
    </row>
    <row r="54" spans="1:32" ht="12.75">
      <c r="A54" s="151"/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102"/>
      <c r="O54" s="70"/>
      <c r="P54" s="51"/>
      <c r="V54" s="98"/>
      <c r="W54" s="130"/>
      <c r="X54" s="203"/>
      <c r="Y54" s="147"/>
      <c r="Z54" s="117"/>
      <c r="AB54" s="62"/>
      <c r="AC54" s="62"/>
      <c r="AD54" s="62"/>
      <c r="AE54" s="123"/>
      <c r="AF54" s="123"/>
    </row>
    <row r="55" spans="1:32" ht="12.75">
      <c r="A55" s="247" t="s">
        <v>226</v>
      </c>
      <c r="B55" s="260"/>
      <c r="C55" s="260"/>
      <c r="D55" s="260"/>
      <c r="E55" s="260"/>
      <c r="F55" s="260"/>
      <c r="G55" s="260"/>
      <c r="H55" s="260"/>
      <c r="I55" s="261"/>
      <c r="K55" s="100"/>
      <c r="M55" s="69"/>
      <c r="N55" s="102"/>
      <c r="O55" s="70"/>
      <c r="P55" s="51"/>
      <c r="V55" s="98"/>
      <c r="W55" s="130"/>
      <c r="X55" s="203"/>
      <c r="Y55" s="147"/>
      <c r="Z55" s="117"/>
      <c r="AB55" s="62"/>
      <c r="AC55" s="62"/>
      <c r="AD55" s="62"/>
      <c r="AE55" s="123"/>
      <c r="AF55" s="123"/>
    </row>
    <row r="56" spans="1:32" ht="12.75">
      <c r="A56" s="63"/>
      <c r="B56" s="37" t="s">
        <v>166</v>
      </c>
      <c r="C56" s="26" t="s">
        <v>175</v>
      </c>
      <c r="D56" s="10"/>
      <c r="E56" s="10"/>
      <c r="F56" s="10"/>
      <c r="G56" s="10"/>
      <c r="H56" s="10"/>
      <c r="I56" s="11"/>
      <c r="K56" s="100"/>
      <c r="M56" s="69"/>
      <c r="N56" s="73"/>
      <c r="O56" s="70"/>
      <c r="P56" s="70"/>
      <c r="V56" s="98"/>
      <c r="W56" s="130"/>
      <c r="X56" s="203"/>
      <c r="Y56" s="147"/>
      <c r="Z56" s="117"/>
      <c r="AB56" s="62"/>
      <c r="AC56" s="62"/>
      <c r="AD56" s="62"/>
      <c r="AE56" s="123"/>
      <c r="AF56" s="123"/>
    </row>
    <row r="57" spans="1:32" ht="12.75">
      <c r="A57" s="21"/>
      <c r="B57" s="38"/>
      <c r="C57" s="26" t="s">
        <v>258</v>
      </c>
      <c r="D57" s="10"/>
      <c r="E57" s="10"/>
      <c r="F57" s="46"/>
      <c r="G57" s="28"/>
      <c r="H57" s="28"/>
      <c r="I57" s="90"/>
      <c r="K57" s="100"/>
      <c r="V57" s="98"/>
      <c r="W57" s="130"/>
      <c r="X57" s="203"/>
      <c r="Y57" s="147"/>
      <c r="Z57" s="117"/>
      <c r="AB57" s="62"/>
      <c r="AC57" s="62"/>
      <c r="AD57" s="62"/>
      <c r="AE57" s="123"/>
      <c r="AF57" s="123"/>
    </row>
    <row r="58" spans="1:32" ht="12.75">
      <c r="A58" s="63"/>
      <c r="B58" s="10"/>
      <c r="C58" s="10"/>
      <c r="D58" s="10"/>
      <c r="E58" s="10"/>
      <c r="F58" s="10"/>
      <c r="G58" s="10"/>
      <c r="H58" s="10"/>
      <c r="I58" s="11"/>
      <c r="K58" s="100"/>
      <c r="V58" s="98"/>
      <c r="W58" s="130"/>
      <c r="X58" s="203"/>
      <c r="Y58" s="147"/>
      <c r="Z58" s="117"/>
      <c r="AB58" s="62"/>
      <c r="AC58" s="62"/>
      <c r="AD58" s="62"/>
      <c r="AE58" s="123"/>
      <c r="AF58" s="123"/>
    </row>
    <row r="59" spans="1:32" ht="12.75">
      <c r="A59" s="7"/>
      <c r="B59" s="10"/>
      <c r="C59" s="10"/>
      <c r="D59" s="81"/>
      <c r="E59" s="10"/>
      <c r="F59" s="256" t="s">
        <v>256</v>
      </c>
      <c r="G59" s="10"/>
      <c r="H59" s="10"/>
      <c r="I59" s="11"/>
      <c r="K59" s="100"/>
      <c r="V59" s="98"/>
      <c r="W59" s="130"/>
      <c r="X59" s="203"/>
      <c r="Y59" s="147"/>
      <c r="Z59" s="117"/>
      <c r="AB59" s="62"/>
      <c r="AC59" s="62"/>
      <c r="AD59" s="62"/>
      <c r="AE59" s="123"/>
      <c r="AF59" s="123"/>
    </row>
    <row r="60" spans="1:32" ht="12.75">
      <c r="A60" s="21"/>
      <c r="B60" s="38"/>
      <c r="C60" s="10"/>
      <c r="D60" s="10"/>
      <c r="E60" s="10"/>
      <c r="F60" s="257" t="s">
        <v>261</v>
      </c>
      <c r="G60" s="28"/>
      <c r="H60" s="28"/>
      <c r="I60" s="90"/>
      <c r="K60" s="100"/>
      <c r="V60" s="98"/>
      <c r="W60" s="130"/>
      <c r="X60" s="203"/>
      <c r="Y60" s="147"/>
      <c r="Z60" s="117"/>
      <c r="AB60" s="62"/>
      <c r="AC60" s="62"/>
      <c r="AD60" s="62"/>
      <c r="AE60" s="123"/>
      <c r="AF60" s="123"/>
    </row>
    <row r="61" spans="1:32" ht="12.75">
      <c r="A61" s="21"/>
      <c r="B61" s="10"/>
      <c r="C61" s="82"/>
      <c r="D61" s="82" t="s">
        <v>268</v>
      </c>
      <c r="E61" s="10"/>
      <c r="F61" s="10"/>
      <c r="G61" s="10"/>
      <c r="H61" s="43"/>
      <c r="I61" s="90"/>
      <c r="K61" s="100"/>
      <c r="V61" s="98"/>
      <c r="W61" s="130"/>
      <c r="X61" s="203"/>
      <c r="Y61" s="147"/>
      <c r="Z61" s="117"/>
      <c r="AB61" s="62"/>
      <c r="AC61" s="62"/>
      <c r="AD61" s="62"/>
      <c r="AE61" s="123"/>
      <c r="AF61" s="123"/>
    </row>
    <row r="62" spans="1:32" ht="12.75">
      <c r="A62" s="63"/>
      <c r="B62" s="10"/>
      <c r="C62" s="10"/>
      <c r="D62" s="10"/>
      <c r="E62" s="10"/>
      <c r="F62" s="10"/>
      <c r="G62" s="10"/>
      <c r="H62" s="10"/>
      <c r="I62" s="11"/>
      <c r="K62" s="100"/>
      <c r="N62" s="107"/>
      <c r="V62" s="98"/>
      <c r="W62" s="130"/>
      <c r="X62" s="203"/>
      <c r="Y62" s="147"/>
      <c r="Z62" s="117"/>
      <c r="AB62" s="62"/>
      <c r="AC62" s="62"/>
      <c r="AD62" s="62"/>
      <c r="AE62" s="123"/>
      <c r="AF62" s="123"/>
    </row>
    <row r="63" spans="1:32" ht="12.75">
      <c r="A63" s="7"/>
      <c r="B63" s="38"/>
      <c r="C63" s="81"/>
      <c r="D63" s="10"/>
      <c r="E63" s="10"/>
      <c r="F63" s="10"/>
      <c r="G63" s="10"/>
      <c r="H63" s="10"/>
      <c r="I63" s="11"/>
      <c r="K63" s="100"/>
      <c r="V63" s="98"/>
      <c r="W63" s="130"/>
      <c r="X63" s="203"/>
      <c r="Y63" s="147"/>
      <c r="Z63" s="117"/>
      <c r="AB63" s="62"/>
      <c r="AC63" s="62"/>
      <c r="AD63" s="62"/>
      <c r="AE63" s="123"/>
      <c r="AF63" s="123"/>
    </row>
    <row r="64" spans="1:32" ht="12.75">
      <c r="A64" s="21"/>
      <c r="B64" s="38"/>
      <c r="C64" s="82"/>
      <c r="D64" s="82" t="s">
        <v>267</v>
      </c>
      <c r="E64" s="19"/>
      <c r="F64" s="10"/>
      <c r="G64" s="10"/>
      <c r="H64" s="10"/>
      <c r="I64" s="11"/>
      <c r="K64" s="100"/>
      <c r="N64" s="104"/>
      <c r="O64" s="106"/>
      <c r="P64" s="106"/>
      <c r="V64" s="98"/>
      <c r="W64" s="130"/>
      <c r="X64" s="203"/>
      <c r="Y64" s="147"/>
      <c r="Z64" s="117"/>
      <c r="AB64" s="62"/>
      <c r="AC64" s="62"/>
      <c r="AD64" s="62"/>
      <c r="AE64" s="123"/>
      <c r="AF64" s="123"/>
    </row>
    <row r="65" spans="1:32" ht="12.75">
      <c r="A65" s="21"/>
      <c r="B65" s="10"/>
      <c r="C65" s="10"/>
      <c r="D65" s="10"/>
      <c r="E65" s="10"/>
      <c r="F65" s="239" t="s">
        <v>264</v>
      </c>
      <c r="G65" s="10"/>
      <c r="H65" s="43"/>
      <c r="I65" s="11"/>
      <c r="K65" s="100"/>
      <c r="M65" s="104"/>
      <c r="N65" s="105"/>
      <c r="O65" s="106"/>
      <c r="P65" s="106"/>
      <c r="S65" s="116"/>
      <c r="V65" s="98"/>
      <c r="W65" s="130"/>
      <c r="X65" s="203"/>
      <c r="Y65" s="147"/>
      <c r="Z65" s="117"/>
      <c r="AB65" s="62"/>
      <c r="AC65" s="62"/>
      <c r="AD65" s="62"/>
      <c r="AE65" s="123"/>
      <c r="AF65" s="123"/>
    </row>
    <row r="66" spans="1:32" ht="12.75">
      <c r="A66" s="63"/>
      <c r="B66" s="10"/>
      <c r="C66" s="18"/>
      <c r="D66" s="18"/>
      <c r="E66" s="6"/>
      <c r="F66" s="10"/>
      <c r="G66" s="10"/>
      <c r="H66" s="10"/>
      <c r="I66" s="11"/>
      <c r="K66" s="100"/>
      <c r="O66" s="106"/>
      <c r="P66" s="106"/>
      <c r="V66" s="98"/>
      <c r="W66" s="130"/>
      <c r="X66" s="203"/>
      <c r="Y66" s="147"/>
      <c r="Z66" s="117"/>
      <c r="AB66" s="62"/>
      <c r="AC66" s="62"/>
      <c r="AD66" s="62"/>
      <c r="AE66" s="123"/>
      <c r="AF66" s="123"/>
    </row>
    <row r="67" spans="1:32" ht="12.75">
      <c r="A67" s="7"/>
      <c r="B67" s="38"/>
      <c r="C67" s="10"/>
      <c r="D67" s="10"/>
      <c r="E67" s="10"/>
      <c r="F67" s="28"/>
      <c r="G67" s="10"/>
      <c r="H67" s="10"/>
      <c r="I67" s="11"/>
      <c r="K67" s="100"/>
      <c r="M67" s="104"/>
      <c r="N67" s="102"/>
      <c r="O67" s="106"/>
      <c r="P67" s="106"/>
      <c r="V67" s="98"/>
      <c r="W67" s="130"/>
      <c r="X67" s="203"/>
      <c r="Y67" s="147"/>
      <c r="Z67" s="117"/>
      <c r="AB67" s="62"/>
      <c r="AC67" s="62"/>
      <c r="AD67" s="62"/>
      <c r="AE67" s="123"/>
      <c r="AF67" s="123"/>
    </row>
    <row r="68" spans="1:32" ht="12.75">
      <c r="A68" s="21"/>
      <c r="B68" s="38"/>
      <c r="C68" s="82" t="s">
        <v>255</v>
      </c>
      <c r="D68" s="18"/>
      <c r="E68" s="6"/>
      <c r="F68" s="28"/>
      <c r="G68" s="10"/>
      <c r="H68" s="28"/>
      <c r="I68" s="92"/>
      <c r="K68" s="100"/>
      <c r="M68" s="104"/>
      <c r="N68" s="105"/>
      <c r="O68" s="70"/>
      <c r="P68" s="46"/>
      <c r="V68" s="98"/>
      <c r="W68" s="130"/>
      <c r="X68" s="203"/>
      <c r="Y68" s="147"/>
      <c r="Z68" s="117"/>
      <c r="AB68" s="62"/>
      <c r="AC68" s="62"/>
      <c r="AD68" s="62"/>
      <c r="AE68" s="123"/>
      <c r="AF68" s="123"/>
    </row>
    <row r="69" spans="1:32" ht="12.75">
      <c r="A69" s="21"/>
      <c r="B69" s="10"/>
      <c r="C69" s="81"/>
      <c r="D69" s="10"/>
      <c r="E69" s="10"/>
      <c r="F69" s="265" t="s">
        <v>289</v>
      </c>
      <c r="G69" s="10"/>
      <c r="H69" s="43"/>
      <c r="I69" s="90"/>
      <c r="K69" s="100"/>
      <c r="M69" s="104"/>
      <c r="N69" s="105"/>
      <c r="O69" s="70"/>
      <c r="P69" s="46"/>
      <c r="Q69" s="98"/>
      <c r="V69" s="98"/>
      <c r="W69" s="130"/>
      <c r="X69" s="203"/>
      <c r="Y69" s="147"/>
      <c r="Z69" s="117"/>
      <c r="AB69" s="62"/>
      <c r="AC69" s="62"/>
      <c r="AD69" s="62"/>
      <c r="AE69" s="123"/>
      <c r="AF69" s="123"/>
    </row>
    <row r="70" spans="1:32" ht="12.75">
      <c r="A70" s="63"/>
      <c r="B70" s="15"/>
      <c r="C70" s="10"/>
      <c r="D70" s="10"/>
      <c r="E70" s="10"/>
      <c r="F70" s="6"/>
      <c r="G70" s="10"/>
      <c r="H70" s="10"/>
      <c r="I70" s="11"/>
      <c r="K70" s="100"/>
      <c r="M70" s="69"/>
      <c r="N70" s="108"/>
      <c r="O70" s="106"/>
      <c r="P70" s="110"/>
      <c r="V70" s="98"/>
      <c r="W70" s="130"/>
      <c r="X70" s="203"/>
      <c r="Y70" s="147"/>
      <c r="Z70" s="117"/>
      <c r="AB70" s="62"/>
      <c r="AC70" s="62"/>
      <c r="AD70" s="62"/>
      <c r="AE70" s="123"/>
      <c r="AF70" s="123"/>
    </row>
    <row r="71" spans="1:32" ht="12.75">
      <c r="A71" s="31"/>
      <c r="B71" s="41"/>
      <c r="C71" s="66"/>
      <c r="D71" s="18"/>
      <c r="E71" s="6"/>
      <c r="F71" s="10"/>
      <c r="G71" s="10"/>
      <c r="H71" s="10"/>
      <c r="I71" s="11"/>
      <c r="K71" s="100"/>
      <c r="M71" s="104"/>
      <c r="N71" s="108"/>
      <c r="O71" s="70"/>
      <c r="P71" s="110"/>
      <c r="S71" s="108"/>
      <c r="V71" s="98"/>
      <c r="W71" s="130"/>
      <c r="X71" s="203"/>
      <c r="Y71" s="147"/>
      <c r="Z71" s="117"/>
      <c r="AB71" s="62"/>
      <c r="AC71" s="62"/>
      <c r="AD71" s="62"/>
      <c r="AE71" s="123"/>
      <c r="AF71" s="123"/>
    </row>
    <row r="72" spans="1:32" ht="12.75">
      <c r="A72" s="21"/>
      <c r="B72" s="41"/>
      <c r="C72" s="81" t="s">
        <v>265</v>
      </c>
      <c r="D72" s="10"/>
      <c r="E72" s="10"/>
      <c r="F72" s="10"/>
      <c r="G72" s="10"/>
      <c r="H72" s="10"/>
      <c r="I72" s="11"/>
      <c r="K72" s="100"/>
      <c r="V72" s="98"/>
      <c r="W72" s="130"/>
      <c r="X72" s="203"/>
      <c r="Y72" s="147"/>
      <c r="Z72" s="117"/>
      <c r="AB72" s="62"/>
      <c r="AC72" s="62"/>
      <c r="AD72" s="62"/>
      <c r="AE72" s="123"/>
      <c r="AF72" s="123"/>
    </row>
    <row r="73" spans="1:32" ht="12.75">
      <c r="A73" s="21"/>
      <c r="B73" s="41"/>
      <c r="C73" s="81"/>
      <c r="D73" s="10"/>
      <c r="E73" s="10"/>
      <c r="F73" s="81"/>
      <c r="G73" s="10"/>
      <c r="H73" s="10"/>
      <c r="I73" s="11"/>
      <c r="K73" s="100"/>
      <c r="M73" s="104"/>
      <c r="N73" s="108"/>
      <c r="O73" s="106"/>
      <c r="P73" s="106"/>
      <c r="V73" s="98"/>
      <c r="W73" s="130"/>
      <c r="X73" s="203"/>
      <c r="Y73" s="147"/>
      <c r="Z73" s="117"/>
      <c r="AB73" s="62"/>
      <c r="AC73" s="62"/>
      <c r="AD73" s="62"/>
      <c r="AE73" s="123"/>
      <c r="AF73" s="123"/>
    </row>
    <row r="74" spans="1:32" ht="12.75">
      <c r="A74" s="21"/>
      <c r="B74" s="41"/>
      <c r="C74" s="66"/>
      <c r="D74" s="18"/>
      <c r="E74" s="6"/>
      <c r="F74" s="10"/>
      <c r="G74" s="6"/>
      <c r="H74" s="10"/>
      <c r="I74" s="11"/>
      <c r="M74" s="98"/>
      <c r="N74" s="105"/>
      <c r="O74" s="106"/>
      <c r="P74" s="106"/>
      <c r="V74" s="98"/>
      <c r="W74" s="130"/>
      <c r="X74" s="203"/>
      <c r="Y74" s="147"/>
      <c r="Z74" s="117"/>
      <c r="AB74" s="62"/>
      <c r="AC74" s="62"/>
      <c r="AD74" s="62"/>
      <c r="AE74" s="123"/>
      <c r="AF74" s="123"/>
    </row>
    <row r="75" spans="1:32" ht="12.75">
      <c r="A75" s="21"/>
      <c r="B75" s="41"/>
      <c r="C75" s="66"/>
      <c r="D75" s="264" t="s">
        <v>263</v>
      </c>
      <c r="E75" s="239" t="s">
        <v>262</v>
      </c>
      <c r="F75" s="6"/>
      <c r="G75" s="6"/>
      <c r="H75" s="6"/>
      <c r="I75" s="90"/>
      <c r="M75" s="69"/>
      <c r="N75" s="108"/>
      <c r="O75" s="106"/>
      <c r="P75" s="112"/>
      <c r="V75" s="98"/>
      <c r="W75" s="130"/>
      <c r="X75" s="203"/>
      <c r="Y75" s="147"/>
      <c r="Z75" s="117"/>
      <c r="AB75" s="62"/>
      <c r="AC75" s="62"/>
      <c r="AD75" s="62"/>
      <c r="AE75" s="123"/>
      <c r="AF75" s="123"/>
    </row>
    <row r="76" spans="1:32" ht="12.75">
      <c r="A76" s="21"/>
      <c r="B76" s="41"/>
      <c r="C76" s="10"/>
      <c r="D76" s="10"/>
      <c r="E76" s="10"/>
      <c r="F76" s="6"/>
      <c r="G76" s="6"/>
      <c r="H76" s="6"/>
      <c r="I76" s="14"/>
      <c r="M76" s="104"/>
      <c r="N76" s="102"/>
      <c r="O76" s="106"/>
      <c r="P76" s="106"/>
      <c r="V76" s="98"/>
      <c r="W76" s="130"/>
      <c r="X76" s="203"/>
      <c r="Y76" s="147"/>
      <c r="Z76" s="117"/>
      <c r="AB76" s="62"/>
      <c r="AC76" s="62"/>
      <c r="AD76" s="62"/>
      <c r="AE76" s="123"/>
      <c r="AF76" s="123"/>
    </row>
    <row r="77" spans="1:32" ht="12.75">
      <c r="A77" s="21"/>
      <c r="B77" s="10"/>
      <c r="C77" s="10"/>
      <c r="D77" s="10"/>
      <c r="E77" s="10"/>
      <c r="F77" s="10"/>
      <c r="G77" s="10"/>
      <c r="H77" s="30"/>
      <c r="I77" s="14"/>
      <c r="M77" s="104"/>
      <c r="N77" s="105"/>
      <c r="O77" s="70"/>
      <c r="P77" s="46"/>
      <c r="V77" s="98"/>
      <c r="W77" s="130"/>
      <c r="X77" s="203"/>
      <c r="Y77" s="147"/>
      <c r="Z77" s="117"/>
      <c r="AB77" s="62"/>
      <c r="AC77" s="62"/>
      <c r="AD77" s="62"/>
      <c r="AE77" s="123"/>
      <c r="AF77" s="123"/>
    </row>
    <row r="78" spans="1:32" ht="12.75">
      <c r="A78" s="247" t="s">
        <v>260</v>
      </c>
      <c r="B78" s="248"/>
      <c r="C78" s="248"/>
      <c r="D78" s="248"/>
      <c r="E78" s="248"/>
      <c r="F78" s="248"/>
      <c r="G78" s="248"/>
      <c r="H78" s="248"/>
      <c r="I78" s="249"/>
      <c r="M78" s="104"/>
      <c r="N78" s="105"/>
      <c r="O78" s="70"/>
      <c r="P78" s="46"/>
      <c r="Q78" s="98"/>
      <c r="V78" s="98"/>
      <c r="W78" s="130"/>
      <c r="X78" s="203"/>
      <c r="Y78" s="147"/>
      <c r="Z78" s="117"/>
      <c r="AB78" s="62"/>
      <c r="AC78" s="62"/>
      <c r="AD78" s="62"/>
      <c r="AE78" s="123"/>
      <c r="AF78" s="123"/>
    </row>
    <row r="79" spans="1:32" ht="12.75">
      <c r="A79" s="211"/>
      <c r="B79" s="28"/>
      <c r="C79" s="28"/>
      <c r="D79" s="28"/>
      <c r="E79" s="28"/>
      <c r="F79" s="28"/>
      <c r="G79" s="28"/>
      <c r="H79" s="28"/>
      <c r="I79" s="90"/>
      <c r="M79" s="106"/>
      <c r="O79" s="96"/>
      <c r="P79" s="106"/>
      <c r="V79" s="98"/>
      <c r="W79" s="130"/>
      <c r="X79" s="203"/>
      <c r="Y79" s="147"/>
      <c r="Z79" s="117"/>
      <c r="AB79" s="62"/>
      <c r="AC79" s="62"/>
      <c r="AD79" s="62"/>
      <c r="AE79" s="123"/>
      <c r="AF79" s="123"/>
    </row>
    <row r="80" spans="1:32" ht="12.75">
      <c r="A80" s="211"/>
      <c r="B80" s="282" t="s">
        <v>298</v>
      </c>
      <c r="C80" s="277" t="s">
        <v>299</v>
      </c>
      <c r="D80" s="28"/>
      <c r="E80" s="28"/>
      <c r="F80" s="28"/>
      <c r="G80" s="28"/>
      <c r="H80" s="28"/>
      <c r="I80" s="90"/>
      <c r="M80" s="104"/>
      <c r="N80" s="105"/>
      <c r="O80" s="106"/>
      <c r="P80" s="106"/>
      <c r="V80" s="98"/>
      <c r="W80" s="130"/>
      <c r="X80" s="203"/>
      <c r="Y80" s="147"/>
      <c r="Z80" s="117"/>
      <c r="AB80" s="62"/>
      <c r="AC80" s="62"/>
      <c r="AD80" s="62"/>
      <c r="AE80" s="123"/>
      <c r="AF80" s="123"/>
    </row>
    <row r="81" spans="1:32" ht="12.75">
      <c r="A81" s="211"/>
      <c r="B81" s="28"/>
      <c r="C81" s="277" t="s">
        <v>301</v>
      </c>
      <c r="D81" s="28"/>
      <c r="E81" s="28"/>
      <c r="F81" s="28"/>
      <c r="G81" s="28"/>
      <c r="H81" s="28"/>
      <c r="I81" s="90"/>
      <c r="M81" s="104"/>
      <c r="N81" s="105"/>
      <c r="O81" s="106"/>
      <c r="P81" s="106"/>
      <c r="V81" s="98"/>
      <c r="W81" s="130"/>
      <c r="X81" s="203"/>
      <c r="Y81" s="147"/>
      <c r="Z81" s="117"/>
      <c r="AB81" s="62"/>
      <c r="AC81" s="62"/>
      <c r="AD81" s="62"/>
      <c r="AE81" s="123"/>
      <c r="AF81" s="123"/>
    </row>
    <row r="82" spans="1:32" ht="12.75">
      <c r="A82" s="211"/>
      <c r="B82" s="28"/>
      <c r="C82" s="253" t="s">
        <v>300</v>
      </c>
      <c r="D82" s="28"/>
      <c r="E82" s="28"/>
      <c r="F82" s="28"/>
      <c r="G82" s="28"/>
      <c r="H82" s="28"/>
      <c r="I82" s="90"/>
      <c r="M82" s="115"/>
      <c r="N82" s="101"/>
      <c r="O82" s="70"/>
      <c r="P82" s="106"/>
      <c r="S82" s="73"/>
      <c r="V82" s="98"/>
      <c r="W82" s="130"/>
      <c r="X82" s="203"/>
      <c r="Y82" s="147"/>
      <c r="Z82" s="117"/>
      <c r="AB82" s="62"/>
      <c r="AC82" s="62"/>
      <c r="AD82" s="62"/>
      <c r="AE82" s="123"/>
      <c r="AF82" s="123"/>
    </row>
    <row r="83" spans="1:32" ht="12.75">
      <c r="A83" s="211"/>
      <c r="B83" s="28"/>
      <c r="C83" s="253" t="s">
        <v>302</v>
      </c>
      <c r="D83" s="28"/>
      <c r="E83" s="28"/>
      <c r="F83" s="28"/>
      <c r="G83" s="28"/>
      <c r="H83" s="28"/>
      <c r="I83" s="90"/>
      <c r="O83" s="96"/>
      <c r="P83" s="106"/>
      <c r="V83" s="98"/>
      <c r="W83" s="130"/>
      <c r="X83" s="203"/>
      <c r="Y83" s="147"/>
      <c r="Z83" s="117"/>
      <c r="AB83" s="62"/>
      <c r="AC83" s="62"/>
      <c r="AD83" s="62"/>
      <c r="AE83" s="123"/>
      <c r="AF83" s="123"/>
    </row>
    <row r="84" spans="1:32" ht="12.75">
      <c r="A84" s="211"/>
      <c r="B84" s="28"/>
      <c r="C84" s="280"/>
      <c r="D84" s="28"/>
      <c r="E84" s="28"/>
      <c r="F84" s="28"/>
      <c r="G84" s="28"/>
      <c r="H84" s="28"/>
      <c r="I84" s="90"/>
      <c r="M84" s="117"/>
      <c r="N84" s="73"/>
      <c r="O84" s="118"/>
      <c r="P84" s="106"/>
      <c r="V84" s="98"/>
      <c r="W84" s="130"/>
      <c r="X84" s="203"/>
      <c r="Y84" s="147"/>
      <c r="Z84" s="117"/>
      <c r="AB84" s="62"/>
      <c r="AC84" s="62"/>
      <c r="AD84" s="62"/>
      <c r="AE84" s="123"/>
      <c r="AF84" s="123"/>
    </row>
    <row r="85" spans="1:32" ht="12.75">
      <c r="A85" s="211"/>
      <c r="B85" s="28"/>
      <c r="C85" s="10"/>
      <c r="D85" s="28"/>
      <c r="E85" s="28"/>
      <c r="F85" s="28"/>
      <c r="G85" s="28"/>
      <c r="H85" s="28"/>
      <c r="I85" s="90"/>
      <c r="M85" s="117"/>
      <c r="N85" s="73"/>
      <c r="O85" s="70"/>
      <c r="P85" s="106"/>
      <c r="V85" s="98"/>
      <c r="W85" s="130"/>
      <c r="X85" s="203"/>
      <c r="Y85" s="147"/>
      <c r="Z85" s="117"/>
      <c r="AB85" s="62"/>
      <c r="AC85" s="62"/>
      <c r="AD85" s="62"/>
      <c r="AE85" s="123"/>
      <c r="AF85" s="123"/>
    </row>
    <row r="86" spans="1:32" ht="12.75">
      <c r="A86" s="5" t="s">
        <v>178</v>
      </c>
      <c r="B86" s="289"/>
      <c r="C86" s="289"/>
      <c r="D86" s="289"/>
      <c r="E86" s="289"/>
      <c r="F86" s="289"/>
      <c r="G86" s="289"/>
      <c r="H86" s="289"/>
      <c r="I86" s="290"/>
      <c r="O86" s="96"/>
      <c r="P86" s="106"/>
      <c r="V86" s="98"/>
      <c r="W86" s="130"/>
      <c r="X86" s="203"/>
      <c r="Y86" s="147"/>
      <c r="Z86" s="117"/>
      <c r="AB86" s="62"/>
      <c r="AC86" s="62"/>
      <c r="AD86" s="62"/>
      <c r="AE86" s="123"/>
      <c r="AF86" s="123"/>
    </row>
    <row r="87" spans="1:32" ht="12.75">
      <c r="A87" s="275"/>
      <c r="B87" s="289"/>
      <c r="C87" s="289"/>
      <c r="D87" s="289"/>
      <c r="E87" s="289"/>
      <c r="F87" s="289"/>
      <c r="G87" s="289"/>
      <c r="H87" s="289"/>
      <c r="I87" s="290"/>
      <c r="M87" s="104"/>
      <c r="N87" s="119"/>
      <c r="O87" s="106"/>
      <c r="P87" s="106"/>
      <c r="V87" s="98"/>
      <c r="W87" s="130"/>
      <c r="X87" s="203"/>
      <c r="Y87" s="147"/>
      <c r="Z87" s="117"/>
      <c r="AB87" s="62"/>
      <c r="AC87" s="62"/>
      <c r="AD87" s="62"/>
      <c r="AE87" s="123"/>
      <c r="AF87" s="123"/>
    </row>
    <row r="88" spans="1:32" ht="12.75">
      <c r="A88" s="275"/>
      <c r="B88" s="289"/>
      <c r="C88" s="289"/>
      <c r="D88" s="289"/>
      <c r="E88" s="289"/>
      <c r="F88" s="289"/>
      <c r="G88" s="289"/>
      <c r="H88" s="289"/>
      <c r="I88" s="290"/>
      <c r="M88" s="104"/>
      <c r="N88" s="105"/>
      <c r="O88" s="106"/>
      <c r="P88" s="106"/>
      <c r="V88" s="98"/>
      <c r="W88" s="130"/>
      <c r="X88" s="203"/>
      <c r="Y88" s="147"/>
      <c r="Z88" s="117"/>
      <c r="AB88" s="62"/>
      <c r="AC88" s="62"/>
      <c r="AD88" s="62"/>
      <c r="AE88" s="123"/>
      <c r="AF88" s="123"/>
    </row>
    <row r="89" spans="1:32" ht="12.75">
      <c r="A89" s="275"/>
      <c r="B89" s="291"/>
      <c r="C89" s="292"/>
      <c r="D89" s="292"/>
      <c r="E89" s="289"/>
      <c r="F89" s="289"/>
      <c r="G89" s="289"/>
      <c r="H89" s="289"/>
      <c r="I89" s="290"/>
      <c r="M89" s="104"/>
      <c r="N89" s="105"/>
      <c r="O89" s="106"/>
      <c r="P89" s="106"/>
      <c r="V89" s="98"/>
      <c r="W89" s="130"/>
      <c r="X89" s="203"/>
      <c r="Y89" s="147"/>
      <c r="Z89" s="117"/>
      <c r="AB89" s="62"/>
      <c r="AC89" s="62"/>
      <c r="AD89" s="62"/>
      <c r="AE89" s="123"/>
      <c r="AF89" s="123"/>
    </row>
    <row r="90" spans="1:32" ht="12.75">
      <c r="A90" s="275"/>
      <c r="B90" s="293"/>
      <c r="C90" s="294"/>
      <c r="D90" s="292"/>
      <c r="E90" s="289"/>
      <c r="F90" s="289"/>
      <c r="G90" s="289"/>
      <c r="H90" s="289"/>
      <c r="I90" s="290"/>
      <c r="M90" s="104"/>
      <c r="N90" s="105"/>
      <c r="O90" s="106"/>
      <c r="P90" s="106"/>
      <c r="V90" s="98"/>
      <c r="W90" s="130"/>
      <c r="X90" s="203"/>
      <c r="Y90" s="147"/>
      <c r="Z90" s="117"/>
      <c r="AB90" s="62"/>
      <c r="AC90" s="62"/>
      <c r="AD90" s="62"/>
      <c r="AE90" s="123"/>
      <c r="AF90" s="123"/>
    </row>
    <row r="91" spans="1:32" ht="12.75">
      <c r="A91" s="281"/>
      <c r="B91" s="293"/>
      <c r="C91" s="294"/>
      <c r="D91" s="292"/>
      <c r="E91" s="289"/>
      <c r="F91" s="289"/>
      <c r="G91" s="289"/>
      <c r="H91" s="289"/>
      <c r="I91" s="290"/>
      <c r="M91" s="104"/>
      <c r="N91" s="73"/>
      <c r="O91" s="96"/>
      <c r="P91" s="106"/>
      <c r="V91" s="98"/>
      <c r="W91" s="130"/>
      <c r="X91" s="203"/>
      <c r="Y91" s="147"/>
      <c r="Z91" s="117"/>
      <c r="AB91" s="62"/>
      <c r="AC91" s="62"/>
      <c r="AD91" s="62"/>
      <c r="AE91" s="123"/>
      <c r="AF91" s="123"/>
    </row>
    <row r="92" spans="1:32" ht="12.75">
      <c r="A92" s="281"/>
      <c r="B92" s="293"/>
      <c r="C92" s="294"/>
      <c r="D92" s="292"/>
      <c r="E92" s="289"/>
      <c r="F92" s="289"/>
      <c r="G92" s="289"/>
      <c r="H92" s="289"/>
      <c r="I92" s="290"/>
      <c r="M92" s="104"/>
      <c r="N92" s="73"/>
      <c r="O92" s="96"/>
      <c r="P92" s="106"/>
      <c r="V92" s="98"/>
      <c r="W92" s="130"/>
      <c r="X92" s="203"/>
      <c r="Y92" s="147"/>
      <c r="Z92" s="117"/>
      <c r="AB92" s="62"/>
      <c r="AC92" s="62"/>
      <c r="AD92" s="62"/>
      <c r="AE92" s="123"/>
      <c r="AF92" s="123"/>
    </row>
    <row r="93" spans="1:32" ht="12.75">
      <c r="A93" s="281"/>
      <c r="B93" s="293"/>
      <c r="C93" s="294"/>
      <c r="D93" s="292"/>
      <c r="E93" s="289"/>
      <c r="F93" s="289"/>
      <c r="G93" s="289"/>
      <c r="H93" s="289"/>
      <c r="I93" s="290"/>
      <c r="M93" s="104"/>
      <c r="N93" s="38"/>
      <c r="O93" s="106"/>
      <c r="P93" s="72"/>
      <c r="R93" s="120"/>
      <c r="S93" s="100"/>
      <c r="V93" s="98"/>
      <c r="W93" s="130"/>
      <c r="X93" s="203"/>
      <c r="Y93" s="147"/>
      <c r="Z93" s="117"/>
      <c r="AB93" s="62"/>
      <c r="AC93" s="62"/>
      <c r="AD93" s="62"/>
      <c r="AE93" s="123"/>
      <c r="AF93" s="123"/>
    </row>
    <row r="94" spans="1:32" ht="12.75">
      <c r="A94" s="281"/>
      <c r="B94" s="293"/>
      <c r="C94" s="294"/>
      <c r="D94" s="292"/>
      <c r="E94" s="289"/>
      <c r="F94" s="289"/>
      <c r="G94" s="289"/>
      <c r="H94" s="289"/>
      <c r="I94" s="290"/>
      <c r="M94" s="104"/>
      <c r="N94" s="38"/>
      <c r="O94" s="106"/>
      <c r="P94" s="72"/>
      <c r="R94" s="73"/>
      <c r="U94" s="108"/>
      <c r="V94" s="98"/>
      <c r="W94" s="130"/>
      <c r="X94" s="203"/>
      <c r="Y94" s="147"/>
      <c r="Z94" s="117"/>
      <c r="AB94" s="62"/>
      <c r="AC94" s="62"/>
      <c r="AD94" s="62"/>
      <c r="AE94" s="123"/>
      <c r="AF94" s="123"/>
    </row>
    <row r="95" spans="1:32" ht="12.75">
      <c r="A95" s="281"/>
      <c r="B95" s="293"/>
      <c r="C95" s="294"/>
      <c r="D95" s="292"/>
      <c r="E95" s="289"/>
      <c r="F95" s="289"/>
      <c r="G95" s="289"/>
      <c r="H95" s="289"/>
      <c r="I95" s="290"/>
      <c r="M95" s="104"/>
      <c r="N95" s="38"/>
      <c r="O95" s="106"/>
      <c r="P95" s="72"/>
      <c r="R95" s="73"/>
      <c r="U95" s="108"/>
      <c r="V95" s="98"/>
      <c r="W95" s="130"/>
      <c r="X95" s="203"/>
      <c r="Y95" s="147"/>
      <c r="Z95" s="117"/>
      <c r="AB95" s="62"/>
      <c r="AC95" s="62"/>
      <c r="AD95" s="62"/>
      <c r="AE95" s="123"/>
      <c r="AF95" s="123"/>
    </row>
    <row r="96" spans="1:32" ht="12.75">
      <c r="A96" s="281"/>
      <c r="B96" s="293"/>
      <c r="C96" s="294"/>
      <c r="D96" s="292"/>
      <c r="E96" s="289"/>
      <c r="F96" s="289"/>
      <c r="G96" s="289"/>
      <c r="H96" s="289"/>
      <c r="I96" s="290"/>
      <c r="M96" s="104"/>
      <c r="N96" s="38"/>
      <c r="O96" s="106"/>
      <c r="P96" s="72"/>
      <c r="R96" s="73"/>
      <c r="U96" s="108"/>
      <c r="V96" s="98"/>
      <c r="W96" s="130"/>
      <c r="X96" s="203"/>
      <c r="Y96" s="147"/>
      <c r="Z96" s="117"/>
      <c r="AB96" s="62"/>
      <c r="AC96" s="62"/>
      <c r="AD96" s="62"/>
      <c r="AE96" s="123"/>
      <c r="AF96" s="123"/>
    </row>
    <row r="97" spans="1:32" ht="12.75">
      <c r="A97" s="275"/>
      <c r="B97" s="289"/>
      <c r="C97" s="289"/>
      <c r="D97" s="289"/>
      <c r="E97" s="289"/>
      <c r="F97" s="289"/>
      <c r="G97" s="289"/>
      <c r="H97" s="289"/>
      <c r="I97" s="290"/>
      <c r="M97" s="104"/>
      <c r="N97" s="105"/>
      <c r="O97" s="70"/>
      <c r="P97" s="70"/>
      <c r="V97" s="98"/>
      <c r="W97" s="130"/>
      <c r="X97" s="203"/>
      <c r="Y97" s="147"/>
      <c r="Z97" s="117"/>
      <c r="AB97" s="62"/>
      <c r="AC97" s="62"/>
      <c r="AD97" s="62"/>
      <c r="AE97" s="123"/>
      <c r="AF97" s="123"/>
    </row>
    <row r="98" spans="1:32" ht="12.75">
      <c r="A98" s="275"/>
      <c r="B98" s="292"/>
      <c r="C98" s="289"/>
      <c r="D98" s="289"/>
      <c r="E98" s="289"/>
      <c r="F98" s="289"/>
      <c r="G98" s="289"/>
      <c r="H98" s="289"/>
      <c r="I98" s="290"/>
      <c r="M98" s="104"/>
      <c r="N98" s="105"/>
      <c r="O98" s="106"/>
      <c r="P98" s="106"/>
      <c r="V98" s="98"/>
      <c r="W98" s="130"/>
      <c r="X98" s="203"/>
      <c r="Y98" s="147"/>
      <c r="Z98" s="117"/>
      <c r="AB98" s="62"/>
      <c r="AC98" s="62"/>
      <c r="AD98" s="62"/>
      <c r="AE98" s="123"/>
      <c r="AF98" s="123"/>
    </row>
    <row r="99" spans="1:32" ht="12.75">
      <c r="A99" s="275"/>
      <c r="B99" s="292"/>
      <c r="C99" s="289"/>
      <c r="D99" s="289"/>
      <c r="E99" s="289"/>
      <c r="F99" s="289"/>
      <c r="G99" s="289"/>
      <c r="H99" s="289"/>
      <c r="I99" s="290"/>
      <c r="M99" s="104"/>
      <c r="N99" s="38"/>
      <c r="O99" s="106"/>
      <c r="P99" s="72"/>
      <c r="V99" s="98"/>
      <c r="W99" s="130"/>
      <c r="X99" s="203"/>
      <c r="Y99" s="147"/>
      <c r="Z99" s="117"/>
      <c r="AB99" s="62"/>
      <c r="AC99" s="62"/>
      <c r="AD99" s="62"/>
      <c r="AE99" s="123"/>
      <c r="AF99" s="123"/>
    </row>
    <row r="100" spans="1:32" ht="12.75">
      <c r="A100" s="275"/>
      <c r="B100" s="295"/>
      <c r="C100" s="289"/>
      <c r="D100" s="289"/>
      <c r="E100" s="289"/>
      <c r="F100" s="289"/>
      <c r="G100" s="289"/>
      <c r="H100" s="289"/>
      <c r="I100" s="290"/>
      <c r="M100" s="104"/>
      <c r="N100" s="38"/>
      <c r="O100" s="106"/>
      <c r="P100" s="72"/>
      <c r="V100" s="98"/>
      <c r="W100" s="130"/>
      <c r="X100" s="203"/>
      <c r="Y100" s="147"/>
      <c r="Z100" s="117"/>
      <c r="AB100" s="62"/>
      <c r="AC100" s="62"/>
      <c r="AD100" s="62"/>
      <c r="AE100" s="123"/>
      <c r="AF100" s="123"/>
    </row>
    <row r="101" spans="1:32" ht="12.75">
      <c r="A101" s="275"/>
      <c r="B101" s="289"/>
      <c r="C101" s="289"/>
      <c r="D101" s="289"/>
      <c r="E101" s="289"/>
      <c r="F101" s="289"/>
      <c r="G101" s="289"/>
      <c r="H101" s="289"/>
      <c r="I101" s="290"/>
      <c r="M101" s="69"/>
      <c r="N101" s="38"/>
      <c r="O101" s="70"/>
      <c r="P101" s="72"/>
      <c r="S101" s="51"/>
      <c r="V101" s="98"/>
      <c r="W101" s="130"/>
      <c r="X101" s="203"/>
      <c r="Y101" s="147"/>
      <c r="Z101" s="117"/>
      <c r="AB101" s="62"/>
      <c r="AC101" s="62"/>
      <c r="AD101" s="62"/>
      <c r="AE101" s="123"/>
      <c r="AF101" s="123"/>
    </row>
    <row r="102" spans="1:32" ht="12.75">
      <c r="A102" s="275"/>
      <c r="B102" s="289"/>
      <c r="C102" s="289"/>
      <c r="D102" s="289"/>
      <c r="E102" s="289"/>
      <c r="F102" s="289"/>
      <c r="G102" s="289"/>
      <c r="H102" s="296"/>
      <c r="I102" s="290"/>
      <c r="M102" s="69"/>
      <c r="N102" s="38"/>
      <c r="O102" s="70"/>
      <c r="P102" s="72"/>
      <c r="R102" s="106"/>
      <c r="V102" s="98"/>
      <c r="W102" s="130"/>
      <c r="X102" s="203"/>
      <c r="Y102" s="147"/>
      <c r="Z102" s="117"/>
      <c r="AB102" s="62"/>
      <c r="AC102" s="62"/>
      <c r="AD102" s="62"/>
      <c r="AE102" s="123"/>
      <c r="AF102" s="123"/>
    </row>
    <row r="103" spans="1:32" ht="12.75">
      <c r="A103" s="275"/>
      <c r="B103" s="289"/>
      <c r="C103" s="289"/>
      <c r="D103" s="289"/>
      <c r="E103" s="289"/>
      <c r="F103" s="289"/>
      <c r="G103" s="289"/>
      <c r="H103" s="289"/>
      <c r="I103" s="290"/>
      <c r="M103" s="106"/>
      <c r="O103" s="96"/>
      <c r="P103" s="106"/>
      <c r="V103" s="98"/>
      <c r="W103" s="130"/>
      <c r="X103" s="203"/>
      <c r="Y103" s="147"/>
      <c r="Z103" s="117"/>
      <c r="AB103" s="62"/>
      <c r="AC103" s="62"/>
      <c r="AD103" s="62"/>
      <c r="AE103" s="123"/>
      <c r="AF103" s="123"/>
    </row>
    <row r="104" spans="1:32" ht="12.75">
      <c r="A104" s="276"/>
      <c r="B104" s="297"/>
      <c r="C104" s="297"/>
      <c r="D104" s="297"/>
      <c r="E104" s="297"/>
      <c r="F104" s="297"/>
      <c r="G104" s="297"/>
      <c r="H104" s="297"/>
      <c r="I104" s="298"/>
      <c r="M104" s="69"/>
      <c r="N104" s="121"/>
      <c r="O104" s="106"/>
      <c r="P104" s="106"/>
      <c r="V104" s="98"/>
      <c r="W104" s="130"/>
      <c r="X104" s="203"/>
      <c r="Y104" s="147"/>
      <c r="Z104" s="117"/>
      <c r="AB104" s="62"/>
      <c r="AC104" s="62"/>
      <c r="AD104" s="62"/>
      <c r="AE104" s="123"/>
      <c r="AF104" s="123"/>
    </row>
    <row r="105" spans="1:32" ht="12.75">
      <c r="A105" s="10"/>
      <c r="B105" s="10"/>
      <c r="C105" s="10"/>
      <c r="D105" s="10"/>
      <c r="E105" s="6"/>
      <c r="F105" s="6"/>
      <c r="G105" s="6"/>
      <c r="H105" s="33"/>
      <c r="I105" s="34"/>
      <c r="M105" s="69"/>
      <c r="N105" s="121"/>
      <c r="O105" s="106"/>
      <c r="P105" s="106"/>
      <c r="V105" s="98"/>
      <c r="W105" s="130"/>
      <c r="X105" s="203"/>
      <c r="Y105" s="147"/>
      <c r="Z105" s="117"/>
      <c r="AB105" s="62"/>
      <c r="AC105" s="62"/>
      <c r="AD105" s="62"/>
      <c r="AE105" s="123"/>
      <c r="AF105" s="123"/>
    </row>
    <row r="106" spans="1:32" ht="12.75">
      <c r="A106" s="6"/>
      <c r="B106" s="6"/>
      <c r="C106" s="6"/>
      <c r="D106" s="6"/>
      <c r="E106" s="149"/>
      <c r="F106" s="149"/>
      <c r="G106" s="149"/>
      <c r="H106" s="150"/>
      <c r="I106" s="35"/>
      <c r="M106" s="69"/>
      <c r="N106" s="121"/>
      <c r="O106" s="106"/>
      <c r="P106" s="106"/>
      <c r="V106" s="98"/>
      <c r="W106" s="130"/>
      <c r="X106" s="203"/>
      <c r="Y106" s="147"/>
      <c r="Z106" s="117"/>
      <c r="AB106" s="62"/>
      <c r="AC106" s="62"/>
      <c r="AD106" s="62"/>
      <c r="AE106" s="123"/>
      <c r="AF106" s="123"/>
    </row>
    <row r="107" spans="1:32" ht="12.75">
      <c r="A107" s="6"/>
      <c r="B107" s="18"/>
      <c r="C107" s="6"/>
      <c r="D107" s="6"/>
      <c r="E107" s="149"/>
      <c r="F107" s="149"/>
      <c r="G107" s="149"/>
      <c r="H107" s="150"/>
      <c r="I107" s="36"/>
      <c r="M107" s="104"/>
      <c r="N107" s="119"/>
      <c r="O107" s="106"/>
      <c r="P107" s="106"/>
      <c r="V107" s="98"/>
      <c r="W107" s="130"/>
      <c r="X107" s="203"/>
      <c r="Y107" s="147"/>
      <c r="Z107" s="117"/>
      <c r="AB107" s="62"/>
      <c r="AC107" s="62"/>
      <c r="AD107" s="62"/>
      <c r="AE107" s="123"/>
      <c r="AF107" s="123"/>
    </row>
    <row r="108" spans="1:32" ht="12.75">
      <c r="A108" s="6"/>
      <c r="B108" s="18"/>
      <c r="C108" s="6"/>
      <c r="D108" s="6"/>
      <c r="E108" s="149"/>
      <c r="F108" s="149"/>
      <c r="G108" s="149"/>
      <c r="H108" s="150"/>
      <c r="I108" s="36"/>
      <c r="M108" s="114"/>
      <c r="N108" s="119"/>
      <c r="O108" s="96"/>
      <c r="P108" s="111"/>
      <c r="V108" s="98"/>
      <c r="W108" s="130"/>
      <c r="X108" s="203"/>
      <c r="Y108" s="147"/>
      <c r="Z108" s="117"/>
      <c r="AB108" s="62"/>
      <c r="AC108" s="62"/>
      <c r="AD108" s="62"/>
      <c r="AE108" s="123"/>
      <c r="AF108" s="123"/>
    </row>
    <row r="109" spans="1:32" ht="12.75">
      <c r="A109" s="12"/>
      <c r="B109" s="29"/>
      <c r="C109" s="18"/>
      <c r="D109" s="6"/>
      <c r="E109" s="149"/>
      <c r="F109" s="149"/>
      <c r="G109" s="149"/>
      <c r="H109" s="150"/>
      <c r="I109" s="10"/>
      <c r="M109" s="104"/>
      <c r="N109" s="100"/>
      <c r="O109" s="106"/>
      <c r="P109" s="106"/>
      <c r="V109" s="98"/>
      <c r="W109" s="130"/>
      <c r="X109" s="203"/>
      <c r="Y109" s="147"/>
      <c r="Z109" s="117"/>
      <c r="AB109" s="62"/>
      <c r="AC109" s="62"/>
      <c r="AD109" s="62"/>
      <c r="AE109" s="123"/>
      <c r="AF109" s="123"/>
    </row>
    <row r="110" spans="1:32" ht="12.75">
      <c r="A110" s="6"/>
      <c r="B110" s="6"/>
      <c r="C110" s="6"/>
      <c r="D110" s="19"/>
      <c r="E110" s="149"/>
      <c r="F110" s="149"/>
      <c r="G110" s="149"/>
      <c r="H110" s="149"/>
      <c r="I110" s="10"/>
      <c r="M110" s="104"/>
      <c r="N110" s="100"/>
      <c r="O110" s="106"/>
      <c r="P110" s="106"/>
      <c r="V110" s="98"/>
      <c r="W110" s="130"/>
      <c r="X110" s="203"/>
      <c r="Y110" s="147"/>
      <c r="Z110" s="117"/>
      <c r="AB110" s="62"/>
      <c r="AC110" s="62"/>
      <c r="AD110" s="62"/>
      <c r="AE110" s="123"/>
      <c r="AF110" s="123"/>
    </row>
    <row r="111" spans="1:32" ht="12.75">
      <c r="A111" s="149"/>
      <c r="B111" s="149"/>
      <c r="C111" s="149"/>
      <c r="D111" s="149"/>
      <c r="E111" s="149"/>
      <c r="F111" s="149"/>
      <c r="G111" s="149"/>
      <c r="H111" s="149"/>
      <c r="I111" s="10"/>
      <c r="M111" s="104"/>
      <c r="N111" s="119"/>
      <c r="O111" s="106"/>
      <c r="P111" s="106"/>
      <c r="V111" s="98"/>
      <c r="W111" s="130"/>
      <c r="X111" s="203"/>
      <c r="Y111" s="147"/>
      <c r="Z111" s="117"/>
      <c r="AB111" s="62"/>
      <c r="AC111" s="62"/>
      <c r="AD111" s="62"/>
      <c r="AE111" s="123"/>
      <c r="AF111" s="123"/>
    </row>
    <row r="112" spans="1:32" ht="12.75">
      <c r="A112" s="6"/>
      <c r="B112" s="12"/>
      <c r="C112" s="18"/>
      <c r="D112" s="18"/>
      <c r="E112" s="10"/>
      <c r="F112" s="10"/>
      <c r="G112" s="10"/>
      <c r="H112" s="10"/>
      <c r="I112" s="10"/>
      <c r="M112" s="114"/>
      <c r="N112" s="119"/>
      <c r="O112" s="96"/>
      <c r="P112" s="111"/>
      <c r="V112" s="98"/>
      <c r="W112" s="130"/>
      <c r="X112" s="203"/>
      <c r="Y112" s="147"/>
      <c r="Z112" s="117"/>
      <c r="AB112" s="62"/>
      <c r="AC112" s="62"/>
      <c r="AD112" s="62"/>
      <c r="AE112" s="123"/>
      <c r="AF112" s="123"/>
    </row>
    <row r="113" spans="1:32" ht="12.75">
      <c r="A113" s="12"/>
      <c r="B113" s="38"/>
      <c r="C113" s="18"/>
      <c r="D113" s="18"/>
      <c r="E113" s="10"/>
      <c r="F113" s="10"/>
      <c r="G113" s="10"/>
      <c r="H113" s="10"/>
      <c r="I113" s="10"/>
      <c r="M113" s="114"/>
      <c r="N113" s="102"/>
      <c r="O113" s="96"/>
      <c r="P113" s="111"/>
      <c r="V113" s="98"/>
      <c r="W113" s="130"/>
      <c r="X113" s="203"/>
      <c r="Y113" s="147"/>
      <c r="Z113" s="117"/>
      <c r="AB113" s="62"/>
      <c r="AC113" s="62"/>
      <c r="AD113" s="62"/>
      <c r="AE113" s="123"/>
      <c r="AF113" s="123"/>
    </row>
    <row r="114" spans="1:32" ht="12.75">
      <c r="A114" s="12"/>
      <c r="B114" s="38"/>
      <c r="C114" s="18"/>
      <c r="D114" s="18"/>
      <c r="E114" s="10"/>
      <c r="F114" s="10"/>
      <c r="G114" s="10"/>
      <c r="H114" s="39"/>
      <c r="I114" s="28"/>
      <c r="M114" s="114"/>
      <c r="N114" s="119"/>
      <c r="O114" s="96"/>
      <c r="P114" s="51"/>
      <c r="V114" s="98"/>
      <c r="W114" s="130"/>
      <c r="X114" s="203"/>
      <c r="Y114" s="147"/>
      <c r="Z114" s="117"/>
      <c r="AB114" s="62"/>
      <c r="AC114" s="62"/>
      <c r="AD114" s="62"/>
      <c r="AE114" s="123"/>
      <c r="AF114" s="123"/>
    </row>
    <row r="115" spans="1:32" ht="12.75">
      <c r="A115" s="10"/>
      <c r="B115" s="10"/>
      <c r="C115" s="10"/>
      <c r="D115" s="10"/>
      <c r="E115" s="10"/>
      <c r="F115" s="10"/>
      <c r="G115" s="10"/>
      <c r="H115" s="10"/>
      <c r="I115" s="10"/>
      <c r="M115" s="104"/>
      <c r="N115" s="108"/>
      <c r="O115" s="106"/>
      <c r="P115" s="106"/>
      <c r="V115" s="98"/>
      <c r="W115" s="130"/>
      <c r="X115" s="203"/>
      <c r="Y115" s="147"/>
      <c r="Z115" s="117"/>
      <c r="AB115" s="62"/>
      <c r="AC115" s="62"/>
      <c r="AD115" s="62"/>
      <c r="AE115" s="123"/>
      <c r="AF115" s="123"/>
    </row>
    <row r="116" spans="1:32" ht="12.75">
      <c r="A116" s="6"/>
      <c r="B116" s="6"/>
      <c r="C116" s="6"/>
      <c r="D116" s="18"/>
      <c r="E116" s="6"/>
      <c r="F116" s="6"/>
      <c r="G116" s="6"/>
      <c r="H116" s="6"/>
      <c r="I116" s="6"/>
      <c r="M116" s="104"/>
      <c r="N116" s="108"/>
      <c r="O116" s="106"/>
      <c r="P116" s="106"/>
      <c r="V116" s="98"/>
      <c r="W116" s="130"/>
      <c r="X116" s="203"/>
      <c r="Y116" s="147"/>
      <c r="Z116" s="117"/>
      <c r="AB116" s="62"/>
      <c r="AC116" s="62"/>
      <c r="AD116" s="62"/>
      <c r="AE116" s="123"/>
      <c r="AF116" s="123"/>
    </row>
    <row r="117" spans="1:32" ht="12.75">
      <c r="A117" s="40"/>
      <c r="B117" s="38"/>
      <c r="C117" s="26"/>
      <c r="D117" s="26"/>
      <c r="E117" s="10"/>
      <c r="F117" s="10"/>
      <c r="G117" s="10"/>
      <c r="H117" s="10"/>
      <c r="I117" s="10"/>
      <c r="M117" s="114"/>
      <c r="N117" s="119"/>
      <c r="O117" s="96"/>
      <c r="P117" s="111"/>
      <c r="V117" s="98"/>
      <c r="W117" s="130"/>
      <c r="X117" s="203"/>
      <c r="Y117" s="147"/>
      <c r="Z117" s="117"/>
      <c r="AB117" s="62"/>
      <c r="AC117" s="62"/>
      <c r="AD117" s="62"/>
      <c r="AE117" s="123"/>
      <c r="AF117" s="123"/>
    </row>
    <row r="118" spans="1:32" ht="12.75">
      <c r="A118" s="40"/>
      <c r="B118" s="41"/>
      <c r="C118" s="26"/>
      <c r="D118" s="26"/>
      <c r="E118" s="10"/>
      <c r="F118" s="10"/>
      <c r="G118" s="10"/>
      <c r="H118" s="10"/>
      <c r="I118" s="10"/>
      <c r="M118" s="104"/>
      <c r="N118" s="105"/>
      <c r="O118" s="106"/>
      <c r="P118" s="46"/>
      <c r="V118" s="98"/>
      <c r="W118" s="130"/>
      <c r="X118" s="203"/>
      <c r="Y118" s="147"/>
      <c r="Z118" s="117"/>
      <c r="AB118" s="62"/>
      <c r="AC118" s="62"/>
      <c r="AD118" s="62"/>
      <c r="AE118" s="123"/>
      <c r="AF118" s="123"/>
    </row>
    <row r="119" spans="1:32" ht="12.75">
      <c r="A119" s="42"/>
      <c r="B119" s="41"/>
      <c r="C119" s="26"/>
      <c r="D119" s="27"/>
      <c r="E119" s="10"/>
      <c r="F119" s="10"/>
      <c r="G119" s="10"/>
      <c r="H119" s="10"/>
      <c r="I119" s="10"/>
      <c r="O119" s="96"/>
      <c r="P119" s="46"/>
      <c r="V119" s="98"/>
      <c r="W119" s="130"/>
      <c r="X119" s="203"/>
      <c r="Y119" s="147"/>
      <c r="Z119" s="117"/>
      <c r="AB119" s="62"/>
      <c r="AC119" s="62"/>
      <c r="AD119" s="62"/>
      <c r="AE119" s="123"/>
      <c r="AF119" s="123"/>
    </row>
    <row r="120" spans="1:32" ht="12.75">
      <c r="A120" s="42"/>
      <c r="B120" s="41"/>
      <c r="C120" s="26"/>
      <c r="D120" s="27"/>
      <c r="E120" s="10"/>
      <c r="F120" s="10"/>
      <c r="G120" s="10"/>
      <c r="H120" s="10"/>
      <c r="I120" s="10"/>
      <c r="M120" s="106"/>
      <c r="O120" s="96"/>
      <c r="P120" s="122"/>
      <c r="V120" s="98"/>
      <c r="W120" s="130"/>
      <c r="X120" s="203"/>
      <c r="Y120" s="147"/>
      <c r="Z120" s="117"/>
      <c r="AB120" s="62"/>
      <c r="AC120" s="62"/>
      <c r="AD120" s="62"/>
      <c r="AE120" s="123"/>
      <c r="AF120" s="123"/>
    </row>
    <row r="121" spans="1:32" ht="12.75">
      <c r="A121" s="10"/>
      <c r="B121" s="10"/>
      <c r="C121" s="10"/>
      <c r="D121" s="10"/>
      <c r="E121" s="10"/>
      <c r="F121" s="10"/>
      <c r="G121" s="43"/>
      <c r="H121" s="10"/>
      <c r="I121" s="10"/>
      <c r="M121" s="104"/>
      <c r="N121" s="105"/>
      <c r="O121" s="106"/>
      <c r="P121" s="106"/>
      <c r="V121" s="98"/>
      <c r="W121" s="130"/>
      <c r="X121" s="203"/>
      <c r="Y121" s="147"/>
      <c r="Z121" s="117"/>
      <c r="AB121" s="62"/>
      <c r="AC121" s="62"/>
      <c r="AD121" s="62"/>
      <c r="AE121" s="123"/>
      <c r="AF121" s="123"/>
    </row>
    <row r="122" spans="1:32" ht="12.75">
      <c r="A122" s="44"/>
      <c r="B122" s="38"/>
      <c r="C122" s="18"/>
      <c r="D122" s="18"/>
      <c r="E122" s="6"/>
      <c r="F122" s="43"/>
      <c r="G122" s="6"/>
      <c r="H122" s="6"/>
      <c r="I122" s="6"/>
      <c r="M122" s="104"/>
      <c r="N122" s="105"/>
      <c r="O122" s="106"/>
      <c r="P122" s="106"/>
      <c r="V122" s="98"/>
      <c r="W122" s="130"/>
      <c r="X122" s="203"/>
      <c r="Y122" s="147"/>
      <c r="Z122" s="117"/>
      <c r="AB122" s="62"/>
      <c r="AC122" s="62"/>
      <c r="AD122" s="62"/>
      <c r="AE122" s="123"/>
      <c r="AF122" s="123"/>
    </row>
    <row r="123" spans="1:32" ht="12.75">
      <c r="A123" s="10"/>
      <c r="B123" s="10"/>
      <c r="C123" s="10"/>
      <c r="D123" s="10"/>
      <c r="E123" s="10"/>
      <c r="F123" s="10"/>
      <c r="G123" s="10"/>
      <c r="H123" s="10"/>
      <c r="I123" s="10"/>
      <c r="M123" s="104"/>
      <c r="N123" s="105"/>
      <c r="O123" s="106"/>
      <c r="P123" s="106"/>
      <c r="V123" s="98"/>
      <c r="W123" s="130"/>
      <c r="X123" s="203"/>
      <c r="Y123" s="147"/>
      <c r="Z123" s="117"/>
      <c r="AB123" s="62"/>
      <c r="AC123" s="62"/>
      <c r="AD123" s="62"/>
      <c r="AE123" s="123"/>
      <c r="AF123" s="123"/>
    </row>
    <row r="124" spans="1:32" ht="12.75">
      <c r="A124" s="37"/>
      <c r="B124" s="45"/>
      <c r="C124" s="18"/>
      <c r="D124" s="26"/>
      <c r="E124" s="6"/>
      <c r="F124" s="6"/>
      <c r="G124" s="6"/>
      <c r="H124" s="6"/>
      <c r="I124" s="10"/>
      <c r="M124" s="104"/>
      <c r="N124" s="105"/>
      <c r="O124" s="106"/>
      <c r="P124" s="106"/>
      <c r="V124" s="98"/>
      <c r="W124" s="130"/>
      <c r="X124" s="203"/>
      <c r="Y124" s="147"/>
      <c r="Z124" s="117"/>
      <c r="AB124" s="62"/>
      <c r="AC124" s="62"/>
      <c r="AD124" s="62"/>
      <c r="AE124" s="123"/>
      <c r="AF124" s="123"/>
    </row>
    <row r="125" spans="1:32" ht="12.75">
      <c r="A125" s="37"/>
      <c r="B125" s="38"/>
      <c r="C125" s="18"/>
      <c r="D125" s="26"/>
      <c r="E125" s="6"/>
      <c r="F125" s="6"/>
      <c r="G125" s="6"/>
      <c r="H125" s="6"/>
      <c r="I125" s="10"/>
      <c r="M125" s="106"/>
      <c r="O125" s="96"/>
      <c r="P125" s="106"/>
      <c r="V125" s="98"/>
      <c r="W125" s="130"/>
      <c r="X125" s="203"/>
      <c r="Y125" s="147"/>
      <c r="Z125" s="117"/>
      <c r="AB125" s="62"/>
      <c r="AC125" s="62"/>
      <c r="AD125" s="62"/>
      <c r="AE125" s="123"/>
      <c r="AF125" s="123"/>
    </row>
    <row r="126" spans="1:32" ht="12.75">
      <c r="A126" s="22"/>
      <c r="B126" s="38"/>
      <c r="C126" s="29"/>
      <c r="D126" s="26"/>
      <c r="E126" s="6"/>
      <c r="F126" s="6"/>
      <c r="G126" s="6"/>
      <c r="H126" s="6"/>
      <c r="I126" s="10"/>
      <c r="M126" s="104"/>
      <c r="N126" s="108"/>
      <c r="O126" s="106"/>
      <c r="P126" s="106"/>
      <c r="V126" s="98"/>
      <c r="W126" s="130"/>
      <c r="X126" s="203"/>
      <c r="Y126" s="147"/>
      <c r="Z126" s="117"/>
      <c r="AB126" s="62"/>
      <c r="AC126" s="62"/>
      <c r="AD126" s="62"/>
      <c r="AE126" s="123"/>
      <c r="AF126" s="123"/>
    </row>
    <row r="127" spans="1:32" ht="12.75">
      <c r="A127" s="28"/>
      <c r="B127" s="40"/>
      <c r="C127" s="18"/>
      <c r="D127" s="6"/>
      <c r="E127" s="6"/>
      <c r="F127" s="6"/>
      <c r="G127" s="6"/>
      <c r="H127" s="6"/>
      <c r="I127" s="28"/>
      <c r="M127" s="104"/>
      <c r="N127" s="105"/>
      <c r="O127" s="106"/>
      <c r="P127" s="106"/>
      <c r="V127" s="98"/>
      <c r="W127" s="130"/>
      <c r="X127" s="203"/>
      <c r="Y127" s="147"/>
      <c r="Z127" s="117"/>
      <c r="AB127" s="62"/>
      <c r="AC127" s="62"/>
      <c r="AD127" s="62"/>
      <c r="AE127" s="123"/>
      <c r="AF127" s="123"/>
    </row>
    <row r="128" spans="1:32" ht="12.75">
      <c r="A128" s="40"/>
      <c r="B128" s="38"/>
      <c r="C128" s="18"/>
      <c r="D128" s="18"/>
      <c r="E128" s="6"/>
      <c r="F128" s="6"/>
      <c r="G128" s="6"/>
      <c r="H128" s="6"/>
      <c r="I128" s="28"/>
      <c r="M128" s="104"/>
      <c r="N128" s="105"/>
      <c r="O128" s="106"/>
      <c r="P128" s="106"/>
      <c r="T128" s="108"/>
      <c r="V128" s="98"/>
      <c r="W128" s="130"/>
      <c r="X128" s="203"/>
      <c r="Y128" s="147"/>
      <c r="Z128" s="117"/>
      <c r="AB128" s="62"/>
      <c r="AC128" s="62"/>
      <c r="AD128" s="62"/>
      <c r="AE128" s="123"/>
      <c r="AF128" s="123"/>
    </row>
    <row r="129" spans="1:32" ht="12.75">
      <c r="A129" s="40"/>
      <c r="B129" s="38"/>
      <c r="C129" s="26"/>
      <c r="D129" s="18"/>
      <c r="E129" s="46"/>
      <c r="F129" s="6"/>
      <c r="G129" s="10"/>
      <c r="H129" s="39"/>
      <c r="I129" s="6"/>
      <c r="O129" s="96"/>
      <c r="P129" s="106"/>
      <c r="V129" s="98"/>
      <c r="W129" s="130"/>
      <c r="X129" s="203"/>
      <c r="Y129" s="147"/>
      <c r="Z129" s="117"/>
      <c r="AB129" s="62"/>
      <c r="AC129" s="62"/>
      <c r="AD129" s="62"/>
      <c r="AE129" s="123"/>
      <c r="AF129" s="123"/>
    </row>
    <row r="130" spans="1:32" ht="12.75">
      <c r="A130" s="12"/>
      <c r="B130" s="47"/>
      <c r="C130" s="18"/>
      <c r="D130" s="18"/>
      <c r="E130" s="46"/>
      <c r="F130" s="10"/>
      <c r="G130" s="10"/>
      <c r="H130" s="6"/>
      <c r="I130" s="6"/>
      <c r="M130" s="117"/>
      <c r="N130" s="73"/>
      <c r="O130" s="70"/>
      <c r="P130" s="106"/>
      <c r="V130" s="98"/>
      <c r="W130" s="130"/>
      <c r="X130" s="203"/>
      <c r="Y130" s="147"/>
      <c r="Z130" s="117"/>
      <c r="AB130" s="62"/>
      <c r="AC130" s="62"/>
      <c r="AD130" s="62"/>
      <c r="AE130" s="123"/>
      <c r="AF130" s="123"/>
    </row>
    <row r="131" spans="1:32" ht="12.75">
      <c r="A131" s="40"/>
      <c r="B131" s="38"/>
      <c r="C131" s="18"/>
      <c r="D131" s="18"/>
      <c r="E131" s="6"/>
      <c r="F131" s="10"/>
      <c r="G131" s="39"/>
      <c r="H131" s="28"/>
      <c r="I131" s="6"/>
      <c r="M131" s="104"/>
      <c r="N131" s="108"/>
      <c r="O131" s="106"/>
      <c r="P131" s="106"/>
      <c r="V131" s="98"/>
      <c r="W131" s="130"/>
      <c r="X131" s="203"/>
      <c r="Y131" s="147"/>
      <c r="Z131" s="117"/>
      <c r="AB131" s="62"/>
      <c r="AC131" s="62"/>
      <c r="AD131" s="62"/>
      <c r="AE131" s="123"/>
      <c r="AF131" s="123"/>
    </row>
    <row r="132" spans="1:32" ht="12.75">
      <c r="A132" s="48"/>
      <c r="B132" s="38"/>
      <c r="C132" s="18"/>
      <c r="D132" s="10"/>
      <c r="E132" s="10"/>
      <c r="F132" s="10"/>
      <c r="G132" s="10"/>
      <c r="H132" s="10"/>
      <c r="I132" s="6"/>
      <c r="M132" s="104"/>
      <c r="N132" s="105"/>
      <c r="O132" s="106"/>
      <c r="S132" s="105"/>
      <c r="V132" s="98"/>
      <c r="W132" s="130"/>
      <c r="X132" s="203"/>
      <c r="Y132" s="147"/>
      <c r="Z132" s="117"/>
      <c r="AB132" s="62"/>
      <c r="AC132" s="62"/>
      <c r="AD132" s="62"/>
      <c r="AE132" s="123"/>
      <c r="AF132" s="123"/>
    </row>
    <row r="133" spans="1:32" ht="12.75">
      <c r="A133" s="48"/>
      <c r="B133" s="38"/>
      <c r="C133" s="26"/>
      <c r="D133" s="18"/>
      <c r="E133" s="10"/>
      <c r="F133" s="10"/>
      <c r="G133" s="10"/>
      <c r="H133" s="39"/>
      <c r="I133" s="6"/>
      <c r="M133" s="104"/>
      <c r="N133" s="119"/>
      <c r="O133" s="106"/>
      <c r="P133" s="106"/>
      <c r="S133" s="108"/>
      <c r="V133" s="98"/>
      <c r="W133" s="130"/>
      <c r="X133" s="203"/>
      <c r="Y133" s="147"/>
      <c r="Z133" s="117"/>
      <c r="AB133" s="62"/>
      <c r="AC133" s="62"/>
      <c r="AD133" s="62"/>
      <c r="AE133" s="123"/>
      <c r="AF133" s="123"/>
    </row>
    <row r="134" spans="1:32" ht="12.75">
      <c r="A134" s="26"/>
      <c r="B134" s="28"/>
      <c r="C134" s="28"/>
      <c r="D134" s="26"/>
      <c r="E134" s="28"/>
      <c r="F134" s="28"/>
      <c r="G134" s="28"/>
      <c r="H134" s="6"/>
      <c r="I134" s="6"/>
      <c r="M134" s="104"/>
      <c r="N134" s="105"/>
      <c r="O134" s="106"/>
      <c r="S134" s="105"/>
      <c r="V134" s="98"/>
      <c r="W134" s="130"/>
      <c r="X134" s="203"/>
      <c r="Y134" s="147"/>
      <c r="Z134" s="117"/>
      <c r="AB134" s="62"/>
      <c r="AC134" s="62"/>
      <c r="AD134" s="62"/>
      <c r="AE134" s="123"/>
      <c r="AF134" s="123"/>
    </row>
    <row r="135" spans="1:32" ht="12.75">
      <c r="A135" s="48"/>
      <c r="B135" s="38"/>
      <c r="C135" s="10"/>
      <c r="D135" s="26"/>
      <c r="E135" s="10"/>
      <c r="F135" s="10"/>
      <c r="G135" s="10"/>
      <c r="H135" s="10"/>
      <c r="I135" s="6"/>
      <c r="M135" s="104"/>
      <c r="N135" s="105"/>
      <c r="O135" s="106"/>
      <c r="P135" s="106"/>
      <c r="V135" s="98"/>
      <c r="W135" s="130"/>
      <c r="X135" s="203"/>
      <c r="Y135" s="147"/>
      <c r="Z135" s="117"/>
      <c r="AB135" s="62"/>
      <c r="AC135" s="62"/>
      <c r="AD135" s="62"/>
      <c r="AE135" s="123"/>
      <c r="AF135" s="123"/>
    </row>
    <row r="136" spans="1:32" ht="12.75">
      <c r="A136" s="40"/>
      <c r="B136" s="38"/>
      <c r="C136" s="26"/>
      <c r="D136" s="26"/>
      <c r="E136" s="28"/>
      <c r="F136" s="28"/>
      <c r="G136" s="28"/>
      <c r="H136" s="10"/>
      <c r="I136" s="6"/>
      <c r="O136" s="96"/>
      <c r="P136" s="106"/>
      <c r="V136" s="98"/>
      <c r="W136" s="130"/>
      <c r="X136" s="203"/>
      <c r="Y136" s="147"/>
      <c r="Z136" s="117"/>
      <c r="AB136" s="62"/>
      <c r="AC136" s="62"/>
      <c r="AD136" s="62"/>
      <c r="AE136" s="123"/>
      <c r="AF136" s="123"/>
    </row>
    <row r="137" spans="1:32" ht="12.75">
      <c r="A137" s="42"/>
      <c r="B137" s="41"/>
      <c r="C137" s="26"/>
      <c r="D137" s="27"/>
      <c r="E137" s="28"/>
      <c r="F137" s="28"/>
      <c r="G137" s="10"/>
      <c r="H137" s="10"/>
      <c r="I137" s="10"/>
      <c r="M137" s="104"/>
      <c r="N137" s="105"/>
      <c r="O137" s="106"/>
      <c r="P137" s="106"/>
      <c r="V137" s="98"/>
      <c r="W137" s="130"/>
      <c r="X137" s="203"/>
      <c r="Y137" s="147"/>
      <c r="Z137" s="117"/>
      <c r="AB137" s="62"/>
      <c r="AC137" s="62"/>
      <c r="AD137" s="62"/>
      <c r="AE137" s="123"/>
      <c r="AF137" s="123"/>
    </row>
    <row r="138" spans="1:32" ht="12.75">
      <c r="A138" s="42"/>
      <c r="B138" s="41"/>
      <c r="C138" s="26"/>
      <c r="D138" s="27"/>
      <c r="E138" s="10"/>
      <c r="F138" s="10"/>
      <c r="G138" s="10"/>
      <c r="H138" s="43"/>
      <c r="I138" s="10"/>
      <c r="M138" s="104"/>
      <c r="N138" s="108"/>
      <c r="O138" s="106"/>
      <c r="P138" s="106"/>
      <c r="V138" s="98"/>
      <c r="W138" s="130"/>
      <c r="X138" s="203"/>
      <c r="Y138" s="147"/>
      <c r="Z138" s="117"/>
      <c r="AB138" s="62"/>
      <c r="AC138" s="62"/>
      <c r="AD138" s="62"/>
      <c r="AE138" s="123"/>
      <c r="AF138" s="123"/>
    </row>
    <row r="139" spans="1:32" ht="12.75">
      <c r="A139" s="10"/>
      <c r="B139" s="10"/>
      <c r="C139" s="10"/>
      <c r="D139" s="10"/>
      <c r="E139" s="10"/>
      <c r="F139" s="10"/>
      <c r="G139" s="43"/>
      <c r="H139" s="10"/>
      <c r="I139" s="10"/>
      <c r="M139" s="114"/>
      <c r="N139" s="102"/>
      <c r="O139" s="106"/>
      <c r="P139" s="111"/>
      <c r="V139" s="98"/>
      <c r="W139" s="130"/>
      <c r="X139" s="203"/>
      <c r="Y139" s="147"/>
      <c r="Z139" s="117"/>
      <c r="AB139" s="62"/>
      <c r="AC139" s="62"/>
      <c r="AD139" s="62"/>
      <c r="AE139" s="123"/>
      <c r="AF139" s="123"/>
    </row>
    <row r="140" spans="1:32" ht="12.75">
      <c r="A140" s="26"/>
      <c r="B140" s="28"/>
      <c r="C140" s="6"/>
      <c r="D140" s="6"/>
      <c r="E140" s="10"/>
      <c r="F140" s="43"/>
      <c r="G140" s="10"/>
      <c r="H140" s="10"/>
      <c r="I140" s="10"/>
      <c r="M140" s="114"/>
      <c r="N140" s="102"/>
      <c r="O140" s="106"/>
      <c r="P140" s="111"/>
      <c r="V140" s="98"/>
      <c r="W140" s="130"/>
      <c r="X140" s="203"/>
      <c r="Y140" s="147"/>
      <c r="Z140" s="117"/>
      <c r="AB140" s="62"/>
      <c r="AC140" s="62"/>
      <c r="AD140" s="62"/>
      <c r="AE140" s="123"/>
      <c r="AF140" s="123"/>
    </row>
    <row r="141" spans="1:32" ht="12.75">
      <c r="A141" s="10"/>
      <c r="B141" s="10"/>
      <c r="C141" s="10"/>
      <c r="D141" s="10"/>
      <c r="E141" s="10"/>
      <c r="F141" s="10"/>
      <c r="G141" s="10"/>
      <c r="H141" s="10"/>
      <c r="I141" s="10"/>
      <c r="O141" s="96"/>
      <c r="P141" s="106"/>
      <c r="V141" s="98"/>
      <c r="W141" s="130"/>
      <c r="X141" s="203"/>
      <c r="Y141" s="147"/>
      <c r="Z141" s="117"/>
      <c r="AB141" s="62"/>
      <c r="AC141" s="62"/>
      <c r="AD141" s="62"/>
      <c r="AE141" s="123"/>
      <c r="AF141" s="123"/>
    </row>
    <row r="142" spans="1:32" ht="12.75">
      <c r="A142" s="49"/>
      <c r="B142" s="50"/>
      <c r="C142" s="50"/>
      <c r="D142" s="50"/>
      <c r="E142" s="50"/>
      <c r="F142" s="50"/>
      <c r="G142" s="50"/>
      <c r="H142" s="50"/>
      <c r="I142" s="10"/>
      <c r="M142" s="104"/>
      <c r="N142" s="108"/>
      <c r="O142" s="106"/>
      <c r="P142" s="106"/>
      <c r="V142" s="98"/>
      <c r="W142" s="130"/>
      <c r="X142" s="203"/>
      <c r="Y142" s="147"/>
      <c r="Z142" s="117"/>
      <c r="AB142" s="62"/>
      <c r="AC142" s="62"/>
      <c r="AD142" s="62"/>
      <c r="AE142" s="123"/>
      <c r="AF142" s="123"/>
    </row>
    <row r="143" spans="1:32" ht="12.75">
      <c r="A143" s="40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/>
      <c r="W143" s="130"/>
      <c r="X143" s="203"/>
      <c r="Y143" s="147"/>
      <c r="Z143" s="117"/>
      <c r="AB143" s="62"/>
      <c r="AC143" s="62"/>
      <c r="AD143" s="62"/>
      <c r="AE143" s="123"/>
      <c r="AF143" s="123"/>
    </row>
    <row r="144" spans="1:32" ht="12.75">
      <c r="A144" s="40"/>
      <c r="B144" s="38"/>
      <c r="C144" s="51"/>
      <c r="D144" s="51"/>
      <c r="E144" s="50"/>
      <c r="F144" s="50"/>
      <c r="G144" s="50"/>
      <c r="H144" s="52"/>
      <c r="I144" s="10"/>
      <c r="M144" s="104"/>
      <c r="N144" s="105"/>
      <c r="O144" s="106"/>
      <c r="P144" s="106"/>
      <c r="V144" s="98"/>
      <c r="W144" s="130"/>
      <c r="X144" s="203"/>
      <c r="Y144" s="147"/>
      <c r="Z144" s="117"/>
      <c r="AB144" s="62"/>
      <c r="AC144" s="62"/>
      <c r="AD144" s="62"/>
      <c r="AE144" s="123"/>
      <c r="AF144" s="123"/>
    </row>
    <row r="145" spans="1:32" ht="12.75">
      <c r="A145" s="18"/>
      <c r="B145" s="50"/>
      <c r="C145" s="50"/>
      <c r="D145" s="51"/>
      <c r="E145" s="50"/>
      <c r="F145" s="50"/>
      <c r="G145" s="52"/>
      <c r="H145" s="50"/>
      <c r="I145" s="10"/>
      <c r="M145" s="98"/>
      <c r="O145" s="96"/>
      <c r="P145" s="106"/>
      <c r="V145" s="98"/>
      <c r="W145" s="130"/>
      <c r="X145" s="203"/>
      <c r="Y145" s="147"/>
      <c r="Z145" s="117"/>
      <c r="AB145" s="62"/>
      <c r="AC145" s="62"/>
      <c r="AD145" s="62"/>
      <c r="AE145" s="123"/>
      <c r="AF145" s="123"/>
    </row>
    <row r="146" spans="1:32" ht="12.75">
      <c r="A146" s="12"/>
      <c r="B146" s="38"/>
      <c r="C146" s="51"/>
      <c r="D146" s="51"/>
      <c r="E146" s="50"/>
      <c r="F146" s="50"/>
      <c r="G146" s="50"/>
      <c r="H146" s="50"/>
      <c r="I146" s="10"/>
      <c r="M146" s="104"/>
      <c r="N146" s="108"/>
      <c r="O146" s="106"/>
      <c r="P146" s="106"/>
      <c r="V146" s="98"/>
      <c r="W146" s="130"/>
      <c r="X146" s="203"/>
      <c r="Y146" s="147"/>
      <c r="Z146" s="117"/>
      <c r="AB146" s="62"/>
      <c r="AC146" s="62"/>
      <c r="AD146" s="62"/>
      <c r="AE146" s="123"/>
      <c r="AF146" s="123"/>
    </row>
    <row r="147" spans="1:32" ht="12.75">
      <c r="A147" s="12"/>
      <c r="B147" s="38"/>
      <c r="C147" s="51"/>
      <c r="D147" s="51"/>
      <c r="E147" s="50"/>
      <c r="F147" s="50"/>
      <c r="G147" s="50"/>
      <c r="H147" s="50"/>
      <c r="I147" s="10"/>
      <c r="M147" s="104"/>
      <c r="N147" s="105"/>
      <c r="O147" s="106"/>
      <c r="P147" s="106"/>
      <c r="V147" s="98"/>
      <c r="W147" s="130"/>
      <c r="X147" s="203"/>
      <c r="Y147" s="147"/>
      <c r="Z147" s="117"/>
      <c r="AB147" s="62"/>
      <c r="AC147" s="62"/>
      <c r="AD147" s="62"/>
      <c r="AE147" s="123"/>
      <c r="AF147" s="123"/>
    </row>
    <row r="148" spans="1:32" ht="12.75">
      <c r="A148" s="44"/>
      <c r="B148" s="36"/>
      <c r="C148" s="51"/>
      <c r="D148" s="50"/>
      <c r="E148" s="50"/>
      <c r="F148" s="50"/>
      <c r="G148" s="50"/>
      <c r="H148" s="52"/>
      <c r="I148" s="10"/>
      <c r="M148" s="104"/>
      <c r="N148" s="108"/>
      <c r="O148" s="106"/>
      <c r="P148" s="106"/>
      <c r="V148" s="98"/>
      <c r="W148" s="130"/>
      <c r="X148" s="203"/>
      <c r="Y148" s="147"/>
      <c r="Z148" s="117"/>
      <c r="AB148" s="62"/>
      <c r="AC148" s="62"/>
      <c r="AD148" s="62"/>
      <c r="AE148" s="123"/>
      <c r="AF148" s="123"/>
    </row>
    <row r="149" spans="1:32" ht="12.75">
      <c r="A149" s="10"/>
      <c r="B149" s="50"/>
      <c r="C149" s="50"/>
      <c r="D149" s="50"/>
      <c r="E149" s="50"/>
      <c r="F149" s="50"/>
      <c r="G149" s="50"/>
      <c r="H149" s="50"/>
      <c r="I149" s="10"/>
      <c r="M149" s="114"/>
      <c r="N149" s="108"/>
      <c r="O149" s="106"/>
      <c r="P149" s="111"/>
      <c r="V149" s="98"/>
      <c r="W149" s="130"/>
      <c r="X149" s="203"/>
      <c r="Y149" s="147"/>
      <c r="Z149" s="117"/>
      <c r="AB149" s="62"/>
      <c r="AC149" s="62"/>
      <c r="AD149" s="62"/>
      <c r="AE149" s="123"/>
      <c r="AF149" s="123"/>
    </row>
    <row r="150" spans="1:32" ht="12.75">
      <c r="A150" s="53"/>
      <c r="B150" s="38"/>
      <c r="C150" s="54"/>
      <c r="D150" s="51"/>
      <c r="E150" s="50"/>
      <c r="F150" s="50"/>
      <c r="G150" s="50"/>
      <c r="H150" s="50"/>
      <c r="I150" s="10"/>
      <c r="M150" s="114"/>
      <c r="N150" s="102"/>
      <c r="O150" s="106"/>
      <c r="P150" s="111"/>
      <c r="V150" s="98"/>
      <c r="W150" s="130"/>
      <c r="X150" s="203"/>
      <c r="Y150" s="147"/>
      <c r="Z150" s="117"/>
      <c r="AB150" s="62"/>
      <c r="AC150" s="62"/>
      <c r="AD150" s="62"/>
      <c r="AE150" s="123"/>
      <c r="AF150" s="123"/>
    </row>
    <row r="151" spans="1:32" ht="12.75">
      <c r="A151" s="53"/>
      <c r="B151" s="38"/>
      <c r="C151" s="51"/>
      <c r="D151" s="51"/>
      <c r="E151" s="50"/>
      <c r="F151" s="50"/>
      <c r="G151" s="50"/>
      <c r="H151" s="50"/>
      <c r="I151" s="10"/>
      <c r="M151" s="50"/>
      <c r="O151" s="96"/>
      <c r="P151" s="106"/>
      <c r="V151" s="98"/>
      <c r="W151" s="130"/>
      <c r="X151" s="203"/>
      <c r="Y151" s="147"/>
      <c r="Z151" s="117"/>
      <c r="AB151" s="62"/>
      <c r="AC151" s="62"/>
      <c r="AD151" s="62"/>
      <c r="AE151" s="123"/>
      <c r="AF151" s="123"/>
    </row>
    <row r="152" spans="1:32" ht="12.75">
      <c r="A152" s="18"/>
      <c r="B152" s="50"/>
      <c r="C152" s="50"/>
      <c r="D152" s="50"/>
      <c r="E152" s="50"/>
      <c r="F152" s="50"/>
      <c r="G152" s="50"/>
      <c r="H152" s="50"/>
      <c r="I152" s="10"/>
      <c r="M152" s="104"/>
      <c r="N152" s="105"/>
      <c r="O152" s="106"/>
      <c r="P152" s="106"/>
      <c r="V152" s="98"/>
      <c r="W152" s="130"/>
      <c r="X152" s="203"/>
      <c r="Y152" s="147"/>
      <c r="Z152" s="117"/>
      <c r="AB152" s="62"/>
      <c r="AC152" s="62"/>
      <c r="AD152" s="62"/>
      <c r="AE152" s="123"/>
      <c r="AF152" s="123"/>
    </row>
    <row r="153" spans="1:32" ht="12.75">
      <c r="A153" s="55"/>
      <c r="B153" s="56"/>
      <c r="C153" s="8"/>
      <c r="D153" s="8"/>
      <c r="E153" s="8"/>
      <c r="F153" s="8"/>
      <c r="G153" s="8"/>
      <c r="H153" s="8"/>
      <c r="I153" s="8"/>
      <c r="M153" s="104"/>
      <c r="N153" s="105"/>
      <c r="O153" s="106"/>
      <c r="P153" s="106"/>
      <c r="V153" s="98"/>
      <c r="W153" s="130"/>
      <c r="X153" s="203"/>
      <c r="Y153" s="147"/>
      <c r="Z153" s="117"/>
      <c r="AB153" s="62"/>
      <c r="AC153" s="62"/>
      <c r="AD153" s="62"/>
      <c r="AE153" s="123"/>
      <c r="AF153" s="123"/>
    </row>
    <row r="154" spans="1:32" ht="12.75">
      <c r="A154" s="10"/>
      <c r="B154" s="10"/>
      <c r="C154" s="10"/>
      <c r="D154" s="10"/>
      <c r="E154" s="10"/>
      <c r="F154" s="10"/>
      <c r="G154" s="10"/>
      <c r="H154" s="10"/>
      <c r="I154" s="32"/>
      <c r="M154" s="50"/>
      <c r="O154" s="96"/>
      <c r="P154" s="106"/>
      <c r="V154" s="98"/>
      <c r="W154" s="130"/>
      <c r="X154" s="203"/>
      <c r="Y154" s="147"/>
      <c r="Z154" s="117"/>
      <c r="AB154" s="62"/>
      <c r="AC154" s="62"/>
      <c r="AD154" s="62"/>
      <c r="AE154" s="123"/>
      <c r="AF154" s="123"/>
    </row>
    <row r="155" spans="1:32" ht="12.75">
      <c r="A155" s="10"/>
      <c r="B155" s="10"/>
      <c r="C155" s="10"/>
      <c r="D155" s="10"/>
      <c r="E155" s="10"/>
      <c r="F155" s="10"/>
      <c r="G155" s="10"/>
      <c r="H155" s="33"/>
      <c r="I155" s="34"/>
      <c r="M155" s="104"/>
      <c r="N155" s="100"/>
      <c r="O155" s="106"/>
      <c r="P155" s="106"/>
      <c r="V155" s="98"/>
      <c r="W155" s="130"/>
      <c r="X155" s="203"/>
      <c r="Y155" s="147"/>
      <c r="Z155" s="117"/>
      <c r="AB155" s="62"/>
      <c r="AC155" s="62"/>
      <c r="AD155" s="62"/>
      <c r="AE155" s="123"/>
      <c r="AF155" s="123"/>
    </row>
    <row r="156" spans="1:32" ht="12.75">
      <c r="A156" s="44"/>
      <c r="B156" s="10"/>
      <c r="C156" s="10"/>
      <c r="D156" s="10"/>
      <c r="E156" s="10"/>
      <c r="F156" s="10"/>
      <c r="G156" s="10"/>
      <c r="H156" s="33"/>
      <c r="I156" s="35"/>
      <c r="M156" s="104"/>
      <c r="N156" s="100"/>
      <c r="O156" s="106"/>
      <c r="P156" s="106"/>
      <c r="V156" s="98"/>
      <c r="W156" s="130"/>
      <c r="X156" s="203"/>
      <c r="Y156" s="147"/>
      <c r="Z156" s="117"/>
      <c r="AB156" s="62"/>
      <c r="AC156" s="62"/>
      <c r="AD156" s="62"/>
      <c r="AE156" s="123"/>
      <c r="AF156" s="123"/>
    </row>
    <row r="157" spans="1:32" ht="12.75">
      <c r="A157" s="40"/>
      <c r="B157" s="38"/>
      <c r="C157" s="26"/>
      <c r="D157" s="26"/>
      <c r="E157" s="10"/>
      <c r="F157" s="28"/>
      <c r="G157" s="10"/>
      <c r="H157" s="57"/>
      <c r="I157" s="36"/>
      <c r="M157" s="104"/>
      <c r="N157" s="105"/>
      <c r="O157" s="106"/>
      <c r="P157" s="106"/>
      <c r="V157" s="98"/>
      <c r="W157" s="130"/>
      <c r="X157" s="203"/>
      <c r="Y157" s="147"/>
      <c r="Z157" s="117"/>
      <c r="AB157" s="62"/>
      <c r="AC157" s="62"/>
      <c r="AD157" s="62"/>
      <c r="AE157" s="123"/>
      <c r="AF157" s="123"/>
    </row>
    <row r="158" spans="1:32" ht="12.75">
      <c r="A158" s="12"/>
      <c r="B158" s="47"/>
      <c r="C158" s="18"/>
      <c r="D158" s="26"/>
      <c r="E158" s="10"/>
      <c r="F158" s="28"/>
      <c r="G158" s="10"/>
      <c r="H158" s="33"/>
      <c r="I158" s="36"/>
      <c r="M158" s="104"/>
      <c r="N158" s="105"/>
      <c r="O158" s="106"/>
      <c r="P158" s="106"/>
      <c r="V158" s="98"/>
      <c r="W158" s="130"/>
      <c r="X158" s="203"/>
      <c r="Y158" s="147"/>
      <c r="Z158" s="117"/>
      <c r="AB158" s="62"/>
      <c r="AC158" s="62"/>
      <c r="AD158" s="62"/>
      <c r="AE158" s="123"/>
      <c r="AF158" s="123"/>
    </row>
    <row r="159" spans="1:32" ht="12.75">
      <c r="A159" s="48"/>
      <c r="B159" s="38"/>
      <c r="C159" s="18"/>
      <c r="D159" s="26"/>
      <c r="E159" s="46"/>
      <c r="F159" s="46"/>
      <c r="G159" s="46"/>
      <c r="H159" s="10"/>
      <c r="I159" s="10"/>
      <c r="M159" s="104"/>
      <c r="N159" s="105"/>
      <c r="O159" s="106"/>
      <c r="P159" s="106"/>
      <c r="V159" s="98"/>
      <c r="W159" s="130"/>
      <c r="X159" s="203"/>
      <c r="Y159" s="147"/>
      <c r="Z159" s="117"/>
      <c r="AB159" s="62"/>
      <c r="AC159" s="62"/>
      <c r="AD159" s="62"/>
      <c r="AE159" s="123"/>
      <c r="AF159" s="123"/>
    </row>
    <row r="160" spans="1:32" ht="12.75">
      <c r="A160" s="40"/>
      <c r="B160" s="38"/>
      <c r="C160" s="26"/>
      <c r="D160" s="18"/>
      <c r="E160" s="10"/>
      <c r="F160" s="10"/>
      <c r="G160" s="10"/>
      <c r="H160" s="10"/>
      <c r="I160" s="10"/>
      <c r="V160" s="98"/>
      <c r="W160" s="130"/>
      <c r="X160" s="203"/>
      <c r="Y160" s="147"/>
      <c r="Z160" s="117"/>
      <c r="AB160" s="62"/>
      <c r="AC160" s="62"/>
      <c r="AD160" s="62"/>
      <c r="AE160" s="123"/>
      <c r="AF160" s="123"/>
    </row>
    <row r="161" spans="1:32" ht="12.75">
      <c r="A161" s="40"/>
      <c r="B161" s="38"/>
      <c r="C161" s="18"/>
      <c r="D161" s="18"/>
      <c r="E161" s="46"/>
      <c r="F161" s="46"/>
      <c r="G161" s="10"/>
      <c r="H161" s="39"/>
      <c r="I161" s="10"/>
      <c r="V161" s="98"/>
      <c r="W161" s="130"/>
      <c r="X161" s="203"/>
      <c r="Y161" s="147"/>
      <c r="Z161" s="117"/>
      <c r="AB161" s="62"/>
      <c r="AC161" s="62"/>
      <c r="AD161" s="62"/>
      <c r="AE161" s="123"/>
      <c r="AF161" s="123"/>
    </row>
    <row r="162" spans="1:32" ht="12.75">
      <c r="A162" s="48"/>
      <c r="B162" s="38"/>
      <c r="C162" s="26"/>
      <c r="D162" s="26"/>
      <c r="E162" s="10"/>
      <c r="F162" s="10"/>
      <c r="G162" s="10"/>
      <c r="H162" s="10"/>
      <c r="I162" s="10"/>
      <c r="V162" s="98"/>
      <c r="W162" s="130"/>
      <c r="X162" s="203"/>
      <c r="Y162" s="147"/>
      <c r="Z162" s="117"/>
      <c r="AB162" s="62"/>
      <c r="AC162" s="62"/>
      <c r="AD162" s="62"/>
      <c r="AE162" s="123"/>
      <c r="AF162" s="123"/>
    </row>
    <row r="163" spans="1:32" ht="12.75">
      <c r="A163" s="48"/>
      <c r="B163" s="38"/>
      <c r="C163" s="26"/>
      <c r="D163" s="19"/>
      <c r="E163" s="10"/>
      <c r="F163" s="10"/>
      <c r="G163" s="10"/>
      <c r="H163" s="10"/>
      <c r="I163" s="10"/>
      <c r="V163" s="98"/>
      <c r="W163" s="130"/>
      <c r="X163" s="203"/>
      <c r="Y163" s="147"/>
      <c r="Z163" s="117"/>
      <c r="AB163" s="62"/>
      <c r="AC163" s="62"/>
      <c r="AD163" s="62"/>
      <c r="AE163" s="123"/>
      <c r="AF163" s="123"/>
    </row>
    <row r="164" spans="1:32" ht="12.75">
      <c r="A164" s="12"/>
      <c r="B164" s="38"/>
      <c r="C164" s="18"/>
      <c r="D164" s="18"/>
      <c r="E164" s="10"/>
      <c r="F164" s="10"/>
      <c r="G164" s="10"/>
      <c r="H164" s="39"/>
      <c r="I164" s="10"/>
      <c r="V164" s="98"/>
      <c r="W164" s="130"/>
      <c r="X164" s="203"/>
      <c r="Y164" s="147"/>
      <c r="Z164" s="117"/>
      <c r="AB164" s="62"/>
      <c r="AC164" s="62"/>
      <c r="AD164" s="62"/>
      <c r="AE164" s="123"/>
      <c r="AF164" s="123"/>
    </row>
    <row r="165" spans="1:32" ht="12.75">
      <c r="A165" s="26"/>
      <c r="B165" s="28"/>
      <c r="C165" s="28"/>
      <c r="D165" s="28"/>
      <c r="E165" s="28"/>
      <c r="F165" s="10"/>
      <c r="G165" s="10"/>
      <c r="H165" s="10"/>
      <c r="I165" s="10"/>
      <c r="V165" s="98"/>
      <c r="W165" s="130"/>
      <c r="X165" s="203"/>
      <c r="Y165" s="147"/>
      <c r="Z165" s="117"/>
      <c r="AB165" s="62"/>
      <c r="AC165" s="62"/>
      <c r="AD165" s="62"/>
      <c r="AE165" s="123"/>
      <c r="AF165" s="123"/>
    </row>
    <row r="166" spans="1:32" ht="12.75">
      <c r="A166" s="12"/>
      <c r="B166" s="58"/>
      <c r="C166" s="26"/>
      <c r="D166" s="26"/>
      <c r="E166" s="28"/>
      <c r="F166" s="10"/>
      <c r="G166" s="10"/>
      <c r="H166" s="10"/>
      <c r="I166" s="10"/>
      <c r="V166" s="98"/>
      <c r="W166" s="130"/>
      <c r="X166" s="203"/>
      <c r="Y166" s="147"/>
      <c r="Z166" s="117"/>
      <c r="AB166" s="62"/>
      <c r="AC166" s="62"/>
      <c r="AD166" s="62"/>
      <c r="AE166" s="123"/>
      <c r="AF166" s="123"/>
    </row>
    <row r="167" spans="1:32" ht="12.75">
      <c r="A167" s="12"/>
      <c r="B167" s="58"/>
      <c r="C167" s="26"/>
      <c r="D167" s="26"/>
      <c r="E167" s="28"/>
      <c r="F167" s="10"/>
      <c r="G167" s="10"/>
      <c r="H167" s="10"/>
      <c r="I167" s="10"/>
      <c r="V167" s="98"/>
      <c r="W167" s="130"/>
      <c r="X167" s="203"/>
      <c r="Y167" s="147"/>
      <c r="Z167" s="117"/>
      <c r="AB167" s="62"/>
      <c r="AC167" s="62"/>
      <c r="AD167" s="62"/>
      <c r="AE167" s="123"/>
      <c r="AF167" s="123"/>
    </row>
    <row r="168" spans="1:32" ht="12.75">
      <c r="A168" s="12"/>
      <c r="B168" s="58"/>
      <c r="C168" s="26"/>
      <c r="D168" s="26"/>
      <c r="E168" s="28"/>
      <c r="F168" s="28"/>
      <c r="G168" s="10"/>
      <c r="H168" s="10"/>
      <c r="I168" s="28"/>
      <c r="V168" s="98"/>
      <c r="W168" s="130"/>
      <c r="X168" s="203"/>
      <c r="Y168" s="147"/>
      <c r="Z168" s="117"/>
      <c r="AB168" s="62"/>
      <c r="AC168" s="62"/>
      <c r="AD168" s="62"/>
      <c r="AE168" s="123"/>
      <c r="AF168" s="123"/>
    </row>
    <row r="169" spans="1:32" ht="12.75">
      <c r="A169" s="40"/>
      <c r="B169" s="58"/>
      <c r="C169" s="26"/>
      <c r="D169" s="26"/>
      <c r="E169" s="28"/>
      <c r="F169" s="28"/>
      <c r="G169" s="10"/>
      <c r="H169" s="6"/>
      <c r="I169" s="28"/>
      <c r="V169" s="98"/>
      <c r="W169" s="130"/>
      <c r="X169" s="203"/>
      <c r="Y169" s="147"/>
      <c r="Z169" s="117"/>
      <c r="AB169" s="62"/>
      <c r="AC169" s="62"/>
      <c r="AD169" s="62"/>
      <c r="AE169" s="123"/>
      <c r="AF169" s="123"/>
    </row>
    <row r="170" spans="1:32" ht="12.75">
      <c r="A170" s="42"/>
      <c r="B170" s="58"/>
      <c r="C170" s="28"/>
      <c r="D170" s="27"/>
      <c r="E170" s="28"/>
      <c r="F170" s="28"/>
      <c r="G170" s="10"/>
      <c r="H170" s="6"/>
      <c r="I170" s="10"/>
      <c r="V170" s="98"/>
      <c r="W170" s="130"/>
      <c r="X170" s="203"/>
      <c r="Y170" s="147"/>
      <c r="Z170" s="117"/>
      <c r="AB170" s="62"/>
      <c r="AC170" s="62"/>
      <c r="AD170" s="62"/>
      <c r="AE170" s="123"/>
      <c r="AF170" s="123"/>
    </row>
    <row r="171" spans="1:32" ht="12.75">
      <c r="A171" s="40"/>
      <c r="B171" s="58"/>
      <c r="C171" s="26"/>
      <c r="D171" s="26"/>
      <c r="E171" s="28"/>
      <c r="F171" s="28"/>
      <c r="G171" s="10"/>
      <c r="H171" s="10"/>
      <c r="I171" s="10"/>
      <c r="V171" s="98"/>
      <c r="W171" s="130"/>
      <c r="X171" s="203"/>
      <c r="Y171" s="147"/>
      <c r="Z171" s="117"/>
      <c r="AB171" s="62"/>
      <c r="AC171" s="62"/>
      <c r="AD171" s="62"/>
      <c r="AE171" s="123"/>
      <c r="AF171" s="123"/>
    </row>
    <row r="172" spans="1:32" ht="12.75">
      <c r="A172" s="42"/>
      <c r="B172" s="58"/>
      <c r="C172" s="28"/>
      <c r="D172" s="27"/>
      <c r="E172" s="28"/>
      <c r="F172" s="28"/>
      <c r="G172" s="10"/>
      <c r="H172" s="28"/>
      <c r="I172" s="28"/>
      <c r="V172" s="98"/>
      <c r="W172" s="130"/>
      <c r="X172" s="203"/>
      <c r="Y172" s="147"/>
      <c r="Z172" s="117"/>
      <c r="AB172" s="62"/>
      <c r="AC172" s="62"/>
      <c r="AD172" s="62"/>
      <c r="AE172" s="123"/>
      <c r="AF172" s="123"/>
    </row>
    <row r="173" spans="1:32" ht="12.75">
      <c r="A173" s="42"/>
      <c r="B173" s="41"/>
      <c r="C173" s="28"/>
      <c r="D173" s="27"/>
      <c r="E173" s="28"/>
      <c r="F173" s="28"/>
      <c r="G173" s="28"/>
      <c r="H173" s="28"/>
      <c r="I173" s="28"/>
      <c r="V173" s="98"/>
      <c r="W173" s="130"/>
      <c r="X173" s="203"/>
      <c r="Y173" s="147"/>
      <c r="Z173" s="117"/>
      <c r="AB173" s="62"/>
      <c r="AC173" s="62"/>
      <c r="AD173" s="62"/>
      <c r="AE173" s="123"/>
      <c r="AF173" s="123"/>
    </row>
    <row r="174" spans="1:32" ht="12.75">
      <c r="A174" s="42"/>
      <c r="B174" s="58"/>
      <c r="C174" s="28"/>
      <c r="D174" s="18"/>
      <c r="E174" s="28"/>
      <c r="F174" s="28"/>
      <c r="G174" s="28"/>
      <c r="H174" s="28"/>
      <c r="I174" s="28"/>
      <c r="V174" s="98"/>
      <c r="W174" s="130"/>
      <c r="X174" s="203"/>
      <c r="Y174" s="147"/>
      <c r="Z174" s="117"/>
      <c r="AB174" s="62"/>
      <c r="AC174" s="62"/>
      <c r="AD174" s="62"/>
      <c r="AE174" s="123"/>
      <c r="AF174" s="123"/>
    </row>
    <row r="175" spans="1:32" ht="12.75">
      <c r="A175" s="40"/>
      <c r="B175" s="41"/>
      <c r="C175" s="26"/>
      <c r="D175" s="26"/>
      <c r="E175" s="28"/>
      <c r="F175" s="28"/>
      <c r="G175" s="28"/>
      <c r="H175" s="39"/>
      <c r="I175" s="28"/>
      <c r="V175" s="98"/>
      <c r="W175" s="130"/>
      <c r="X175" s="203"/>
      <c r="Y175" s="147"/>
      <c r="Z175" s="117"/>
      <c r="AB175" s="62"/>
      <c r="AC175" s="62"/>
      <c r="AD175" s="62"/>
      <c r="AE175" s="123"/>
      <c r="AF175" s="123"/>
    </row>
    <row r="176" spans="1:32" ht="12.75">
      <c r="A176" s="40"/>
      <c r="B176" s="41"/>
      <c r="C176" s="26"/>
      <c r="D176" s="28"/>
      <c r="E176" s="28"/>
      <c r="F176" s="28"/>
      <c r="G176" s="28"/>
      <c r="H176" s="28"/>
      <c r="I176" s="28"/>
      <c r="V176" s="98"/>
      <c r="W176" s="130"/>
      <c r="X176" s="203"/>
      <c r="Y176" s="147"/>
      <c r="Z176" s="117"/>
      <c r="AB176" s="62"/>
      <c r="AC176" s="62"/>
      <c r="AD176" s="62"/>
      <c r="AE176" s="123"/>
      <c r="AF176" s="123"/>
    </row>
    <row r="177" spans="1:32" ht="12.75">
      <c r="A177" s="42"/>
      <c r="B177" s="58"/>
      <c r="C177" s="28"/>
      <c r="D177" s="59"/>
      <c r="E177" s="28"/>
      <c r="F177" s="28"/>
      <c r="G177" s="28"/>
      <c r="H177" s="6"/>
      <c r="I177" s="28"/>
      <c r="V177" s="98"/>
      <c r="W177" s="130"/>
      <c r="X177" s="203"/>
      <c r="Y177" s="147"/>
      <c r="Z177" s="117"/>
      <c r="AB177" s="62"/>
      <c r="AC177" s="62"/>
      <c r="AD177" s="62"/>
      <c r="AE177" s="123"/>
      <c r="AF177" s="123"/>
    </row>
    <row r="178" spans="1:32" ht="12.75">
      <c r="A178" s="40"/>
      <c r="B178" s="38"/>
      <c r="C178" s="26"/>
      <c r="D178" s="28"/>
      <c r="E178" s="28"/>
      <c r="F178" s="28"/>
      <c r="G178" s="28"/>
      <c r="H178" s="6"/>
      <c r="I178" s="28"/>
      <c r="V178" s="98"/>
      <c r="W178" s="130"/>
      <c r="X178" s="203"/>
      <c r="Y178" s="147"/>
      <c r="Z178" s="117"/>
      <c r="AB178" s="62"/>
      <c r="AC178" s="62"/>
      <c r="AD178" s="62"/>
      <c r="AE178" s="123"/>
      <c r="AF178" s="123"/>
    </row>
    <row r="179" spans="1:32" ht="12.75">
      <c r="A179" s="28"/>
      <c r="B179" s="28"/>
      <c r="C179" s="28"/>
      <c r="D179" s="28"/>
      <c r="E179" s="28"/>
      <c r="F179" s="28"/>
      <c r="G179" s="28"/>
      <c r="H179" s="39"/>
      <c r="I179" s="28"/>
      <c r="V179" s="98"/>
      <c r="W179" s="130"/>
      <c r="X179" s="203"/>
      <c r="Y179" s="147"/>
      <c r="Z179" s="117"/>
      <c r="AB179" s="62"/>
      <c r="AC179" s="62"/>
      <c r="AD179" s="62"/>
      <c r="AE179" s="123"/>
      <c r="AF179" s="123"/>
    </row>
    <row r="180" spans="1:32" ht="12.75">
      <c r="A180" s="18"/>
      <c r="B180" s="6"/>
      <c r="C180" s="6"/>
      <c r="D180" s="10"/>
      <c r="E180" s="10"/>
      <c r="F180" s="10"/>
      <c r="G180" s="10"/>
      <c r="H180" s="6"/>
      <c r="I180" s="28"/>
      <c r="V180" s="98"/>
      <c r="W180" s="130"/>
      <c r="X180" s="203"/>
      <c r="Y180" s="147"/>
      <c r="Z180" s="117"/>
      <c r="AB180" s="62"/>
      <c r="AC180" s="62"/>
      <c r="AD180" s="62"/>
      <c r="AE180" s="123"/>
      <c r="AF180" s="123"/>
    </row>
    <row r="181" spans="1:32" ht="12.75">
      <c r="A181" s="12"/>
      <c r="B181" s="38"/>
      <c r="C181" s="18"/>
      <c r="D181" s="18"/>
      <c r="E181" s="10"/>
      <c r="F181" s="10"/>
      <c r="G181" s="10"/>
      <c r="H181" s="6"/>
      <c r="I181" s="10"/>
      <c r="V181" s="98"/>
      <c r="W181" s="130"/>
      <c r="X181" s="203"/>
      <c r="Y181" s="147"/>
      <c r="Z181" s="117"/>
      <c r="AB181" s="62"/>
      <c r="AC181" s="62"/>
      <c r="AD181" s="62"/>
      <c r="AE181" s="123"/>
      <c r="AF181" s="123"/>
    </row>
    <row r="182" spans="1:32" ht="12.75">
      <c r="A182" s="12"/>
      <c r="B182" s="38"/>
      <c r="C182" s="18"/>
      <c r="D182" s="18"/>
      <c r="E182" s="10"/>
      <c r="F182" s="10"/>
      <c r="G182" s="10"/>
      <c r="H182" s="10"/>
      <c r="I182" s="10"/>
      <c r="V182" s="98"/>
      <c r="W182" s="130"/>
      <c r="X182" s="203"/>
      <c r="Y182" s="147"/>
      <c r="Z182" s="117"/>
      <c r="AB182" s="62"/>
      <c r="AC182" s="62"/>
      <c r="AD182" s="62"/>
      <c r="AE182" s="123"/>
      <c r="AF182" s="123"/>
    </row>
    <row r="183" spans="1:32" ht="12.75">
      <c r="A183" s="12"/>
      <c r="B183" s="38"/>
      <c r="C183" s="18"/>
      <c r="D183" s="18"/>
      <c r="E183" s="10"/>
      <c r="F183" s="10"/>
      <c r="G183" s="10"/>
      <c r="H183" s="10"/>
      <c r="I183" s="10"/>
      <c r="V183" s="98"/>
      <c r="W183" s="130"/>
      <c r="X183" s="203"/>
      <c r="Y183" s="147"/>
      <c r="Z183" s="117"/>
      <c r="AB183" s="62"/>
      <c r="AC183" s="62"/>
      <c r="AD183" s="62"/>
      <c r="AE183" s="123"/>
      <c r="AF183" s="123"/>
    </row>
    <row r="184" spans="1:32" ht="12.75">
      <c r="A184" s="12"/>
      <c r="B184" s="38"/>
      <c r="C184" s="18"/>
      <c r="D184" s="18"/>
      <c r="E184" s="6"/>
      <c r="F184" s="6"/>
      <c r="G184" s="10"/>
      <c r="H184" s="10"/>
      <c r="I184" s="10"/>
      <c r="V184" s="98"/>
      <c r="W184" s="130"/>
      <c r="X184" s="203"/>
      <c r="Y184" s="147"/>
      <c r="Z184" s="117"/>
      <c r="AB184" s="62"/>
      <c r="AC184" s="62"/>
      <c r="AD184" s="62"/>
      <c r="AE184" s="123"/>
      <c r="AF184" s="123"/>
    </row>
    <row r="185" spans="1:32" ht="12.75">
      <c r="A185" s="18"/>
      <c r="B185" s="6"/>
      <c r="C185" s="6"/>
      <c r="D185" s="6"/>
      <c r="E185" s="6"/>
      <c r="F185" s="6"/>
      <c r="G185" s="10"/>
      <c r="H185" s="39"/>
      <c r="I185" s="10"/>
      <c r="V185" s="98"/>
      <c r="W185" s="130"/>
      <c r="X185" s="203"/>
      <c r="Y185" s="147"/>
      <c r="Z185" s="117"/>
      <c r="AB185" s="62"/>
      <c r="AC185" s="62"/>
      <c r="AD185" s="62"/>
      <c r="AE185" s="123"/>
      <c r="AF185" s="123"/>
    </row>
    <row r="186" spans="1:32" ht="12.75">
      <c r="A186" s="12"/>
      <c r="B186" s="60"/>
      <c r="C186" s="18"/>
      <c r="D186" s="18"/>
      <c r="E186" s="6"/>
      <c r="F186" s="6"/>
      <c r="G186" s="6"/>
      <c r="H186" s="6"/>
      <c r="I186" s="10"/>
      <c r="V186" s="98"/>
      <c r="W186" s="130"/>
      <c r="X186" s="203"/>
      <c r="Y186" s="147"/>
      <c r="Z186" s="117"/>
      <c r="AB186" s="62"/>
      <c r="AC186" s="62"/>
      <c r="AD186" s="62"/>
      <c r="AE186" s="123"/>
      <c r="AF186" s="123"/>
    </row>
    <row r="187" spans="1:32" ht="12.75">
      <c r="A187" s="12"/>
      <c r="B187" s="47"/>
      <c r="C187" s="18"/>
      <c r="D187" s="18"/>
      <c r="E187" s="6"/>
      <c r="F187" s="6"/>
      <c r="G187" s="6"/>
      <c r="H187" s="10"/>
      <c r="I187" s="10"/>
      <c r="V187" s="98"/>
      <c r="W187" s="130"/>
      <c r="X187" s="203"/>
      <c r="Y187" s="147"/>
      <c r="Z187" s="117"/>
      <c r="AB187" s="62"/>
      <c r="AC187" s="62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10"/>
      <c r="H188" s="39"/>
      <c r="I188" s="10"/>
      <c r="V188" s="98"/>
      <c r="W188" s="130"/>
      <c r="X188" s="203"/>
      <c r="Y188" s="147"/>
      <c r="Z188" s="117"/>
      <c r="AB188" s="62"/>
      <c r="AC188" s="62"/>
      <c r="AD188" s="62"/>
      <c r="AE188" s="123"/>
      <c r="AF188" s="123"/>
    </row>
    <row r="189" spans="1:32" ht="12.75">
      <c r="A189" s="6"/>
      <c r="B189" s="46"/>
      <c r="C189" s="28"/>
      <c r="D189" s="26"/>
      <c r="E189" s="28"/>
      <c r="F189" s="28"/>
      <c r="G189" s="28"/>
      <c r="H189" s="10"/>
      <c r="I189" s="10"/>
      <c r="V189" s="98"/>
      <c r="W189" s="130"/>
      <c r="X189" s="203"/>
      <c r="Y189" s="147"/>
      <c r="Z189" s="117"/>
      <c r="AB189" s="62"/>
      <c r="AC189" s="62"/>
      <c r="AD189" s="62"/>
      <c r="AE189" s="123"/>
      <c r="AF189" s="123"/>
    </row>
    <row r="190" spans="1:32" ht="12.75">
      <c r="A190" s="53"/>
      <c r="B190" s="47"/>
      <c r="C190" s="18"/>
      <c r="D190" s="18"/>
      <c r="E190" s="28"/>
      <c r="F190" s="28"/>
      <c r="G190" s="28"/>
      <c r="H190" s="10"/>
      <c r="I190" s="10"/>
      <c r="V190" s="98"/>
      <c r="W190" s="130"/>
      <c r="X190" s="203"/>
      <c r="Y190" s="147"/>
      <c r="Z190" s="117"/>
      <c r="AB190" s="62"/>
      <c r="AC190" s="62"/>
      <c r="AD190" s="62"/>
      <c r="AE190" s="123"/>
      <c r="AF190" s="123"/>
    </row>
    <row r="191" spans="1:32" ht="12.75">
      <c r="A191" s="12"/>
      <c r="B191" s="60"/>
      <c r="C191" s="26"/>
      <c r="D191" s="18"/>
      <c r="E191" s="6"/>
      <c r="F191" s="6"/>
      <c r="G191" s="6"/>
      <c r="H191" s="10"/>
      <c r="I191" s="10"/>
      <c r="V191" s="98"/>
      <c r="W191" s="130"/>
      <c r="X191" s="203"/>
      <c r="Y191" s="147"/>
      <c r="Z191" s="117"/>
      <c r="AB191" s="62"/>
      <c r="AC191" s="62"/>
      <c r="AD191" s="62"/>
      <c r="AE191" s="123"/>
      <c r="AF191" s="123"/>
    </row>
    <row r="192" spans="1:32" ht="12.75">
      <c r="A192" s="12"/>
      <c r="B192" s="47"/>
      <c r="C192" s="26"/>
      <c r="D192" s="18"/>
      <c r="E192" s="6"/>
      <c r="F192" s="6"/>
      <c r="G192" s="6"/>
      <c r="H192" s="10"/>
      <c r="I192" s="10"/>
      <c r="V192" s="98"/>
      <c r="W192" s="130"/>
      <c r="X192" s="203"/>
      <c r="Y192" s="147"/>
      <c r="Z192" s="117"/>
      <c r="AB192" s="62"/>
      <c r="AC192" s="62"/>
      <c r="AD192" s="62"/>
      <c r="AE192" s="123"/>
      <c r="AF192" s="123"/>
    </row>
    <row r="193" spans="1:32" ht="12.75">
      <c r="A193" s="12"/>
      <c r="B193" s="61"/>
      <c r="C193" s="26"/>
      <c r="D193" s="18"/>
      <c r="E193" s="6"/>
      <c r="F193" s="6"/>
      <c r="G193" s="6"/>
      <c r="H193" s="10"/>
      <c r="I193" s="10"/>
      <c r="V193" s="98"/>
      <c r="W193" s="130"/>
      <c r="X193" s="203"/>
      <c r="Y193" s="147"/>
      <c r="Z193" s="117"/>
      <c r="AB193" s="62"/>
      <c r="AC193" s="62"/>
      <c r="AD193" s="62"/>
      <c r="AE193" s="123"/>
      <c r="AF193" s="123"/>
    </row>
    <row r="194" spans="1:32" ht="12.75">
      <c r="A194" s="12"/>
      <c r="B194" s="47"/>
      <c r="C194" s="26"/>
      <c r="D194" s="18"/>
      <c r="E194" s="6"/>
      <c r="F194" s="6"/>
      <c r="G194" s="6"/>
      <c r="H194" s="10"/>
      <c r="I194" s="10"/>
      <c r="V194" s="98"/>
      <c r="W194" s="130"/>
      <c r="X194" s="203"/>
      <c r="Y194" s="147"/>
      <c r="Z194" s="117"/>
      <c r="AB194" s="62"/>
      <c r="AC194" s="62"/>
      <c r="AD194" s="62"/>
      <c r="AE194" s="123"/>
      <c r="AF194" s="123"/>
    </row>
    <row r="195" spans="1:32" ht="12.75">
      <c r="A195" s="12"/>
      <c r="B195" s="47"/>
      <c r="C195" s="26"/>
      <c r="D195" s="18"/>
      <c r="E195" s="6"/>
      <c r="F195" s="6"/>
      <c r="G195" s="10"/>
      <c r="H195" s="39"/>
      <c r="I195" s="6"/>
      <c r="V195" s="98"/>
      <c r="W195" s="130"/>
      <c r="X195" s="203"/>
      <c r="Y195" s="147"/>
      <c r="Z195" s="117"/>
      <c r="AB195" s="62"/>
      <c r="AC195" s="62"/>
      <c r="AD195" s="62"/>
      <c r="AE195" s="123"/>
      <c r="AF195" s="123"/>
    </row>
    <row r="196" spans="1:32" ht="12.75">
      <c r="A196" s="28"/>
      <c r="B196" s="28"/>
      <c r="C196" s="28"/>
      <c r="D196" s="26"/>
      <c r="E196" s="28"/>
      <c r="F196" s="28"/>
      <c r="G196" s="28"/>
      <c r="H196" s="28"/>
      <c r="I196" s="6"/>
      <c r="V196" s="98"/>
      <c r="W196" s="130"/>
      <c r="X196" s="203"/>
      <c r="Y196" s="147"/>
      <c r="Z196" s="117"/>
      <c r="AB196" s="62"/>
      <c r="AC196" s="62"/>
      <c r="AD196" s="62"/>
      <c r="AE196" s="123"/>
      <c r="AF196" s="123"/>
    </row>
    <row r="197" spans="1:32" ht="12.75">
      <c r="A197" s="40"/>
      <c r="B197" s="38"/>
      <c r="C197" s="26"/>
      <c r="D197" s="18"/>
      <c r="E197" s="28"/>
      <c r="F197" s="28"/>
      <c r="G197" s="28"/>
      <c r="H197" s="28"/>
      <c r="I197" s="10"/>
      <c r="V197" s="98"/>
      <c r="W197" s="130"/>
      <c r="X197" s="203"/>
      <c r="Y197" s="147"/>
      <c r="Z197" s="117"/>
      <c r="AB197" s="62"/>
      <c r="AC197" s="62"/>
      <c r="AD197" s="62"/>
      <c r="AE197" s="123"/>
      <c r="AF197" s="123"/>
    </row>
    <row r="198" spans="1:32" ht="12.75">
      <c r="A198" s="40"/>
      <c r="B198" s="41"/>
      <c r="C198" s="26"/>
      <c r="D198" s="26"/>
      <c r="E198" s="28"/>
      <c r="F198" s="28"/>
      <c r="G198" s="28"/>
      <c r="H198" s="28"/>
      <c r="I198" s="28"/>
      <c r="V198" s="98"/>
      <c r="W198" s="130"/>
      <c r="X198" s="203"/>
      <c r="Y198" s="147"/>
      <c r="Z198" s="117"/>
      <c r="AB198" s="62"/>
      <c r="AC198" s="62"/>
      <c r="AD198" s="62"/>
      <c r="AE198" s="123"/>
      <c r="AF198" s="123"/>
    </row>
    <row r="199" spans="1:32" ht="12.75">
      <c r="A199" s="42"/>
      <c r="B199" s="41"/>
      <c r="C199" s="26"/>
      <c r="D199" s="27"/>
      <c r="E199" s="10"/>
      <c r="F199" s="10"/>
      <c r="G199" s="10"/>
      <c r="H199" s="43"/>
      <c r="I199" s="6"/>
      <c r="V199" s="98"/>
      <c r="W199" s="130"/>
      <c r="X199" s="203"/>
      <c r="Y199" s="147"/>
      <c r="Z199" s="117"/>
      <c r="AB199" s="62"/>
      <c r="AC199" s="62"/>
      <c r="AD199" s="62"/>
      <c r="AE199" s="123"/>
      <c r="AF199" s="123"/>
    </row>
    <row r="200" spans="1:32" ht="12.75">
      <c r="A200" s="42"/>
      <c r="B200" s="41"/>
      <c r="C200" s="26"/>
      <c r="D200" s="27"/>
      <c r="E200" s="10"/>
      <c r="F200" s="10"/>
      <c r="G200" s="10"/>
      <c r="H200" s="10"/>
      <c r="I200" s="10"/>
      <c r="V200" s="98"/>
      <c r="W200" s="130"/>
      <c r="X200" s="203"/>
      <c r="Y200" s="147"/>
      <c r="Z200" s="117"/>
      <c r="AB200" s="62"/>
      <c r="AC200" s="62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43"/>
      <c r="H201" s="10"/>
      <c r="I201" s="10"/>
      <c r="V201" s="98"/>
      <c r="W201" s="130"/>
      <c r="X201" s="203"/>
      <c r="Y201" s="147"/>
      <c r="Z201" s="117"/>
      <c r="AB201" s="62"/>
      <c r="AC201" s="62"/>
      <c r="AD201" s="62"/>
      <c r="AE201" s="123"/>
      <c r="AF201" s="123"/>
    </row>
    <row r="202" spans="1:32" ht="12.75">
      <c r="A202" s="10"/>
      <c r="B202" s="10"/>
      <c r="C202" s="10"/>
      <c r="D202" s="10"/>
      <c r="E202" s="6"/>
      <c r="F202" s="43">
        <f>IF($K$2="Yes",IF($D$33&gt;0,IF($B$199&gt;$B$200,"    Increase doubler or use full-pen. weld",""),""),"")</f>
      </c>
      <c r="G202" s="10"/>
      <c r="H202" s="10"/>
      <c r="I202" s="10"/>
      <c r="V202" s="98"/>
      <c r="W202" s="130"/>
      <c r="X202" s="203"/>
      <c r="Y202" s="147"/>
      <c r="Z202" s="117"/>
      <c r="AB202" s="62"/>
      <c r="AC202" s="62"/>
      <c r="AD202" s="62"/>
      <c r="AE202" s="123"/>
      <c r="AF202" s="123"/>
    </row>
    <row r="203" spans="1:32" ht="12.75">
      <c r="A203" s="10"/>
      <c r="B203" s="10"/>
      <c r="C203" s="10"/>
      <c r="D203" s="10"/>
      <c r="E203" s="6"/>
      <c r="F203" s="6"/>
      <c r="G203" s="10"/>
      <c r="H203" s="10"/>
      <c r="I203" s="10"/>
      <c r="V203" s="98"/>
      <c r="W203" s="130"/>
      <c r="X203" s="203"/>
      <c r="Y203" s="147"/>
      <c r="Z203" s="117"/>
      <c r="AB203" s="62"/>
      <c r="AC203" s="62"/>
      <c r="AD203" s="62"/>
      <c r="AE203" s="123"/>
      <c r="AF203" s="123"/>
    </row>
    <row r="204" spans="1:32" ht="12.75">
      <c r="A204" s="10"/>
      <c r="B204" s="10"/>
      <c r="C204" s="10"/>
      <c r="D204" s="10"/>
      <c r="E204" s="10"/>
      <c r="F204" s="10"/>
      <c r="G204" s="10"/>
      <c r="H204" s="10"/>
      <c r="I204" s="32"/>
      <c r="V204" s="98"/>
      <c r="W204" s="130"/>
      <c r="X204" s="203"/>
      <c r="Y204" s="147"/>
      <c r="Z204" s="117"/>
      <c r="AB204" s="62"/>
      <c r="AC204" s="62"/>
      <c r="AD204" s="62"/>
      <c r="AE204" s="123"/>
      <c r="AF204" s="123"/>
    </row>
    <row r="205" spans="1:32" ht="12.75">
      <c r="A205" s="10"/>
      <c r="B205" s="10"/>
      <c r="C205" s="10"/>
      <c r="D205" s="10"/>
      <c r="E205" s="10"/>
      <c r="F205" s="10"/>
      <c r="G205" s="10"/>
      <c r="H205" s="33"/>
      <c r="I205" s="34"/>
      <c r="V205" s="98"/>
      <c r="W205" s="130"/>
      <c r="X205" s="203"/>
      <c r="Y205" s="147"/>
      <c r="Z205" s="117"/>
      <c r="AB205" s="62"/>
      <c r="AC205" s="62"/>
      <c r="AD205" s="62"/>
      <c r="AE205" s="123"/>
      <c r="AF205" s="123"/>
    </row>
    <row r="206" spans="1:32" ht="12.75">
      <c r="A206" s="44"/>
      <c r="B206" s="10"/>
      <c r="C206" s="10"/>
      <c r="D206" s="10"/>
      <c r="E206" s="6"/>
      <c r="F206" s="6"/>
      <c r="G206" s="6"/>
      <c r="H206" s="33"/>
      <c r="I206" s="35"/>
      <c r="V206" s="98"/>
      <c r="W206" s="130"/>
      <c r="X206" s="203"/>
      <c r="Y206" s="147"/>
      <c r="Z206" s="117"/>
      <c r="AB206" s="62"/>
      <c r="AC206" s="62"/>
      <c r="AD206" s="62"/>
      <c r="AE206" s="123"/>
      <c r="AF206" s="123"/>
    </row>
    <row r="207" spans="1:32" ht="12.75">
      <c r="A207" s="6"/>
      <c r="B207" s="46"/>
      <c r="C207" s="6"/>
      <c r="D207" s="18"/>
      <c r="E207" s="10"/>
      <c r="F207" s="46"/>
      <c r="G207" s="10"/>
      <c r="H207" s="57"/>
      <c r="I207" s="36"/>
      <c r="V207" s="98"/>
      <c r="W207" s="130"/>
      <c r="X207" s="203"/>
      <c r="Y207" s="147"/>
      <c r="Z207" s="117"/>
      <c r="AB207" s="62"/>
      <c r="AC207" s="62"/>
      <c r="AD207" s="62"/>
      <c r="AE207" s="123"/>
      <c r="AF207" s="123"/>
    </row>
    <row r="208" spans="1:32" ht="12.75">
      <c r="A208" s="12"/>
      <c r="B208" s="60"/>
      <c r="C208" s="26"/>
      <c r="D208" s="18"/>
      <c r="E208" s="10"/>
      <c r="F208" s="46"/>
      <c r="G208" s="6"/>
      <c r="H208" s="33"/>
      <c r="I208" s="36"/>
      <c r="V208" s="98"/>
      <c r="W208" s="130"/>
      <c r="X208" s="203"/>
      <c r="Y208" s="147"/>
      <c r="Z208" s="117"/>
      <c r="AB208" s="62"/>
      <c r="AC208" s="62"/>
      <c r="AD208" s="62"/>
      <c r="AE208" s="123"/>
      <c r="AF208" s="123"/>
    </row>
    <row r="209" spans="1:32" ht="12.75">
      <c r="A209" s="12"/>
      <c r="B209" s="47"/>
      <c r="C209" s="26"/>
      <c r="D209" s="18"/>
      <c r="E209" s="10"/>
      <c r="F209" s="46"/>
      <c r="G209" s="10"/>
      <c r="H209" s="10"/>
      <c r="I209" s="10"/>
      <c r="V209" s="98"/>
      <c r="W209" s="130"/>
      <c r="X209" s="203"/>
      <c r="Y209" s="147"/>
      <c r="Z209" s="117"/>
      <c r="AB209" s="62"/>
      <c r="AC209" s="62"/>
      <c r="AD209" s="62"/>
      <c r="AE209" s="123"/>
      <c r="AF209" s="123"/>
    </row>
    <row r="210" spans="1:32" ht="12.75">
      <c r="A210" s="12"/>
      <c r="B210" s="47"/>
      <c r="C210" s="26"/>
      <c r="D210" s="18"/>
      <c r="E210" s="10"/>
      <c r="F210" s="10"/>
      <c r="G210" s="10"/>
      <c r="H210" s="39"/>
      <c r="I210" s="6"/>
      <c r="V210" s="98"/>
      <c r="W210" s="130"/>
      <c r="X210" s="203"/>
      <c r="Y210" s="147"/>
      <c r="Z210" s="117"/>
      <c r="AB210" s="62"/>
      <c r="AC210" s="62"/>
      <c r="AD210" s="62"/>
      <c r="AE210" s="123"/>
      <c r="AF210" s="123"/>
    </row>
    <row r="211" spans="1:32" ht="12.75">
      <c r="A211" s="10"/>
      <c r="B211" s="10"/>
      <c r="C211" s="10"/>
      <c r="D211" s="10"/>
      <c r="E211" s="10"/>
      <c r="F211" s="10"/>
      <c r="G211" s="10"/>
      <c r="H211" s="10"/>
      <c r="I211" s="10"/>
      <c r="V211" s="98"/>
      <c r="W211" s="130"/>
      <c r="X211" s="203"/>
      <c r="Y211" s="147"/>
      <c r="Z211" s="117"/>
      <c r="AB211" s="62"/>
      <c r="AC211" s="62"/>
      <c r="AD211" s="62"/>
      <c r="AE211" s="123"/>
      <c r="AF211" s="123"/>
    </row>
    <row r="212" spans="1:32" ht="12.75">
      <c r="A212" s="6"/>
      <c r="B212" s="28"/>
      <c r="C212" s="28"/>
      <c r="D212" s="26"/>
      <c r="E212" s="10"/>
      <c r="F212" s="10"/>
      <c r="G212" s="10"/>
      <c r="H212" s="10"/>
      <c r="I212" s="10"/>
      <c r="V212" s="98"/>
      <c r="W212" s="130"/>
      <c r="X212" s="203"/>
      <c r="Y212" s="147"/>
      <c r="Z212" s="117"/>
      <c r="AB212" s="62"/>
      <c r="AC212" s="62"/>
      <c r="AD212" s="62"/>
      <c r="AE212" s="123"/>
      <c r="AF212" s="123"/>
    </row>
    <row r="213" spans="1:32" ht="12.75">
      <c r="A213" s="48"/>
      <c r="B213" s="41"/>
      <c r="C213" s="26"/>
      <c r="D213" s="26"/>
      <c r="E213" s="10"/>
      <c r="F213" s="10"/>
      <c r="G213" s="10"/>
      <c r="H213" s="10"/>
      <c r="I213" s="10"/>
      <c r="V213" s="98"/>
      <c r="W213" s="130"/>
      <c r="X213" s="203"/>
      <c r="Y213" s="147"/>
      <c r="Z213" s="117"/>
      <c r="AB213" s="62"/>
      <c r="AC213" s="62"/>
      <c r="AD213" s="62"/>
      <c r="AE213" s="123"/>
      <c r="AF213" s="123"/>
    </row>
    <row r="214" spans="1:26" ht="12.75">
      <c r="A214" s="40"/>
      <c r="B214" s="38"/>
      <c r="C214" s="26"/>
      <c r="D214" s="26"/>
      <c r="E214" s="10"/>
      <c r="F214" s="10"/>
      <c r="G214" s="10"/>
      <c r="H214" s="10"/>
      <c r="I214" s="10"/>
      <c r="V214" s="98"/>
      <c r="W214" s="130"/>
      <c r="X214" s="203"/>
      <c r="Y214" s="147"/>
      <c r="Z214" s="117"/>
    </row>
    <row r="215" spans="1:26" ht="12.75">
      <c r="A215" s="40"/>
      <c r="B215" s="41"/>
      <c r="C215" s="26"/>
      <c r="D215" s="26"/>
      <c r="E215" s="10"/>
      <c r="F215" s="10"/>
      <c r="G215" s="10"/>
      <c r="H215" s="10"/>
      <c r="I215" s="6"/>
      <c r="V215" s="98"/>
      <c r="W215" s="130"/>
      <c r="X215" s="203"/>
      <c r="Y215" s="147"/>
      <c r="Z215" s="117"/>
    </row>
    <row r="216" spans="1:26" ht="12.75">
      <c r="A216" s="42"/>
      <c r="B216" s="41"/>
      <c r="C216" s="26"/>
      <c r="D216" s="27"/>
      <c r="E216" s="28"/>
      <c r="F216" s="10"/>
      <c r="G216" s="10"/>
      <c r="H216" s="43"/>
      <c r="I216" s="6"/>
      <c r="V216" s="98"/>
      <c r="W216" s="130"/>
      <c r="X216" s="203"/>
      <c r="Y216" s="147"/>
      <c r="Z216" s="117"/>
    </row>
    <row r="217" spans="1:26" ht="12.75">
      <c r="A217" s="42"/>
      <c r="B217" s="41"/>
      <c r="C217" s="26"/>
      <c r="D217" s="27"/>
      <c r="E217" s="10"/>
      <c r="F217" s="10"/>
      <c r="G217" s="10"/>
      <c r="H217" s="10"/>
      <c r="I217" s="10"/>
      <c r="V217" s="98"/>
      <c r="W217" s="130"/>
      <c r="X217" s="203"/>
      <c r="Y217" s="147"/>
      <c r="Z217" s="117"/>
    </row>
    <row r="218" spans="1:26" ht="12.75">
      <c r="A218" s="10"/>
      <c r="B218" s="10"/>
      <c r="C218" s="10"/>
      <c r="D218" s="10"/>
      <c r="E218" s="10"/>
      <c r="F218" s="10"/>
      <c r="G218" s="43"/>
      <c r="H218" s="10"/>
      <c r="I218" s="10"/>
      <c r="V218" s="98"/>
      <c r="W218" s="130"/>
      <c r="X218" s="203"/>
      <c r="Y218" s="147"/>
      <c r="Z218" s="117"/>
    </row>
    <row r="219" spans="1:26" ht="12.75">
      <c r="A219" s="6"/>
      <c r="B219" s="10"/>
      <c r="C219" s="10"/>
      <c r="D219" s="10"/>
      <c r="E219" s="10"/>
      <c r="F219" s="43"/>
      <c r="G219" s="10"/>
      <c r="H219" s="10"/>
      <c r="I219" s="10"/>
      <c r="V219" s="98"/>
      <c r="W219" s="130"/>
      <c r="X219" s="203"/>
      <c r="Y219" s="147"/>
      <c r="Z219" s="117"/>
    </row>
    <row r="220" spans="1:26" ht="12.75">
      <c r="A220" s="12"/>
      <c r="B220" s="38"/>
      <c r="C220" s="18"/>
      <c r="D220" s="18"/>
      <c r="E220" s="46"/>
      <c r="F220" s="10"/>
      <c r="G220" s="10"/>
      <c r="H220" s="10"/>
      <c r="I220" s="6"/>
      <c r="V220" s="98"/>
      <c r="W220" s="130"/>
      <c r="X220" s="203"/>
      <c r="Y220" s="147"/>
      <c r="Z220" s="117"/>
    </row>
    <row r="221" spans="1:26" ht="12.75">
      <c r="A221" s="12"/>
      <c r="B221" s="38"/>
      <c r="C221" s="18"/>
      <c r="D221" s="18"/>
      <c r="E221" s="46"/>
      <c r="F221" s="46"/>
      <c r="G221" s="10"/>
      <c r="H221" s="39"/>
      <c r="I221" s="10"/>
      <c r="V221" s="98"/>
      <c r="W221" s="130"/>
      <c r="X221" s="203"/>
      <c r="Y221" s="147"/>
      <c r="Z221" s="117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V222" s="98"/>
      <c r="W222" s="130"/>
      <c r="X222" s="203"/>
      <c r="Y222" s="147"/>
      <c r="Z222" s="117"/>
    </row>
    <row r="223" spans="1:26" ht="12.75">
      <c r="A223" s="6"/>
      <c r="B223" s="6"/>
      <c r="C223" s="6"/>
      <c r="D223" s="18"/>
      <c r="E223" s="46"/>
      <c r="F223" s="46"/>
      <c r="G223" s="10"/>
      <c r="H223" s="10"/>
      <c r="I223" s="10"/>
      <c r="V223" s="98"/>
      <c r="W223" s="130"/>
      <c r="X223" s="203"/>
      <c r="Y223" s="147"/>
      <c r="Z223" s="117"/>
    </row>
    <row r="224" spans="1:26" ht="12.75">
      <c r="A224" s="12"/>
      <c r="B224" s="58"/>
      <c r="C224" s="18"/>
      <c r="D224" s="18"/>
      <c r="E224" s="46"/>
      <c r="F224" s="46"/>
      <c r="G224" s="10"/>
      <c r="H224" s="10"/>
      <c r="I224" s="10"/>
      <c r="V224" s="98"/>
      <c r="W224" s="130"/>
      <c r="X224" s="203"/>
      <c r="Y224" s="147"/>
      <c r="Z224" s="117"/>
    </row>
    <row r="225" spans="1:26" ht="12.75">
      <c r="A225" s="12"/>
      <c r="B225" s="38"/>
      <c r="C225" s="18"/>
      <c r="D225" s="18"/>
      <c r="E225" s="46"/>
      <c r="F225" s="46"/>
      <c r="G225" s="10"/>
      <c r="H225" s="10"/>
      <c r="I225" s="10"/>
      <c r="V225" s="98"/>
      <c r="W225" s="130"/>
      <c r="X225" s="203"/>
      <c r="Y225" s="147"/>
      <c r="Z225" s="117"/>
    </row>
    <row r="226" spans="1:26" ht="12.75">
      <c r="A226" s="12"/>
      <c r="B226" s="38"/>
      <c r="C226" s="18"/>
      <c r="D226" s="18"/>
      <c r="E226" s="46"/>
      <c r="F226" s="46"/>
      <c r="G226" s="10"/>
      <c r="H226" s="10"/>
      <c r="I226" s="10"/>
      <c r="V226" s="98"/>
      <c r="W226" s="130"/>
      <c r="X226" s="203"/>
      <c r="Y226" s="147"/>
      <c r="Z226" s="117"/>
    </row>
    <row r="227" spans="1:26" ht="12.75">
      <c r="A227" s="12"/>
      <c r="B227" s="38"/>
      <c r="C227" s="18"/>
      <c r="D227" s="18"/>
      <c r="E227" s="46"/>
      <c r="F227" s="46"/>
      <c r="G227" s="10"/>
      <c r="H227" s="39"/>
      <c r="I227" s="10"/>
      <c r="V227" s="98"/>
      <c r="W227" s="130"/>
      <c r="X227" s="203"/>
      <c r="Y227" s="147"/>
      <c r="Z227" s="117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/>
      <c r="W228" s="130"/>
      <c r="X228" s="203"/>
      <c r="Y228" s="147"/>
      <c r="Z228" s="117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/>
      <c r="W229" s="130"/>
      <c r="X229" s="203"/>
      <c r="Y229" s="147"/>
      <c r="Z229" s="117"/>
    </row>
    <row r="230" spans="1:26" ht="12.75">
      <c r="A230" s="49"/>
      <c r="B230" s="10"/>
      <c r="C230" s="10"/>
      <c r="D230" s="10"/>
      <c r="E230" s="10"/>
      <c r="F230" s="10"/>
      <c r="G230" s="10"/>
      <c r="H230" s="10"/>
      <c r="I230" s="10"/>
      <c r="V230" s="98"/>
      <c r="W230" s="130"/>
      <c r="X230" s="203"/>
      <c r="Y230" s="147"/>
      <c r="Z230" s="117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/>
      <c r="W231" s="130"/>
      <c r="X231" s="203"/>
      <c r="Y231" s="147"/>
      <c r="Z231" s="117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/>
      <c r="W232" s="130"/>
      <c r="X232" s="203"/>
      <c r="Y232" s="147"/>
      <c r="Z232" s="117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/>
      <c r="W233" s="130"/>
      <c r="X233" s="203"/>
      <c r="Y233" s="147"/>
      <c r="Z233" s="117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/>
      <c r="W234" s="130"/>
      <c r="X234" s="203"/>
      <c r="Y234" s="147"/>
      <c r="Z234" s="117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/>
      <c r="W235" s="130"/>
      <c r="X235" s="203"/>
      <c r="Y235" s="147"/>
      <c r="Z235" s="117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/>
      <c r="W236" s="130"/>
      <c r="X236" s="203"/>
      <c r="Y236" s="147"/>
      <c r="Z236" s="117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/>
      <c r="W237" s="130"/>
      <c r="X237" s="203"/>
      <c r="Y237" s="147"/>
      <c r="Z237" s="117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/>
      <c r="W238" s="130"/>
      <c r="X238" s="203"/>
      <c r="Y238" s="147"/>
      <c r="Z238" s="117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/>
      <c r="W239" s="130"/>
      <c r="X239" s="203"/>
      <c r="Y239" s="147"/>
      <c r="Z239" s="117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/>
      <c r="W240" s="130"/>
      <c r="X240" s="203"/>
      <c r="Y240" s="147"/>
      <c r="Z240" s="117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/>
      <c r="W241" s="130"/>
      <c r="X241" s="203"/>
      <c r="Y241" s="147"/>
      <c r="Z241" s="117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/>
      <c r="W242" s="130"/>
      <c r="X242" s="203"/>
      <c r="Y242" s="147"/>
      <c r="Z242" s="117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/>
      <c r="W243" s="130"/>
      <c r="X243" s="203"/>
      <c r="Y243" s="147"/>
      <c r="Z243" s="117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/>
      <c r="W244" s="130"/>
      <c r="X244" s="203"/>
      <c r="Y244" s="147"/>
      <c r="Z244" s="117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/>
      <c r="W245" s="130"/>
      <c r="X245" s="203"/>
      <c r="Y245" s="147"/>
      <c r="Z245" s="117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/>
      <c r="W246" s="130"/>
      <c r="X246" s="203"/>
      <c r="Y246" s="147"/>
      <c r="Z246" s="117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/>
      <c r="W247" s="130"/>
      <c r="X247" s="203"/>
      <c r="Y247" s="147"/>
      <c r="Z247" s="117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/>
      <c r="W248" s="130"/>
      <c r="X248" s="203"/>
      <c r="Y248" s="147"/>
      <c r="Z248" s="117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/>
      <c r="W249" s="130"/>
      <c r="X249" s="203"/>
      <c r="Y249" s="147"/>
      <c r="Z249" s="117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/>
      <c r="W250" s="130"/>
      <c r="X250" s="203"/>
      <c r="Y250" s="147"/>
      <c r="Z250" s="117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V251" s="98"/>
      <c r="W251" s="130"/>
      <c r="X251" s="203"/>
      <c r="Y251" s="147"/>
      <c r="Z251" s="117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V252" s="98"/>
      <c r="W252" s="130"/>
      <c r="X252" s="203"/>
      <c r="Y252" s="147"/>
      <c r="Z252" s="117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V253" s="98"/>
      <c r="W253" s="130"/>
      <c r="X253" s="203"/>
      <c r="Y253" s="147"/>
      <c r="Z253" s="117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V254" s="98"/>
      <c r="W254" s="130"/>
      <c r="X254" s="203"/>
      <c r="Y254" s="147"/>
      <c r="Z254" s="117"/>
    </row>
    <row r="255" spans="22:26" ht="12.75">
      <c r="V255" s="98"/>
      <c r="W255" s="130"/>
      <c r="X255" s="203"/>
      <c r="Y255" s="147"/>
      <c r="Z255" s="117"/>
    </row>
    <row r="256" spans="22:26" ht="12.75">
      <c r="V256" s="98"/>
      <c r="W256" s="130"/>
      <c r="X256" s="203"/>
      <c r="Y256" s="147"/>
      <c r="Z256" s="117"/>
    </row>
    <row r="257" spans="22:26" ht="12.75">
      <c r="V257" s="98"/>
      <c r="W257" s="130"/>
      <c r="X257" s="203"/>
      <c r="Y257" s="147"/>
      <c r="Z257" s="117"/>
    </row>
    <row r="258" spans="22:26" ht="12.75">
      <c r="V258" s="98"/>
      <c r="W258" s="130"/>
      <c r="X258" s="203"/>
      <c r="Y258" s="147"/>
      <c r="Z258" s="117"/>
    </row>
    <row r="259" spans="22:26" ht="12.75">
      <c r="V259" s="98"/>
      <c r="W259" s="130"/>
      <c r="X259" s="203"/>
      <c r="Y259" s="147"/>
      <c r="Z259" s="117"/>
    </row>
    <row r="260" spans="22:26" ht="12.75">
      <c r="V260" s="98"/>
      <c r="W260" s="130"/>
      <c r="X260" s="203"/>
      <c r="Y260" s="147"/>
      <c r="Z260" s="117"/>
    </row>
    <row r="261" spans="22:26" ht="12.75">
      <c r="V261" s="98"/>
      <c r="W261" s="130"/>
      <c r="X261" s="203"/>
      <c r="Y261" s="147"/>
      <c r="Z261" s="117"/>
    </row>
    <row r="262" spans="22:26" ht="12.75">
      <c r="V262" s="98"/>
      <c r="W262" s="130"/>
      <c r="X262" s="203"/>
      <c r="Y262" s="147"/>
      <c r="Z262" s="117"/>
    </row>
    <row r="263" spans="22:26" ht="12.75">
      <c r="V263" s="98"/>
      <c r="W263" s="130"/>
      <c r="X263" s="203"/>
      <c r="Y263" s="147"/>
      <c r="Z263" s="117"/>
    </row>
    <row r="264" spans="22:26" ht="12.75">
      <c r="V264" s="98"/>
      <c r="W264" s="130"/>
      <c r="X264" s="203"/>
      <c r="Y264" s="147"/>
      <c r="Z264" s="117"/>
    </row>
    <row r="265" spans="22:26" ht="12.75">
      <c r="V265" s="98"/>
      <c r="W265" s="130"/>
      <c r="X265" s="203"/>
      <c r="Y265" s="147"/>
      <c r="Z265" s="117"/>
    </row>
    <row r="266" spans="22:26" ht="12.75">
      <c r="V266" s="98"/>
      <c r="W266" s="130"/>
      <c r="X266" s="203"/>
      <c r="Y266" s="147"/>
      <c r="Z266" s="117"/>
    </row>
    <row r="267" spans="22:26" ht="12.75">
      <c r="V267" s="98"/>
      <c r="W267" s="130"/>
      <c r="X267" s="203"/>
      <c r="Y267" s="147"/>
      <c r="Z267" s="117"/>
    </row>
    <row r="268" spans="22:26" ht="12.75">
      <c r="V268" s="98"/>
      <c r="W268" s="130"/>
      <c r="X268" s="203"/>
      <c r="Y268" s="147"/>
      <c r="Z268" s="117"/>
    </row>
    <row r="269" spans="22:26" ht="12.75">
      <c r="V269" s="98"/>
      <c r="W269" s="130"/>
      <c r="X269" s="203"/>
      <c r="Y269" s="147"/>
      <c r="Z269" s="117"/>
    </row>
    <row r="270" spans="22:26" ht="12.75">
      <c r="V270" s="98"/>
      <c r="W270" s="130"/>
      <c r="X270" s="203"/>
      <c r="Y270" s="147"/>
      <c r="Z270" s="117"/>
    </row>
    <row r="271" spans="22:26" ht="12.75">
      <c r="V271" s="98"/>
      <c r="W271" s="130"/>
      <c r="X271" s="203"/>
      <c r="Y271" s="147"/>
      <c r="Z271" s="117"/>
    </row>
    <row r="272" spans="22:26" ht="12.75">
      <c r="V272" s="98"/>
      <c r="W272" s="130"/>
      <c r="X272" s="203"/>
      <c r="Y272" s="147"/>
      <c r="Z272" s="117"/>
    </row>
    <row r="273" spans="22:26" ht="12.75">
      <c r="V273" s="98"/>
      <c r="W273" s="130"/>
      <c r="X273" s="203"/>
      <c r="Y273" s="147"/>
      <c r="Z273" s="117"/>
    </row>
    <row r="274" spans="22:26" ht="12.75">
      <c r="V274" s="98"/>
      <c r="W274" s="130"/>
      <c r="X274" s="203"/>
      <c r="Y274" s="147"/>
      <c r="Z274" s="117"/>
    </row>
    <row r="275" spans="22:26" ht="12.75">
      <c r="V275" s="98"/>
      <c r="W275" s="130"/>
      <c r="X275" s="203"/>
      <c r="Y275" s="147"/>
      <c r="Z275" s="117"/>
    </row>
    <row r="276" spans="22:26" ht="12.75">
      <c r="V276" s="98"/>
      <c r="W276" s="130"/>
      <c r="X276" s="203"/>
      <c r="Y276" s="147"/>
      <c r="Z276" s="117"/>
    </row>
    <row r="277" spans="22:26" ht="12.75">
      <c r="V277" s="98"/>
      <c r="W277" s="130"/>
      <c r="X277" s="203"/>
      <c r="Y277" s="147"/>
      <c r="Z277" s="117"/>
    </row>
    <row r="278" spans="22:26" ht="12.75">
      <c r="V278" s="98"/>
      <c r="W278" s="130"/>
      <c r="X278" s="203"/>
      <c r="Y278" s="147"/>
      <c r="Z278" s="117"/>
    </row>
    <row r="279" spans="22:26" ht="12.75">
      <c r="V279" s="98"/>
      <c r="W279" s="130"/>
      <c r="X279" s="203"/>
      <c r="Y279" s="147"/>
      <c r="Z279" s="117"/>
    </row>
    <row r="280" spans="22:26" ht="12.75">
      <c r="V280" s="98"/>
      <c r="W280" s="130"/>
      <c r="X280" s="203"/>
      <c r="Y280" s="147"/>
      <c r="Z280" s="117"/>
    </row>
    <row r="281" spans="22:26" ht="12.75">
      <c r="V281" s="98"/>
      <c r="W281" s="130"/>
      <c r="X281" s="203"/>
      <c r="Y281" s="147"/>
      <c r="Z281" s="117"/>
    </row>
    <row r="282" spans="22:26" ht="12.75">
      <c r="V282" s="98"/>
      <c r="W282" s="130"/>
      <c r="X282" s="203"/>
      <c r="Y282" s="147"/>
      <c r="Z282" s="117"/>
    </row>
    <row r="283" spans="22:26" ht="12.75">
      <c r="V283" s="98"/>
      <c r="W283" s="130"/>
      <c r="X283" s="203"/>
      <c r="Y283" s="147"/>
      <c r="Z283" s="117"/>
    </row>
    <row r="284" spans="22:26" ht="12.75">
      <c r="V284" s="98"/>
      <c r="W284" s="130"/>
      <c r="X284" s="203"/>
      <c r="Y284" s="147"/>
      <c r="Z284" s="117"/>
    </row>
    <row r="285" spans="22:24" ht="12.75">
      <c r="V285" s="98"/>
      <c r="W285" s="130"/>
      <c r="X285" s="203"/>
    </row>
    <row r="286" spans="22:24" ht="12.75">
      <c r="V286" s="98"/>
      <c r="W286" s="130"/>
      <c r="X286" s="203"/>
    </row>
    <row r="287" spans="22:24" ht="12.75">
      <c r="V287" s="98"/>
      <c r="W287" s="130"/>
      <c r="X287" s="203"/>
    </row>
    <row r="288" spans="22:24" ht="12.75">
      <c r="V288" s="98"/>
      <c r="W288" s="130"/>
      <c r="X288" s="203"/>
    </row>
    <row r="289" spans="22:24" ht="12.75">
      <c r="V289" s="98"/>
      <c r="W289" s="130"/>
      <c r="X289" s="203"/>
    </row>
    <row r="290" spans="22:24" ht="12.75">
      <c r="V290" s="98"/>
      <c r="W290" s="130"/>
      <c r="X290" s="203"/>
    </row>
    <row r="291" spans="22:24" ht="12.75">
      <c r="V291" s="98"/>
      <c r="W291" s="130"/>
      <c r="X291" s="203"/>
    </row>
    <row r="292" spans="22:26" ht="12.75">
      <c r="V292" s="98"/>
      <c r="W292" s="130"/>
      <c r="X292" s="203"/>
      <c r="Y292" s="62"/>
      <c r="Z292" s="62"/>
    </row>
    <row r="293" spans="22:26" ht="12.75">
      <c r="V293" s="98"/>
      <c r="W293" s="130"/>
      <c r="X293" s="203"/>
      <c r="Y293" s="98"/>
      <c r="Z293" s="62"/>
    </row>
    <row r="294" spans="22:26" ht="12.75">
      <c r="V294" s="98"/>
      <c r="W294" s="130"/>
      <c r="X294" s="203"/>
      <c r="Y294" s="98"/>
      <c r="Z294" s="62"/>
    </row>
    <row r="295" spans="22:26" ht="12.75">
      <c r="V295" s="98"/>
      <c r="W295" s="130"/>
      <c r="X295" s="203"/>
      <c r="Z295" s="62"/>
    </row>
    <row r="296" spans="22:26" ht="12.75">
      <c r="V296" s="98"/>
      <c r="W296" s="130"/>
      <c r="X296" s="203"/>
      <c r="Y296" s="62"/>
      <c r="Z296" s="62"/>
    </row>
    <row r="297" spans="22:24" ht="12.75">
      <c r="V297" s="98"/>
      <c r="W297" s="130"/>
      <c r="X297" s="203"/>
    </row>
    <row r="298" spans="22:26" ht="12.75">
      <c r="V298" s="98"/>
      <c r="W298" s="130"/>
      <c r="X298" s="203"/>
      <c r="Y298" s="62"/>
      <c r="Z298" s="62"/>
    </row>
    <row r="299" spans="22:26" ht="12.75">
      <c r="V299" s="98"/>
      <c r="W299" s="130"/>
      <c r="X299" s="203"/>
      <c r="Y299" s="98"/>
      <c r="Z299" s="62"/>
    </row>
    <row r="300" spans="22:26" ht="12.75">
      <c r="V300" s="98"/>
      <c r="W300" s="130"/>
      <c r="X300" s="203"/>
      <c r="Y300" s="98"/>
      <c r="Z300" s="62"/>
    </row>
    <row r="301" spans="22:26" ht="12.75">
      <c r="V301" s="98"/>
      <c r="W301" s="130"/>
      <c r="X301" s="203"/>
      <c r="Z301" s="62"/>
    </row>
    <row r="302" spans="22:26" ht="12.75">
      <c r="V302" s="98"/>
      <c r="W302" s="130"/>
      <c r="X302" s="203"/>
      <c r="Y302" s="62"/>
      <c r="Z302" s="62"/>
    </row>
    <row r="303" spans="22:24" ht="12.75">
      <c r="V303" s="98"/>
      <c r="W303" s="130"/>
      <c r="X303" s="203"/>
    </row>
    <row r="304" spans="22:24" ht="12.75">
      <c r="V304" s="98"/>
      <c r="W304" s="130"/>
      <c r="X304" s="203"/>
    </row>
    <row r="305" spans="22:24" ht="12.75">
      <c r="V305" s="98"/>
      <c r="W305" s="130"/>
      <c r="X305" s="203"/>
    </row>
    <row r="306" spans="22:24" ht="12.75">
      <c r="V306" s="98"/>
      <c r="W306" s="130"/>
      <c r="X306" s="203"/>
    </row>
    <row r="307" spans="22:24" ht="12.75">
      <c r="V307" s="98"/>
      <c r="W307" s="130"/>
      <c r="X307" s="203"/>
    </row>
    <row r="308" spans="22:24" ht="12.75">
      <c r="V308" s="98"/>
      <c r="W308" s="130"/>
      <c r="X308" s="203"/>
    </row>
    <row r="309" spans="22:24" ht="12.75">
      <c r="V309" s="98"/>
      <c r="W309" s="130"/>
      <c r="X309" s="203"/>
    </row>
    <row r="310" spans="22:24" ht="12.75">
      <c r="V310" s="98"/>
      <c r="W310" s="130"/>
      <c r="X310" s="203"/>
    </row>
    <row r="311" spans="22:24" ht="12.75">
      <c r="V311" s="98"/>
      <c r="W311" s="130"/>
      <c r="X311" s="203"/>
    </row>
    <row r="312" spans="22:24" ht="12.75">
      <c r="V312" s="98"/>
      <c r="W312" s="130"/>
      <c r="X312" s="203"/>
    </row>
    <row r="313" spans="22:24" ht="12.75">
      <c r="V313" s="98"/>
      <c r="W313" s="130"/>
      <c r="X313" s="203"/>
    </row>
    <row r="314" spans="22:24" ht="12.75">
      <c r="V314" s="98"/>
      <c r="W314" s="130"/>
      <c r="X314" s="203"/>
    </row>
    <row r="315" spans="22:24" ht="12.75">
      <c r="V315" s="98"/>
      <c r="W315" s="130"/>
      <c r="X315" s="203"/>
    </row>
    <row r="316" spans="22:24" ht="12.75">
      <c r="V316" s="98"/>
      <c r="W316" s="130"/>
      <c r="X316" s="203"/>
    </row>
    <row r="317" spans="22:24" ht="12.75">
      <c r="V317" s="98"/>
      <c r="W317" s="130"/>
      <c r="X317" s="203"/>
    </row>
    <row r="318" spans="22:24" ht="12.75">
      <c r="V318" s="98"/>
      <c r="W318" s="130"/>
      <c r="X318" s="203"/>
    </row>
    <row r="319" spans="22:24" ht="12.75">
      <c r="V319" s="98"/>
      <c r="W319" s="130"/>
      <c r="X319" s="203"/>
    </row>
    <row r="320" spans="22:24" ht="12.75">
      <c r="V320" s="98"/>
      <c r="W320" s="130"/>
      <c r="X320" s="203"/>
    </row>
    <row r="321" spans="22:24" ht="12.75">
      <c r="V321" s="98"/>
      <c r="W321" s="130"/>
      <c r="X321" s="203"/>
    </row>
    <row r="322" spans="22:24" ht="12.75">
      <c r="V322" s="98"/>
      <c r="W322" s="130"/>
      <c r="X322" s="203"/>
    </row>
    <row r="323" spans="22:24" ht="12.75">
      <c r="V323" s="98"/>
      <c r="W323" s="130"/>
      <c r="X323" s="203"/>
    </row>
    <row r="324" spans="22:24" ht="12.75">
      <c r="V324" s="98"/>
      <c r="W324" s="130"/>
      <c r="X324" s="203"/>
    </row>
    <row r="325" spans="22:24" ht="12.75">
      <c r="V325" s="98"/>
      <c r="W325" s="130"/>
      <c r="X325" s="203"/>
    </row>
    <row r="326" spans="22:24" ht="12.75">
      <c r="V326" s="98"/>
      <c r="W326" s="130"/>
      <c r="X326" s="203"/>
    </row>
    <row r="327" spans="22:24" ht="12.75">
      <c r="V327" s="98"/>
      <c r="W327" s="130"/>
      <c r="X327" s="203"/>
    </row>
    <row r="328" spans="22:24" ht="12.75">
      <c r="V328" s="98"/>
      <c r="W328" s="130"/>
      <c r="X328" s="203"/>
    </row>
    <row r="329" spans="22:24" ht="12.75">
      <c r="V329" s="98"/>
      <c r="W329" s="130"/>
      <c r="X329" s="203"/>
    </row>
    <row r="330" spans="22:24" ht="12.75">
      <c r="V330" s="98"/>
      <c r="W330" s="130"/>
      <c r="X330" s="203"/>
    </row>
    <row r="331" spans="22:24" ht="12.75">
      <c r="V331" s="98"/>
      <c r="W331" s="130"/>
      <c r="X331" s="203"/>
    </row>
    <row r="332" spans="22:24" ht="12.75">
      <c r="V332" s="98"/>
      <c r="W332" s="130"/>
      <c r="X332" s="203"/>
    </row>
    <row r="333" spans="22:24" ht="12.75">
      <c r="V333" s="98"/>
      <c r="W333" s="130"/>
      <c r="X333" s="203"/>
    </row>
    <row r="334" spans="22:24" ht="12.75">
      <c r="V334" s="98"/>
      <c r="W334" s="130"/>
      <c r="X334" s="203"/>
    </row>
    <row r="335" spans="22:24" ht="12.75">
      <c r="V335" s="98"/>
      <c r="W335" s="130"/>
      <c r="X335" s="203"/>
    </row>
    <row r="336" spans="22:24" ht="12.75">
      <c r="V336" s="98"/>
      <c r="W336" s="130"/>
      <c r="X336" s="203"/>
    </row>
    <row r="337" spans="22:24" ht="12.75">
      <c r="V337" s="98"/>
      <c r="W337" s="130"/>
      <c r="X337" s="203"/>
    </row>
    <row r="338" spans="22:24" ht="12.75">
      <c r="V338" s="98"/>
      <c r="W338" s="130"/>
      <c r="X338" s="203"/>
    </row>
    <row r="339" spans="22:24" ht="12.75">
      <c r="V339" s="98"/>
      <c r="W339" s="130"/>
      <c r="X339" s="203"/>
    </row>
    <row r="340" spans="22:24" ht="12.75">
      <c r="V340" s="98"/>
      <c r="W340" s="130"/>
      <c r="X340" s="203"/>
    </row>
    <row r="341" spans="22:24" ht="12.75">
      <c r="V341" s="98"/>
      <c r="W341" s="130"/>
      <c r="X341" s="203"/>
    </row>
    <row r="342" spans="22:24" ht="12.75">
      <c r="V342" s="98"/>
      <c r="W342" s="130"/>
      <c r="X342" s="203"/>
    </row>
    <row r="343" spans="22:24" ht="12.75">
      <c r="V343" s="98"/>
      <c r="W343" s="130"/>
      <c r="X343" s="203"/>
    </row>
    <row r="344" spans="22:24" ht="12.75">
      <c r="V344" s="98"/>
      <c r="W344" s="130"/>
      <c r="X344" s="203"/>
    </row>
    <row r="345" spans="22:24" ht="12.75">
      <c r="V345" s="98"/>
      <c r="W345" s="130"/>
      <c r="X345" s="203"/>
    </row>
    <row r="346" spans="22:24" ht="12.75">
      <c r="V346" s="98"/>
      <c r="W346" s="130"/>
      <c r="X346" s="203"/>
    </row>
    <row r="347" spans="22:24" ht="12.75">
      <c r="V347" s="98"/>
      <c r="W347" s="130"/>
      <c r="X347" s="203"/>
    </row>
    <row r="348" spans="22:24" ht="12.75">
      <c r="V348" s="98"/>
      <c r="W348" s="130"/>
      <c r="X348" s="203"/>
    </row>
    <row r="349" spans="22:24" ht="12.75">
      <c r="V349" s="98"/>
      <c r="W349" s="130"/>
      <c r="X349" s="203"/>
    </row>
    <row r="350" spans="22:24" ht="12.75">
      <c r="V350" s="98"/>
      <c r="W350" s="130"/>
      <c r="X350" s="203"/>
    </row>
    <row r="351" spans="22:24" ht="12.75">
      <c r="V351" s="98"/>
      <c r="W351" s="130"/>
      <c r="X351" s="203"/>
    </row>
    <row r="352" spans="22:24" ht="12.75">
      <c r="V352" s="98"/>
      <c r="W352" s="130"/>
      <c r="X352" s="203"/>
    </row>
    <row r="353" spans="22:24" ht="12.75">
      <c r="V353" s="98"/>
      <c r="W353" s="130"/>
      <c r="X353" s="203"/>
    </row>
    <row r="354" spans="22:24" ht="12.75">
      <c r="V354" s="98"/>
      <c r="W354" s="130"/>
      <c r="X354" s="203"/>
    </row>
    <row r="355" spans="22:24" ht="12.75">
      <c r="V355" s="98"/>
      <c r="W355" s="130"/>
      <c r="X355" s="203"/>
    </row>
    <row r="356" spans="22:24" ht="12.75">
      <c r="V356" s="98"/>
      <c r="W356" s="130"/>
      <c r="X356" s="203"/>
    </row>
    <row r="357" spans="22:24" ht="12.75">
      <c r="V357" s="98"/>
      <c r="W357" s="130"/>
      <c r="X357" s="203"/>
    </row>
    <row r="358" spans="22:24" ht="12.75">
      <c r="V358" s="98"/>
      <c r="W358" s="130"/>
      <c r="X358" s="203"/>
    </row>
    <row r="359" spans="22:24" ht="12.75">
      <c r="V359" s="98"/>
      <c r="W359" s="130"/>
      <c r="X359" s="203"/>
    </row>
    <row r="360" spans="22:24" ht="12.75">
      <c r="V360" s="98"/>
      <c r="W360" s="130"/>
      <c r="X360" s="203"/>
    </row>
    <row r="361" spans="22:24" ht="12.75">
      <c r="V361" s="98"/>
      <c r="W361" s="130"/>
      <c r="X361" s="203"/>
    </row>
    <row r="362" spans="22:24" ht="12.75">
      <c r="V362" s="98"/>
      <c r="W362" s="130"/>
      <c r="X362" s="203"/>
    </row>
    <row r="363" spans="22:24" ht="12.75">
      <c r="V363" s="98"/>
      <c r="W363" s="130"/>
      <c r="X363" s="203"/>
    </row>
    <row r="364" spans="22:24" ht="12.75">
      <c r="V364" s="98"/>
      <c r="W364" s="130"/>
      <c r="X364" s="203"/>
    </row>
    <row r="365" spans="22:24" ht="12.75">
      <c r="V365" s="98"/>
      <c r="W365" s="130"/>
      <c r="X365" s="203"/>
    </row>
    <row r="366" spans="22:24" ht="12.75">
      <c r="V366" s="98"/>
      <c r="W366" s="130"/>
      <c r="X366" s="203"/>
    </row>
    <row r="367" spans="22:24" ht="12.75">
      <c r="V367" s="98"/>
      <c r="W367" s="130"/>
      <c r="X367" s="203"/>
    </row>
    <row r="368" spans="22:24" ht="12.75">
      <c r="V368" s="98"/>
      <c r="W368" s="130"/>
      <c r="X368" s="203"/>
    </row>
    <row r="369" spans="22:24" ht="12.75">
      <c r="V369" s="98"/>
      <c r="W369" s="130"/>
      <c r="X369" s="203"/>
    </row>
    <row r="370" spans="22:24" ht="12.75">
      <c r="V370" s="98"/>
      <c r="W370" s="130"/>
      <c r="X370" s="203"/>
    </row>
    <row r="371" spans="22:24" ht="12.75">
      <c r="V371" s="98"/>
      <c r="W371" s="130"/>
      <c r="X371" s="203"/>
    </row>
    <row r="372" spans="22:24" ht="12.75">
      <c r="V372" s="98"/>
      <c r="W372" s="130"/>
      <c r="X372" s="203"/>
    </row>
    <row r="373" spans="22:24" ht="12.75">
      <c r="V373" s="98"/>
      <c r="W373" s="130"/>
      <c r="X373" s="203"/>
    </row>
    <row r="374" spans="22:24" ht="12.75">
      <c r="V374" s="98"/>
      <c r="W374" s="130"/>
      <c r="X374" s="203"/>
    </row>
    <row r="375" spans="22:24" ht="12.75">
      <c r="V375" s="98"/>
      <c r="W375" s="130"/>
      <c r="X375" s="203"/>
    </row>
    <row r="376" spans="22:24" ht="12.75">
      <c r="V376" s="98"/>
      <c r="W376" s="130"/>
      <c r="X376" s="203"/>
    </row>
    <row r="377" spans="22:24" ht="12.75">
      <c r="V377" s="98"/>
      <c r="W377" s="130"/>
      <c r="X377" s="203"/>
    </row>
    <row r="378" spans="22:24" ht="12.75">
      <c r="V378" s="98"/>
      <c r="W378" s="130"/>
      <c r="X378" s="203"/>
    </row>
    <row r="379" spans="22:24" ht="12.75">
      <c r="V379" s="98"/>
      <c r="W379" s="130"/>
      <c r="X379" s="203"/>
    </row>
    <row r="380" spans="22:24" ht="12.75">
      <c r="V380" s="98"/>
      <c r="W380" s="130"/>
      <c r="X380" s="203"/>
    </row>
    <row r="381" spans="22:24" ht="12.75">
      <c r="V381" s="98"/>
      <c r="W381" s="130"/>
      <c r="X381" s="203"/>
    </row>
    <row r="382" spans="22:24" ht="12.75">
      <c r="V382" s="98"/>
      <c r="W382" s="130"/>
      <c r="X382" s="203"/>
    </row>
    <row r="383" spans="22:24" ht="12.75">
      <c r="V383" s="98"/>
      <c r="W383" s="130"/>
      <c r="X383" s="203"/>
    </row>
    <row r="384" spans="22:24" ht="12.75">
      <c r="V384" s="98"/>
      <c r="W384" s="130"/>
      <c r="X384" s="203"/>
    </row>
    <row r="385" spans="22:24" ht="12.75">
      <c r="V385" s="98"/>
      <c r="W385" s="130"/>
      <c r="X385" s="203"/>
    </row>
    <row r="386" spans="22:24" ht="12.75">
      <c r="V386" s="98"/>
      <c r="W386" s="130"/>
      <c r="X386" s="203"/>
    </row>
    <row r="387" spans="22:24" ht="12.75">
      <c r="V387" s="98"/>
      <c r="W387" s="130"/>
      <c r="X387" s="203"/>
    </row>
    <row r="388" spans="22:24" ht="12.75">
      <c r="V388" s="98"/>
      <c r="W388" s="130"/>
      <c r="X388" s="203"/>
    </row>
    <row r="389" spans="22:24" ht="12.75">
      <c r="V389" s="98"/>
      <c r="W389" s="130"/>
      <c r="X389" s="203"/>
    </row>
    <row r="390" spans="22:24" ht="12.75">
      <c r="V390" s="98"/>
      <c r="W390" s="130"/>
      <c r="X390" s="203"/>
    </row>
    <row r="391" spans="22:24" ht="12.75">
      <c r="V391" s="98"/>
      <c r="W391" s="130"/>
      <c r="X391" s="203"/>
    </row>
    <row r="392" spans="22:24" ht="12.75">
      <c r="V392" s="98"/>
      <c r="W392" s="130"/>
      <c r="X392" s="203"/>
    </row>
    <row r="393" spans="22:24" ht="12.75">
      <c r="V393" s="98"/>
      <c r="W393" s="130"/>
      <c r="X393" s="203"/>
    </row>
    <row r="394" spans="22:24" ht="12.75">
      <c r="V394" s="98"/>
      <c r="W394" s="130"/>
      <c r="X394" s="203"/>
    </row>
    <row r="395" spans="22:24" ht="12.75">
      <c r="V395" s="98"/>
      <c r="W395" s="130"/>
      <c r="X395" s="203"/>
    </row>
    <row r="396" spans="22:24" ht="12.75">
      <c r="V396" s="98"/>
      <c r="W396" s="130"/>
      <c r="X396" s="203"/>
    </row>
    <row r="397" spans="22:24" ht="12.75">
      <c r="V397" s="98"/>
      <c r="W397" s="130"/>
      <c r="X397" s="203"/>
    </row>
    <row r="398" spans="22:24" ht="12.75">
      <c r="V398" s="98"/>
      <c r="W398" s="130"/>
      <c r="X398" s="203"/>
    </row>
    <row r="399" spans="22:24" ht="12.75">
      <c r="V399" s="98"/>
      <c r="W399" s="130"/>
      <c r="X399" s="203"/>
    </row>
    <row r="400" spans="22:24" ht="12.75">
      <c r="V400" s="98"/>
      <c r="W400" s="130"/>
      <c r="X400" s="203"/>
    </row>
    <row r="401" spans="22:24" ht="12.75">
      <c r="V401" s="98"/>
      <c r="W401" s="130"/>
      <c r="X401" s="203"/>
    </row>
    <row r="402" spans="22:24" ht="12.75">
      <c r="V402" s="98"/>
      <c r="W402" s="130"/>
      <c r="X402" s="203"/>
    </row>
    <row r="403" spans="22:24" ht="12.75">
      <c r="V403" s="98"/>
      <c r="W403" s="130"/>
      <c r="X403" s="203"/>
    </row>
    <row r="404" spans="22:24" ht="12.75">
      <c r="V404" s="98"/>
      <c r="W404" s="130"/>
      <c r="X404" s="203"/>
    </row>
    <row r="405" spans="22:24" ht="12.75">
      <c r="V405" s="98"/>
      <c r="W405" s="130"/>
      <c r="X405" s="203"/>
    </row>
    <row r="406" spans="22:24" ht="12.75">
      <c r="V406" s="98"/>
      <c r="W406" s="130"/>
      <c r="X406" s="203"/>
    </row>
    <row r="407" spans="22:24" ht="12.75">
      <c r="V407" s="98"/>
      <c r="W407" s="130"/>
      <c r="X407" s="203"/>
    </row>
    <row r="408" spans="22:24" ht="12.75">
      <c r="V408" s="98"/>
      <c r="W408" s="130"/>
      <c r="X408" s="203"/>
    </row>
    <row r="409" spans="22:24" ht="12.75">
      <c r="V409" s="98"/>
      <c r="W409" s="130"/>
      <c r="X409" s="203"/>
    </row>
    <row r="410" spans="22:24" ht="12.75">
      <c r="V410" s="98"/>
      <c r="W410" s="130"/>
      <c r="X410" s="203"/>
    </row>
    <row r="411" spans="22:24" ht="12.75">
      <c r="V411" s="98"/>
      <c r="W411" s="130"/>
      <c r="X411" s="203"/>
    </row>
    <row r="412" spans="22:24" ht="12.75">
      <c r="V412" s="98"/>
      <c r="W412" s="130"/>
      <c r="X412" s="203"/>
    </row>
    <row r="413" spans="22:24" ht="12.75">
      <c r="V413" s="98"/>
      <c r="W413" s="130"/>
      <c r="X413" s="203"/>
    </row>
    <row r="414" spans="22:24" ht="12.75">
      <c r="V414" s="98"/>
      <c r="W414" s="130"/>
      <c r="X414" s="203"/>
    </row>
    <row r="415" spans="22:24" ht="12.75">
      <c r="V415" s="98"/>
      <c r="W415" s="130"/>
      <c r="X415" s="203"/>
    </row>
    <row r="416" spans="22:24" ht="12.75">
      <c r="V416" s="98"/>
      <c r="W416" s="130"/>
      <c r="X416" s="203"/>
    </row>
    <row r="417" spans="22:24" ht="12.75">
      <c r="V417" s="98"/>
      <c r="W417" s="130"/>
      <c r="X417" s="203"/>
    </row>
    <row r="418" spans="22:24" ht="12.75">
      <c r="V418" s="98"/>
      <c r="W418" s="130"/>
      <c r="X418" s="203"/>
    </row>
    <row r="419" spans="22:24" ht="12.75">
      <c r="V419" s="98"/>
      <c r="W419" s="130"/>
      <c r="X419" s="203"/>
    </row>
    <row r="420" spans="22:24" ht="12.75">
      <c r="V420" s="98"/>
      <c r="W420" s="130"/>
      <c r="X420" s="203"/>
    </row>
    <row r="421" spans="22:24" ht="12.75">
      <c r="V421" s="98"/>
      <c r="W421" s="130"/>
      <c r="X421" s="203"/>
    </row>
    <row r="422" spans="22:24" ht="12.75">
      <c r="V422" s="98"/>
      <c r="W422" s="130"/>
      <c r="X422" s="203"/>
    </row>
    <row r="423" spans="22:24" ht="12.75">
      <c r="V423" s="98"/>
      <c r="W423" s="130"/>
      <c r="X423" s="203"/>
    </row>
    <row r="424" spans="22:24" ht="12.75">
      <c r="V424" s="98"/>
      <c r="W424" s="130"/>
      <c r="X424" s="203"/>
    </row>
    <row r="425" spans="22:24" ht="12.75">
      <c r="V425" s="98"/>
      <c r="W425" s="130"/>
      <c r="X425" s="203"/>
    </row>
    <row r="426" spans="22:24" ht="12.75">
      <c r="V426" s="98"/>
      <c r="W426" s="130"/>
      <c r="X426" s="203"/>
    </row>
    <row r="427" spans="22:24" ht="12.75">
      <c r="V427" s="98"/>
      <c r="W427" s="130"/>
      <c r="X427" s="203"/>
    </row>
    <row r="428" spans="22:24" ht="12.75">
      <c r="V428" s="98"/>
      <c r="W428" s="130"/>
      <c r="X428" s="203"/>
    </row>
    <row r="429" spans="22:24" ht="12.75">
      <c r="V429" s="98"/>
      <c r="W429" s="130"/>
      <c r="X429" s="203"/>
    </row>
    <row r="430" spans="22:24" ht="12.75">
      <c r="V430" s="98"/>
      <c r="W430" s="130"/>
      <c r="X430" s="203"/>
    </row>
    <row r="431" spans="22:24" ht="12.75">
      <c r="V431" s="98"/>
      <c r="W431" s="130"/>
      <c r="X431" s="203"/>
    </row>
    <row r="432" spans="22:24" ht="12.75">
      <c r="V432" s="98"/>
      <c r="W432" s="130"/>
      <c r="X432" s="203"/>
    </row>
    <row r="433" spans="22:24" ht="12.75">
      <c r="V433" s="98"/>
      <c r="W433" s="130"/>
      <c r="X433" s="203"/>
    </row>
    <row r="434" spans="22:24" ht="12.75">
      <c r="V434" s="98"/>
      <c r="W434" s="130"/>
      <c r="X434" s="203"/>
    </row>
    <row r="435" spans="22:24" ht="12.75">
      <c r="V435" s="98"/>
      <c r="W435" s="130"/>
      <c r="X435" s="203"/>
    </row>
    <row r="436" spans="22:24" ht="12.75">
      <c r="V436" s="98"/>
      <c r="W436" s="130"/>
      <c r="X436" s="203"/>
    </row>
    <row r="437" spans="22:24" ht="12.75">
      <c r="V437" s="98"/>
      <c r="W437" s="130"/>
      <c r="X437" s="203"/>
    </row>
    <row r="438" spans="22:24" ht="12.75">
      <c r="V438" s="98"/>
      <c r="W438" s="130"/>
      <c r="X438" s="203"/>
    </row>
    <row r="439" spans="22:24" ht="12.75">
      <c r="V439" s="98"/>
      <c r="W439" s="130"/>
      <c r="X439" s="203"/>
    </row>
    <row r="440" spans="22:24" ht="12.75">
      <c r="V440" s="98"/>
      <c r="W440" s="130"/>
      <c r="X440" s="203"/>
    </row>
    <row r="441" spans="22:24" ht="12.75">
      <c r="V441" s="98"/>
      <c r="W441" s="130"/>
      <c r="X441" s="203"/>
    </row>
    <row r="442" spans="22:24" ht="12.75">
      <c r="V442" s="98"/>
      <c r="W442" s="130"/>
      <c r="X442" s="203"/>
    </row>
    <row r="443" spans="22:24" ht="12.75">
      <c r="V443" s="98"/>
      <c r="W443" s="130"/>
      <c r="X443" s="203"/>
    </row>
    <row r="444" spans="22:24" ht="12.75">
      <c r="V444" s="98"/>
      <c r="W444" s="130"/>
      <c r="X444" s="203"/>
    </row>
    <row r="445" spans="22:24" ht="12.75">
      <c r="V445" s="98"/>
      <c r="W445" s="130"/>
      <c r="X445" s="203"/>
    </row>
    <row r="446" spans="22:24" ht="12.75">
      <c r="V446" s="98"/>
      <c r="W446" s="130"/>
      <c r="X446" s="203"/>
    </row>
    <row r="447" spans="22:24" ht="12.75">
      <c r="V447" s="98"/>
      <c r="W447" s="130"/>
      <c r="X447" s="203"/>
    </row>
    <row r="448" spans="22:24" ht="12.75">
      <c r="V448" s="98"/>
      <c r="W448" s="130"/>
      <c r="X448" s="203"/>
    </row>
    <row r="449" spans="22:24" ht="12.75">
      <c r="V449" s="98"/>
      <c r="W449" s="130"/>
      <c r="X449" s="203"/>
    </row>
    <row r="450" spans="22:24" ht="12.75">
      <c r="V450" s="98"/>
      <c r="W450" s="130"/>
      <c r="X450" s="203"/>
    </row>
    <row r="451" spans="22:24" ht="12.75">
      <c r="V451" s="98"/>
      <c r="W451" s="130"/>
      <c r="X451" s="203"/>
    </row>
    <row r="452" spans="22:24" ht="12.75">
      <c r="V452" s="98"/>
      <c r="W452" s="130"/>
      <c r="X452" s="203"/>
    </row>
    <row r="453" spans="22:24" ht="12.75">
      <c r="V453" s="98"/>
      <c r="W453" s="130"/>
      <c r="X453" s="203"/>
    </row>
    <row r="454" spans="22:24" ht="12.75">
      <c r="V454" s="98"/>
      <c r="W454" s="130"/>
      <c r="X454" s="203"/>
    </row>
    <row r="455" spans="22:24" ht="12.75">
      <c r="V455" s="98"/>
      <c r="W455" s="130"/>
      <c r="X455" s="203"/>
    </row>
    <row r="456" spans="22:24" ht="12.75">
      <c r="V456" s="98"/>
      <c r="W456" s="130"/>
      <c r="X456" s="203"/>
    </row>
    <row r="457" spans="22:24" ht="12.75">
      <c r="V457" s="98"/>
      <c r="W457" s="130"/>
      <c r="X457" s="203"/>
    </row>
    <row r="458" spans="22:24" ht="12.75">
      <c r="V458" s="98"/>
      <c r="W458" s="130"/>
      <c r="X458" s="203"/>
    </row>
    <row r="459" spans="22:24" ht="12.75">
      <c r="V459" s="98"/>
      <c r="W459" s="130"/>
      <c r="X459" s="203"/>
    </row>
    <row r="460" spans="22:24" ht="12.75">
      <c r="V460" s="98"/>
      <c r="W460" s="130"/>
      <c r="X460" s="203"/>
    </row>
    <row r="461" spans="22:24" ht="12.75">
      <c r="V461" s="98"/>
      <c r="W461" s="130"/>
      <c r="X461" s="203"/>
    </row>
    <row r="462" spans="22:24" ht="12.75">
      <c r="V462" s="98"/>
      <c r="W462" s="130"/>
      <c r="X462" s="203"/>
    </row>
    <row r="463" spans="22:24" ht="12.75">
      <c r="V463" s="98"/>
      <c r="W463" s="130"/>
      <c r="X463" s="203"/>
    </row>
    <row r="464" spans="22:24" ht="12.75">
      <c r="V464" s="98"/>
      <c r="W464" s="130"/>
      <c r="X464" s="203"/>
    </row>
    <row r="465" spans="22:24" ht="12.75">
      <c r="V465" s="98"/>
      <c r="W465" s="130"/>
      <c r="X465" s="203"/>
    </row>
    <row r="466" spans="22:24" ht="12.75">
      <c r="V466" s="138"/>
      <c r="W466" s="100"/>
      <c r="X466" s="203"/>
    </row>
    <row r="467" spans="22:26" ht="12.75">
      <c r="V467" s="104"/>
      <c r="W467" s="100"/>
      <c r="X467" s="101"/>
      <c r="Y467" s="62"/>
      <c r="Z467" s="62"/>
    </row>
    <row r="468" spans="22:26" ht="12.75">
      <c r="V468" s="133"/>
      <c r="W468" s="102"/>
      <c r="X468" s="199"/>
      <c r="Y468" s="98"/>
      <c r="Z468" s="62"/>
    </row>
    <row r="469" spans="22:26" ht="12.75">
      <c r="V469" s="133"/>
      <c r="W469" s="102"/>
      <c r="X469" s="199"/>
      <c r="Y469" s="98"/>
      <c r="Z469" s="62"/>
    </row>
    <row r="470" spans="23:26" ht="12.75">
      <c r="W470" s="100"/>
      <c r="X470" s="100"/>
      <c r="Z470" s="62"/>
    </row>
    <row r="471" spans="22:26" ht="12.75">
      <c r="V471" s="69"/>
      <c r="W471" s="102"/>
      <c r="X471" s="70"/>
      <c r="Y471" s="62"/>
      <c r="Z471" s="62"/>
    </row>
  </sheetData>
  <sheetProtection sheet="1" objects="1" scenarios="1"/>
  <dataValidations count="1">
    <dataValidation allowBlank="1" showInputMessage="1" showErrorMessage="1" prompt="N = the number of blows per foot of a 140-pound hammer falling 30 inches onto a 2&quot; O.D. split spoon sampler.  This is known as the &quot;Standard Penetration Test&quot;." sqref="D14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2.4</oddHeader>
    <oddFooter>&amp;C&amp;P of &amp;N&amp;R&amp;D  &amp;T</oddFooter>
  </headerFooter>
  <rowBreaks count="4" manualBreakCount="4">
    <brk id="52" max="8" man="1"/>
    <brk id="104" max="8" man="1"/>
    <brk id="154" max="8" man="1"/>
    <brk id="204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"POLEFDN" Program</dc:title>
  <dc:subject/>
  <dc:creator>Alex Tomanovich, P.E. - 151 Shadow Lane, Lyman SC 29365 - Home: 864-968-2699 - Email: ATomanovich@bellsouth.net</dc:creator>
  <cp:keywords/>
  <dc:description>Pole Foundation Analysis</dc:description>
  <cp:lastModifiedBy>Fluor</cp:lastModifiedBy>
  <cp:lastPrinted>2015-05-08T19:57:33Z</cp:lastPrinted>
  <dcterms:created xsi:type="dcterms:W3CDTF">2001-09-20T14:27:08Z</dcterms:created>
  <dcterms:modified xsi:type="dcterms:W3CDTF">2016-10-11T11:15:51Z</dcterms:modified>
  <cp:category>Structural Engineering Analysis/Design</cp:category>
  <cp:version/>
  <cp:contentType/>
  <cp:contentStatus/>
</cp:coreProperties>
</file>