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260" windowHeight="10620" tabRatio="959" activeTab="0"/>
  </bookViews>
  <sheets>
    <sheet name="Doc" sheetId="1" r:id="rId1"/>
    <sheet name="Roof Deck DL+LL (ASD)" sheetId="2" r:id="rId2"/>
    <sheet name="Roof Deck DL+LL (LRFD)" sheetId="3" r:id="rId3"/>
    <sheet name="Roof Deck Wind Uplift (ASD)" sheetId="4" r:id="rId4"/>
    <sheet name="Roof Deck Wind Uplift (LRFD)" sheetId="5" r:id="rId5"/>
  </sheets>
  <definedNames>
    <definedName name="_xlnm.Print_Area" localSheetId="0">'Doc'!$A$1:$J$50</definedName>
    <definedName name="_xlnm.Print_Area" localSheetId="1">'Roof Deck DL+LL (ASD)'!$A$1:$J$112</definedName>
    <definedName name="_xlnm.Print_Area" localSheetId="2">'Roof Deck DL+LL (LRFD)'!$A$1:$J$112</definedName>
    <definedName name="_xlnm.Print_Area" localSheetId="3">'Roof Deck Wind Uplift (ASD)'!$A$1:$J$112</definedName>
    <definedName name="_xlnm.Print_Area" localSheetId="4">'Roof Deck Wind Uplift (LRFD)'!$A$1:$J$112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 </author>
  </authors>
  <commentList>
    <comment ref="AA1" authorId="0">
      <text>
        <r>
          <rPr>
            <b/>
            <sz val="8"/>
            <rFont val="Tahoma"/>
            <family val="2"/>
          </rPr>
          <t xml:space="preserve">            "ROOFDECK.xls"</t>
        </r>
        <r>
          <rPr>
            <sz val="8"/>
            <rFont val="Tahoma"/>
            <family val="2"/>
          </rPr>
          <t xml:space="preserve">
written by: Alex Tomanovich, P.E.</t>
        </r>
      </text>
    </comment>
    <comment ref="D22" authorId="0">
      <text>
        <r>
          <rPr>
            <sz val="8"/>
            <rFont val="Tahoma"/>
            <family val="2"/>
          </rPr>
          <t xml:space="preserve">I(avg) = (Ip+In)/2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  <comment ref="D20" authorId="0">
      <text>
        <r>
          <rPr>
            <sz val="8"/>
            <rFont val="Tahoma"/>
            <family val="2"/>
          </rPr>
          <t>"Ip" is used in deflection calculation for gravity loading for 1-span (single-span) condition.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A1" authorId="0">
      <text>
        <r>
          <rPr>
            <b/>
            <sz val="8"/>
            <rFont val="Tahoma"/>
            <family val="2"/>
          </rPr>
          <t xml:space="preserve">            "ROOFDECK.xls"</t>
        </r>
        <r>
          <rPr>
            <sz val="8"/>
            <rFont val="Tahoma"/>
            <family val="2"/>
          </rPr>
          <t xml:space="preserve">
written by: Alex Tomanovich, P.E.</t>
        </r>
      </text>
    </comment>
    <comment ref="D20" authorId="0">
      <text>
        <r>
          <rPr>
            <sz val="8"/>
            <rFont val="Tahoma"/>
            <family val="2"/>
          </rPr>
          <t>"Ip" is used in deflection calculation for gravity loading for 1-span (single-span) condition.</t>
        </r>
      </text>
    </comment>
    <comment ref="D22" authorId="0">
      <text>
        <r>
          <rPr>
            <sz val="8"/>
            <rFont val="Tahoma"/>
            <family val="2"/>
          </rPr>
          <t xml:space="preserve">I(avg) = (Ip+In)/2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A1" authorId="0">
      <text>
        <r>
          <rPr>
            <b/>
            <sz val="8"/>
            <rFont val="Tahoma"/>
            <family val="2"/>
          </rPr>
          <t xml:space="preserve">            "ROOFDECK.xls"</t>
        </r>
        <r>
          <rPr>
            <sz val="8"/>
            <rFont val="Tahoma"/>
            <family val="2"/>
          </rPr>
          <t xml:space="preserve">
written by: Alex Tomanovich, P.E.</t>
        </r>
      </text>
    </comment>
    <comment ref="D14" authorId="0">
      <text>
        <r>
          <rPr>
            <sz val="8"/>
            <rFont val="Tahoma"/>
            <family val="2"/>
          </rPr>
          <t>Roof uplift wind pressure for roof Zone 1 (Interior) can be derived from the applicable ASCE 7 Standard when meeting the provisions of Factory Mutual Global is not required.  
When meeting the provisions of Factory Mutual Global is required, roof uplift wind ratings for roof Zone 1 (Interior/Field) can be derived from FMG Data Sheet 1-28: "Wind Design" (2009/2011).</t>
        </r>
      </text>
    </comment>
    <comment ref="D21" authorId="0">
      <text>
        <r>
          <rPr>
            <sz val="8"/>
            <rFont val="Tahoma"/>
            <family val="2"/>
          </rPr>
          <t>Roof uplift wind pressure for roof Zone 2 (Perimeter) can be derived from the applicable ASCE 7 Standard when meeting the provisions of Factory Mutual Global is not required.  
When meeting the provisions of Factory Mutual Global is required, roof uplift wind ratings for roof Zone 2 (Perimeter) can be derived from FMG Data Sheet 1-28: "Wind Design" (2009/2011).</t>
        </r>
      </text>
    </comment>
    <comment ref="D28" authorId="0">
      <text>
        <r>
          <rPr>
            <sz val="8"/>
            <rFont val="Tahoma"/>
            <family val="2"/>
          </rPr>
          <t>Roof uplift wind pressure for roof Zone 3 (Corners) can be derived from the applicable ASCE 7 Standard when meeting the provisions of Factory Mutual Global is not required.  
When meeting the provisions of Factory Mutual Global is required, roof uplift wind ratings for roof Zone 3 (Corners) can be derived from FMG Data Sheet 1-28: "Wind Design" (2009/2011).</t>
        </r>
      </text>
    </comment>
    <comment ref="D38" authorId="0">
      <text>
        <r>
          <rPr>
            <sz val="8"/>
            <rFont val="Tahoma"/>
            <family val="2"/>
          </rPr>
          <t>I</t>
        </r>
        <r>
          <rPr>
            <sz val="8"/>
            <rFont val="Arial"/>
            <family val="2"/>
          </rPr>
          <t>1</t>
        </r>
        <r>
          <rPr>
            <sz val="8"/>
            <rFont val="Tahoma"/>
            <family val="2"/>
          </rPr>
          <t xml:space="preserve">(avg) = (Ip1+In1)/2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  <comment ref="D63" authorId="0">
      <text>
        <r>
          <rPr>
            <sz val="8"/>
            <rFont val="Tahoma"/>
            <family val="2"/>
          </rPr>
          <t>I</t>
        </r>
        <r>
          <rPr>
            <sz val="8"/>
            <rFont val="Arial"/>
            <family val="2"/>
          </rPr>
          <t>2</t>
        </r>
        <r>
          <rPr>
            <sz val="8"/>
            <rFont val="Tahoma"/>
            <family val="2"/>
          </rPr>
          <t xml:space="preserve">(avg) = (Ip2+In2)/2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  <comment ref="D86" authorId="0">
      <text>
        <r>
          <rPr>
            <sz val="8"/>
            <rFont val="Tahoma"/>
            <family val="2"/>
          </rPr>
          <t>I</t>
        </r>
        <r>
          <rPr>
            <sz val="8"/>
            <rFont val="Arial"/>
            <family val="2"/>
          </rPr>
          <t>3</t>
        </r>
        <r>
          <rPr>
            <sz val="8"/>
            <rFont val="Tahoma"/>
            <family val="2"/>
          </rPr>
          <t xml:space="preserve">(avg) = (Ip3+In3)/2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  <comment ref="D37" authorId="0">
      <text>
        <r>
          <rPr>
            <sz val="8"/>
            <rFont val="Tahoma"/>
            <family val="2"/>
          </rPr>
          <t>"In1" is used in deflection calculation for uplift  loading for 1-span (single-span) condition.</t>
        </r>
      </text>
    </comment>
    <comment ref="D62" authorId="0">
      <text>
        <r>
          <rPr>
            <sz val="8"/>
            <rFont val="Tahoma"/>
            <family val="2"/>
          </rPr>
          <t>"In2" is used in deflection calculation for gravity loading for 1-span (single-span) condition.</t>
        </r>
      </text>
    </comment>
    <comment ref="D85" authorId="0">
      <text>
        <r>
          <rPr>
            <sz val="8"/>
            <rFont val="Tahoma"/>
            <family val="2"/>
          </rPr>
          <t>"In3" is used in deflection calculation for gravity loading for 1-span (single-span) condition.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A1" authorId="0">
      <text>
        <r>
          <rPr>
            <b/>
            <sz val="8"/>
            <rFont val="Tahoma"/>
            <family val="2"/>
          </rPr>
          <t xml:space="preserve">            "ROOFDECK.xls"</t>
        </r>
        <r>
          <rPr>
            <sz val="8"/>
            <rFont val="Tahoma"/>
            <family val="2"/>
          </rPr>
          <t xml:space="preserve">
written by: Alex Tomanovich, P.E.</t>
        </r>
      </text>
    </comment>
    <comment ref="D14" authorId="0">
      <text>
        <r>
          <rPr>
            <sz val="8"/>
            <rFont val="Tahoma"/>
            <family val="2"/>
          </rPr>
          <t>Roof uplift wind pressure for roof Zone 1 (Interior) can be derived from the applicable ASCE 7 Standard when meeting the provisions of Factory Mutual Global is not required.  
When meeting the provisions of Factory Mutual Global is required, roof uplift wind ratings for roof Zone 1 (Interior/Field) can be derived from FMG Data Sheet 1-28: "Wind Design" (2009/2011).</t>
        </r>
      </text>
    </comment>
    <comment ref="D21" authorId="0">
      <text>
        <r>
          <rPr>
            <sz val="8"/>
            <rFont val="Tahoma"/>
            <family val="2"/>
          </rPr>
          <t>Roof uplift wind pressure for roof Zone 2 (Perimeter) can be derived from the applicable ASCE 7 Standard when meeting the provisions of Factory Mutual Global is not required.  
When meeting the provisions of Factory Mutual Global is required, roof uplift wind ratings for roof Zone 2 (Perimeter) can be derived from FMG Data Sheet 1-28: "Wind Design" (2009/2011).</t>
        </r>
      </text>
    </comment>
    <comment ref="D28" authorId="0">
      <text>
        <r>
          <rPr>
            <sz val="8"/>
            <rFont val="Tahoma"/>
            <family val="2"/>
          </rPr>
          <t>Roof uplift wind pressure for roof Zone 3 (Corners) can be derived from the applicable ASCE 7 Standard when meeting the provisions of Factory Mutual Global is not required.  
When meeting the provisions of Factory Mutual Global is required, roof uplift wind ratings for roof Zone 3 (Corners) can be derived from FMG Data Sheet 1-28: "Wind Design" (2009/2011).</t>
        </r>
      </text>
    </comment>
    <comment ref="D86" authorId="0">
      <text>
        <r>
          <rPr>
            <sz val="8"/>
            <rFont val="Tahoma"/>
            <family val="2"/>
          </rPr>
          <t>I</t>
        </r>
        <r>
          <rPr>
            <sz val="8"/>
            <rFont val="Arial"/>
            <family val="2"/>
          </rPr>
          <t>3</t>
        </r>
        <r>
          <rPr>
            <sz val="8"/>
            <rFont val="Tahoma"/>
            <family val="2"/>
          </rPr>
          <t xml:space="preserve">(avg) = (Ip3+In3)/2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  <comment ref="D63" authorId="0">
      <text>
        <r>
          <rPr>
            <sz val="8"/>
            <rFont val="Tahoma"/>
            <family val="2"/>
          </rPr>
          <t>I</t>
        </r>
        <r>
          <rPr>
            <sz val="8"/>
            <rFont val="Arial"/>
            <family val="2"/>
          </rPr>
          <t>2</t>
        </r>
        <r>
          <rPr>
            <sz val="8"/>
            <rFont val="Tahoma"/>
            <family val="2"/>
          </rPr>
          <t xml:space="preserve">(avg) = (Ip2+In2)/2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  <comment ref="D38" authorId="0">
      <text>
        <r>
          <rPr>
            <sz val="8"/>
            <rFont val="Tahoma"/>
            <family val="2"/>
          </rPr>
          <t>I</t>
        </r>
        <r>
          <rPr>
            <sz val="8"/>
            <rFont val="Arial"/>
            <family val="2"/>
          </rPr>
          <t>1</t>
        </r>
        <r>
          <rPr>
            <sz val="8"/>
            <rFont val="Tahoma"/>
            <family val="2"/>
          </rPr>
          <t xml:space="preserve">(avg) = (Ip1+In1)/2 is used in deflection 
calculation for 2-span and 3-span conditions.
</t>
        </r>
        <r>
          <rPr>
            <sz val="8"/>
            <color indexed="10"/>
            <rFont val="Tahoma"/>
            <family val="2"/>
          </rPr>
          <t>The above is specified on page 4 of the "Design Manual and Catalog of Steel Deck Products" - by CMC (United Steel Deck), 2008.</t>
        </r>
      </text>
    </comment>
    <comment ref="D37" authorId="0">
      <text>
        <r>
          <rPr>
            <sz val="8"/>
            <rFont val="Tahoma"/>
            <family val="2"/>
          </rPr>
          <t>"In1" is used in deflection calculation for uplift  loading for 1-span (single-span) condition.</t>
        </r>
      </text>
    </comment>
    <comment ref="D62" authorId="0">
      <text>
        <r>
          <rPr>
            <sz val="8"/>
            <rFont val="Tahoma"/>
            <family val="2"/>
          </rPr>
          <t>"In2" is used in deflection calculation for uplift loading for 1-span (single-span) condition.</t>
        </r>
      </text>
    </comment>
    <comment ref="D85" authorId="0">
      <text>
        <r>
          <rPr>
            <sz val="8"/>
            <rFont val="Tahoma"/>
            <family val="2"/>
          </rPr>
          <t>"In3" is used in deflection calculation for uplift loading for 1-span (single-span) condition.</t>
        </r>
      </text>
    </comment>
  </commentList>
</comments>
</file>

<file path=xl/sharedStrings.xml><?xml version="1.0" encoding="utf-8"?>
<sst xmlns="http://schemas.openxmlformats.org/spreadsheetml/2006/main" count="1264" uniqueCount="450">
  <si>
    <t>Roof Deck Span, L =</t>
  </si>
  <si>
    <t>1-Span</t>
  </si>
  <si>
    <t>2-Span</t>
  </si>
  <si>
    <t>3-Span</t>
  </si>
  <si>
    <t>ft.</t>
  </si>
  <si>
    <t>psf</t>
  </si>
  <si>
    <t>ft.-kips/ft.</t>
  </si>
  <si>
    <t>ksi</t>
  </si>
  <si>
    <t>in.^3/ft.</t>
  </si>
  <si>
    <t>Roof Deck Gage =</t>
  </si>
  <si>
    <t>Job Name:</t>
  </si>
  <si>
    <t>Subject:</t>
  </si>
  <si>
    <t>Job Number:</t>
  </si>
  <si>
    <t>Originator:</t>
  </si>
  <si>
    <t>Checker:</t>
  </si>
  <si>
    <t>Input Data:</t>
  </si>
  <si>
    <t>Results:</t>
  </si>
  <si>
    <t>Deck Pos. Section Modulus, Sp =</t>
  </si>
  <si>
    <t>Deck Neg. Section Modulus, Sn =</t>
  </si>
  <si>
    <t>Roof Deck Steel Yield, Fyd =</t>
  </si>
  <si>
    <t>Roof Deck Span Condition =</t>
  </si>
  <si>
    <t>STEEL ROOF DECK</t>
  </si>
  <si>
    <t>Positive Moment, +M1 =</t>
  </si>
  <si>
    <t>Negative Moment, -M1 =</t>
  </si>
  <si>
    <t>Deck Allowable Stress, Fb1 =</t>
  </si>
  <si>
    <t>Stress due to Pos. Moment, +fb1 =</t>
  </si>
  <si>
    <t>Stress due to Neg. Moment, -fb1 =</t>
  </si>
  <si>
    <t>Stress Ratio, SR1 =</t>
  </si>
  <si>
    <t>fb1(max) = Maximum of: +fb1 and -fb1</t>
  </si>
  <si>
    <t>Positive Moment, +M2 =</t>
  </si>
  <si>
    <t>Negative Moment, -M2 =</t>
  </si>
  <si>
    <t>Deck Allowable Stress, Fb2 =</t>
  </si>
  <si>
    <t>Stress due to Pos. Moment, +fb2 =</t>
  </si>
  <si>
    <t>Stress due to Neg. Moment, -fb2 =</t>
  </si>
  <si>
    <t>Stress Ratio, SR2 =</t>
  </si>
  <si>
    <t>fb2(max) = Maximum of: +fb2 and -fb2</t>
  </si>
  <si>
    <t>Positive Moment, +M3 =</t>
  </si>
  <si>
    <t>Negative Moment, -M3 =</t>
  </si>
  <si>
    <t>Deck Allowable Stress, Fb3 =</t>
  </si>
  <si>
    <t>Stress due to Pos. Moment, +fb3 =</t>
  </si>
  <si>
    <t>Stress due to Neg. Moment, -fb3 =</t>
  </si>
  <si>
    <t>Stress Ratio, SR3 =</t>
  </si>
  <si>
    <t>fb3(max) = Maximum of: +fb3 and -fb3</t>
  </si>
  <si>
    <t>Positive Moment, +M1u =</t>
  </si>
  <si>
    <t>Negative Moment, -M1u =</t>
  </si>
  <si>
    <t>Deck Allowable Stress, Fb1u =</t>
  </si>
  <si>
    <t>Stress due to Pos. Moment, +fb1u =</t>
  </si>
  <si>
    <t>Stress due to Neg. Moment, -fb1u =</t>
  </si>
  <si>
    <t>Negative Moment, -M2u =</t>
  </si>
  <si>
    <t>Positive Moment, +M2u =</t>
  </si>
  <si>
    <t>Deck Allowable Stress, Fb2u =</t>
  </si>
  <si>
    <t>Stress due to Pos. Moment, +fb2u =</t>
  </si>
  <si>
    <t>Stress due to Neg. Moment, -fb2u =</t>
  </si>
  <si>
    <t>Positive Moment, +M3u =</t>
  </si>
  <si>
    <t>Negative Moment, -M3u =</t>
  </si>
  <si>
    <t>fb1u(max) = Maximum of: +fb1u and -fb1u</t>
  </si>
  <si>
    <t>fb2u(max) = Maximum of: +fb2u and -fb2u</t>
  </si>
  <si>
    <t>fb3u(max) = Maximum of: +fb3u and -fb3u</t>
  </si>
  <si>
    <t>For Roof Zone 2 (Perimeter):</t>
  </si>
  <si>
    <t>For Roof Zone 3 (Corners):</t>
  </si>
  <si>
    <t>Roof Deck Type/Designation =</t>
  </si>
  <si>
    <t>For Roof Zone 1 (Interior):</t>
  </si>
  <si>
    <t>ASD Analysis for Wind Uplift Loading</t>
  </si>
  <si>
    <t>LRFD Analysis for Wind Uplift Loading</t>
  </si>
  <si>
    <t>Positive Moment, +M =</t>
  </si>
  <si>
    <t>Negative Moment, -M =</t>
  </si>
  <si>
    <t>Deck Allowable Stress, Fb =</t>
  </si>
  <si>
    <t>Stress due to Pos. Moment, +fb =</t>
  </si>
  <si>
    <t>Stress due to Neg. Moment, -fb =</t>
  </si>
  <si>
    <t>Stress Ratio, SR =</t>
  </si>
  <si>
    <t>ASD Analysis for Gravity (Dead + Live) Loading</t>
  </si>
  <si>
    <t>in.</t>
  </si>
  <si>
    <t>in.^4/ft.</t>
  </si>
  <si>
    <r>
      <t xml:space="preserve">Deck Positive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p =</t>
    </r>
  </si>
  <si>
    <r>
      <t>Deck Maximum Stress, fb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</si>
  <si>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>fb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 and -fb</t>
    </r>
  </si>
  <si>
    <r>
      <t>Lc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</si>
  <si>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t>lbs./ft. width</t>
  </si>
  <si>
    <t>Total Uniform DL + LL, wt =</t>
  </si>
  <si>
    <r>
      <t xml:space="preserve">Maximum Deflection, </t>
    </r>
    <r>
      <rPr>
        <sz val="10"/>
        <color indexed="8"/>
        <rFont val="Symbol"/>
        <family val="1"/>
      </rPr>
      <t>D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</si>
  <si>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t>Live Load Deflection:</t>
  </si>
  <si>
    <t>Design Bending Moments:</t>
  </si>
  <si>
    <t>SDI / ASTM E936 Construction Load Deflection:</t>
  </si>
  <si>
    <t>Deck Modulus of Elasticity, E =</t>
  </si>
  <si>
    <t>SDI / ASTM E936 Max. Construction Span:</t>
  </si>
  <si>
    <t>Flexural Stresses and Stress Ratio:</t>
  </si>
  <si>
    <t>Specified Construction Load, Pc =</t>
  </si>
  <si>
    <t>SDI Design Bending Moments:</t>
  </si>
  <si>
    <t>SDI Flexural Stresses and Stress Ratio:</t>
  </si>
  <si>
    <t>Comments:</t>
  </si>
  <si>
    <t>Total Uniform Design Loading:</t>
  </si>
  <si>
    <t>Specified Construction Load, wc =</t>
  </si>
  <si>
    <t>wc = 30 psf (per ANSI/SDI-RD1.0 Section 2.4.A.6)</t>
  </si>
  <si>
    <t>Fb = 0.70*Fyd (per ANSI/SDI-RD1.0 Section 2.4.A.6)</t>
  </si>
  <si>
    <t>Pc = 200 lbs. (per ANSI/SDI-RD1.0 Section 2.4.A.6)</t>
  </si>
  <si>
    <t>Version 1.0</t>
  </si>
  <si>
    <t>Deck</t>
  </si>
  <si>
    <t>Deck Wt.</t>
  </si>
  <si>
    <t>Rib Height</t>
  </si>
  <si>
    <t>Rib Opening</t>
  </si>
  <si>
    <t>Rib Pitch</t>
  </si>
  <si>
    <t>Inertia</t>
  </si>
  <si>
    <t>Sect. Modulus</t>
  </si>
  <si>
    <t>Yield</t>
  </si>
  <si>
    <t>Shear</t>
  </si>
  <si>
    <t>Type</t>
  </si>
  <si>
    <t>Gage</t>
  </si>
  <si>
    <t>t</t>
  </si>
  <si>
    <t>Wd</t>
  </si>
  <si>
    <t>hd</t>
  </si>
  <si>
    <t>rwt</t>
  </si>
  <si>
    <t>p</t>
  </si>
  <si>
    <t>Sp</t>
  </si>
  <si>
    <t>Sn</t>
  </si>
  <si>
    <t>Fy</t>
  </si>
  <si>
    <t>(in.)</t>
  </si>
  <si>
    <t>(psf)</t>
  </si>
  <si>
    <t>(in.^4)</t>
  </si>
  <si>
    <t>(in.^3)</t>
  </si>
  <si>
    <t>(ksi)</t>
  </si>
  <si>
    <t>(lbs/ft.)</t>
  </si>
  <si>
    <t>1.5B16</t>
  </si>
  <si>
    <t>1.5B18</t>
  </si>
  <si>
    <t>1.5B19</t>
  </si>
  <si>
    <t>1.5B20</t>
  </si>
  <si>
    <t>1.5B22</t>
  </si>
  <si>
    <t>Ip</t>
  </si>
  <si>
    <t>In</t>
  </si>
  <si>
    <t>Va</t>
  </si>
  <si>
    <t>1.5F18</t>
  </si>
  <si>
    <t>1.5F19</t>
  </si>
  <si>
    <t>1.5F20</t>
  </si>
  <si>
    <t>1.5F22</t>
  </si>
  <si>
    <t>1.5A18</t>
  </si>
  <si>
    <t>1.5A19</t>
  </si>
  <si>
    <t>1.5A20</t>
  </si>
  <si>
    <t>1.5A22</t>
  </si>
  <si>
    <t>Steel Roof Deck Section Properties (from Vulcraft Steel Deck Catalog - 2008)</t>
  </si>
  <si>
    <t>3N16</t>
  </si>
  <si>
    <t>3N18</t>
  </si>
  <si>
    <t>3N19</t>
  </si>
  <si>
    <t>3N20</t>
  </si>
  <si>
    <t>3N22</t>
  </si>
  <si>
    <t>Deck Properties:</t>
  </si>
  <si>
    <t>SDI Construction &amp; Maintenance Uniform Loading:</t>
  </si>
  <si>
    <t>SDI Construction Uniform Load Deflection:</t>
  </si>
  <si>
    <r>
      <t>Deck Maximum Stress, fb1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</si>
  <si>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>fb1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+fb1 and -fb1</t>
    </r>
  </si>
  <si>
    <r>
      <t>Deck Maximum Stress, fb2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</si>
  <si>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>fb2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+fb2 and -fb2</t>
    </r>
  </si>
  <si>
    <r>
      <t>Deck Maximum Stress, fb3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</si>
  <si>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>fb3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+fb3 and -fb3</t>
    </r>
  </si>
  <si>
    <r>
      <t>Deck Maximum Stress, fb1u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</si>
  <si>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>fb1u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+fb1u and -fb1u</t>
    </r>
  </si>
  <si>
    <r>
      <t>Deck Maximum Stress, fb2u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</si>
  <si>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r>
      <t>fb2u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+fb2u and -fb2u</t>
    </r>
  </si>
  <si>
    <r>
      <t>fb3u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+fb3u and -fb3u</t>
    </r>
  </si>
  <si>
    <t>Roof Deck Unit Weight, wd =</t>
  </si>
  <si>
    <t>Roof Uniform Dead Load, wDL =</t>
  </si>
  <si>
    <t>Roof Uniform Live Load, wLL =</t>
  </si>
  <si>
    <t>wt = (wd+wDL)+wLL</t>
  </si>
  <si>
    <r>
      <t>I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is used only for 2-span and 3-span conditions</t>
    </r>
  </si>
  <si>
    <t>LRFD Analysis for Gravity (Dead + Live) Loading</t>
  </si>
  <si>
    <t>Total Uniform DL + LL, wtu =</t>
  </si>
  <si>
    <t>wtu = 1.2*(wd+wDL)+1.6*wLL</t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</si>
  <si>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</si>
  <si>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</si>
  <si>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</si>
  <si>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</si>
  <si>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</si>
  <si>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</si>
  <si>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>1.  This program is based on the following references:</t>
  </si>
  <si>
    <t xml:space="preserve">     explanations of input or output items, equations used, data tables, etc.  (Note:  presence of a “comment box”</t>
  </si>
  <si>
    <t xml:space="preserve">     is denoted by a “red triangle” in the upper right-hand corner of a cell.  Merely move the mouse pointer to the </t>
  </si>
  <si>
    <t xml:space="preserve">     desired cell to view the contents of that particular "comment box".)</t>
  </si>
  <si>
    <t xml:space="preserve">"ROOFDECK" is a spreadsheet program written in MS-Excel for the purpose of analysis and design of roofs with  </t>
  </si>
  <si>
    <t>Roof Deck DL+LL (ASD)</t>
  </si>
  <si>
    <t>Roof Deck DL+LL (LRFD)</t>
  </si>
  <si>
    <t>Roof Deck Wind Uplift (ASD)</t>
  </si>
  <si>
    <t>Roof Deck Wind Uplift (LRFD)</t>
  </si>
  <si>
    <t xml:space="preserve">2.  This program handles Vulcraft steel roof deck of the following types/styles: </t>
  </si>
  <si>
    <t>"ROOFDECK" --- ROOF STEEL DECK ANALYSIS / DESIGN</t>
  </si>
  <si>
    <t>Calculations:</t>
  </si>
  <si>
    <t>wc =</t>
  </si>
  <si>
    <t>+M =</t>
  </si>
  <si>
    <t>-M =</t>
  </si>
  <si>
    <t>Fb =</t>
  </si>
  <si>
    <t>+fb =</t>
  </si>
  <si>
    <t>-fb =</t>
  </si>
  <si>
    <t>SR =</t>
  </si>
  <si>
    <r>
      <t>fb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</si>
  <si>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r>
      <t>fb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 Maximum of: +fb and -fb</t>
    </r>
  </si>
  <si>
    <r>
      <t>D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</si>
  <si>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r>
      <t>Lc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</si>
  <si>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t>Pc =</t>
  </si>
  <si>
    <t>wt =</t>
  </si>
  <si>
    <t xml:space="preserve"> -fb =</t>
  </si>
  <si>
    <t>Positive Moment, +Mu =</t>
  </si>
  <si>
    <t>Negative Moment, -Mu =</t>
  </si>
  <si>
    <t>+Mu =</t>
  </si>
  <si>
    <t>-Mu =</t>
  </si>
  <si>
    <t>wtu =</t>
  </si>
  <si>
    <t>Deck Allowable Stress, Fbu =</t>
  </si>
  <si>
    <t>Stress due to Pos. Moment, +fbu =</t>
  </si>
  <si>
    <t>Stress due to Neg. Moment, -fbu =</t>
  </si>
  <si>
    <r>
      <t>Deck Maximum Stress, fbu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</si>
  <si>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t>Fbu =</t>
  </si>
  <si>
    <t>+fbu =</t>
  </si>
  <si>
    <t>-fbu =</t>
  </si>
  <si>
    <r>
      <t>fbu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</t>
    </r>
  </si>
  <si>
    <t>Fbu = 0.95*Fyd</t>
  </si>
  <si>
    <r>
      <t>fbu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 xml:space="preserve"> = Maximum of: +fbu and -fbu</t>
    </r>
  </si>
  <si>
    <r>
      <t>fbu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 Maximum of: +fbu and -fbu</t>
    </r>
  </si>
  <si>
    <t>+M1 =</t>
  </si>
  <si>
    <t>-M1 =</t>
  </si>
  <si>
    <t>Fb1 =</t>
  </si>
  <si>
    <t>+fb1 =</t>
  </si>
  <si>
    <t>-fb1 =</t>
  </si>
  <si>
    <t>fb1(max) =</t>
  </si>
  <si>
    <t>SR1 =</t>
  </si>
  <si>
    <t>+M2 =</t>
  </si>
  <si>
    <t>-M2 =</t>
  </si>
  <si>
    <t>Fb2 =</t>
  </si>
  <si>
    <t>+fb2 =</t>
  </si>
  <si>
    <t>-fb2 =</t>
  </si>
  <si>
    <t>fb2(max) =</t>
  </si>
  <si>
    <t>SR2 =</t>
  </si>
  <si>
    <t>SR3 =</t>
  </si>
  <si>
    <t>fb3(max) =</t>
  </si>
  <si>
    <t>-fb3 =</t>
  </si>
  <si>
    <t>+fb3 =</t>
  </si>
  <si>
    <t>Fb3 =</t>
  </si>
  <si>
    <t>-M3 =</t>
  </si>
  <si>
    <t>+M3 =</t>
  </si>
  <si>
    <t>+M1u =</t>
  </si>
  <si>
    <t>-M1u =</t>
  </si>
  <si>
    <t>Fb1u =</t>
  </si>
  <si>
    <t>+fb1u =</t>
  </si>
  <si>
    <t>-fb1u =</t>
  </si>
  <si>
    <t>fb1u(max) =</t>
  </si>
  <si>
    <t>+M2u =</t>
  </si>
  <si>
    <t>-M2u =</t>
  </si>
  <si>
    <t>Fb2u =</t>
  </si>
  <si>
    <t>+fb2u =</t>
  </si>
  <si>
    <t>-fb2u =</t>
  </si>
  <si>
    <t>fb2u(max) =</t>
  </si>
  <si>
    <t>+M3u =</t>
  </si>
  <si>
    <t>-M3u =</t>
  </si>
  <si>
    <t>Fb3u =</t>
  </si>
  <si>
    <t>+fb3u =</t>
  </si>
  <si>
    <t>-fb3u =</t>
  </si>
  <si>
    <t>fb3u(max) =</t>
  </si>
  <si>
    <t>Deck Allowable Stress, Fb3u =</t>
  </si>
  <si>
    <t>Stress due to Pos. Moment, +fb3u =</t>
  </si>
  <si>
    <t>Stress due to Neg. Moment, -fb3u =</t>
  </si>
  <si>
    <r>
      <t>Deck Maximum Stress, fb3u</t>
    </r>
    <r>
      <rPr>
        <sz val="8"/>
        <rFont val="Arial"/>
        <family val="2"/>
      </rPr>
      <t>(max)</t>
    </r>
    <r>
      <rPr>
        <sz val="10"/>
        <rFont val="Arial"/>
        <family val="0"/>
      </rPr>
      <t xml:space="preserve"> =</t>
    </r>
  </si>
  <si>
    <t>ASD Analysis for Wind Uplift using ASCE 7 Loading</t>
  </si>
  <si>
    <t>LRFD Analysis for Wind Uplift using ASCE 7 Loading</t>
  </si>
  <si>
    <t>Zone 1 (Interior) Wind Uplift, p1 =</t>
  </si>
  <si>
    <t>Zone 2 (Perimeter) Wind Uplift, p2 =</t>
  </si>
  <si>
    <t>pd1 =</t>
  </si>
  <si>
    <t>pd2 =</t>
  </si>
  <si>
    <t>pd3 =</t>
  </si>
  <si>
    <t>Net Design Uplift Pressure, pd1 =</t>
  </si>
  <si>
    <t>Net Design Uplift Pressure, pd2 =</t>
  </si>
  <si>
    <t>Net Design Uplift Pressure, pd3 =</t>
  </si>
  <si>
    <t>Net Design Uplift Pressure, pd1u =</t>
  </si>
  <si>
    <t>Net Design Uplift Pressure, pd2u =</t>
  </si>
  <si>
    <t>Net Design Uplift Pressure, pd3u =</t>
  </si>
  <si>
    <t>pd1u =</t>
  </si>
  <si>
    <t>pd2u =</t>
  </si>
  <si>
    <t>pd3u =</t>
  </si>
  <si>
    <t xml:space="preserve">             Roof Insulation, and Bituminous Built-Up Roofing</t>
  </si>
  <si>
    <t xml:space="preserve">     ASCE 7 Standard and apply the appropriate effective tributary area along with an Importance Factor = 1.15.</t>
  </si>
  <si>
    <t xml:space="preserve">3.  While the user can quickly and easily make a roof deck selection based on gravity loads directly from the </t>
  </si>
  <si>
    <t xml:space="preserve">     Vulcraft catalog, the "Roof Deck DL+LL (ASD)" and "Roof Deck DL+LL (LRFD)" worksheets provide the user </t>
  </si>
  <si>
    <t xml:space="preserve">     with the ability to demonstrate the selection and analysis with actual calculations if desired or required.</t>
  </si>
  <si>
    <r>
      <t xml:space="preserve">Allowable Deflection, </t>
    </r>
    <r>
      <rPr>
        <sz val="10"/>
        <color indexed="8"/>
        <rFont val="Symbol"/>
        <family val="1"/>
      </rPr>
      <t>D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</t>
    </r>
  </si>
  <si>
    <r>
      <t>D</t>
    </r>
    <r>
      <rPr>
        <sz val="10"/>
        <color indexed="12"/>
        <rFont val="Arial"/>
        <family val="2"/>
      </rPr>
      <t>(allow)</t>
    </r>
    <r>
      <rPr>
        <sz val="10"/>
        <color indexed="12"/>
        <rFont val="Arial"/>
        <family val="0"/>
      </rPr>
      <t xml:space="preserve"> =</t>
    </r>
  </si>
  <si>
    <t>Fb = 0.60*Fyd &lt;= 36</t>
  </si>
  <si>
    <r>
      <t>I</t>
    </r>
    <r>
      <rPr>
        <sz val="10"/>
        <rFont val="Arial"/>
        <family val="2"/>
      </rPr>
      <t xml:space="preserve"> = </t>
    </r>
    <r>
      <rPr>
        <sz val="10"/>
        <rFont val="Tahoma"/>
        <family val="2"/>
      </rPr>
      <t>I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= (</t>
    </r>
    <r>
      <rPr>
        <sz val="10"/>
        <rFont val="Tahoma"/>
        <family val="2"/>
      </rPr>
      <t>I</t>
    </r>
    <r>
      <rPr>
        <sz val="10"/>
        <rFont val="Arial"/>
        <family val="0"/>
      </rPr>
      <t>p+</t>
    </r>
    <r>
      <rPr>
        <sz val="10"/>
        <rFont val="Tahoma"/>
        <family val="2"/>
      </rPr>
      <t>I</t>
    </r>
    <r>
      <rPr>
        <sz val="10"/>
        <rFont val="Arial"/>
        <family val="0"/>
      </rPr>
      <t>n)/2 =</t>
    </r>
  </si>
  <si>
    <t xml:space="preserve">         a. 1.5A - Type A 1-1/2" deep narrow rib</t>
  </si>
  <si>
    <t xml:space="preserve">         b. 1.5B - Type B 1-1/2" deep wide rib</t>
  </si>
  <si>
    <t xml:space="preserve">         c. 1.5F - Type F 1-1/2" deep intermediate rib</t>
  </si>
  <si>
    <t xml:space="preserve">         d. 3N - Type N 3" deep acoustical</t>
  </si>
  <si>
    <t xml:space="preserve">         b. ASTM E936 (2004) - Standard Practice for Roof System Assemblies Employing Steel Deck, Preformed </t>
  </si>
  <si>
    <t xml:space="preserve">     pressures for roof zones 1, 2, and 3 can be derived from the applicable ASCE 7 Standard when meeting the </t>
  </si>
  <si>
    <t xml:space="preserve">     provisions of Factory Mutual Global is not required.  When meeting the provisions of Factory Mutual Global is </t>
  </si>
  <si>
    <t>+fbu = (+Mu)*12/Sp (between supports)</t>
  </si>
  <si>
    <t>-fbu = (-Mu)*12/Sn (at supports)</t>
  </si>
  <si>
    <t>+fb = (+M)*12/Sp (between supports)</t>
  </si>
  <si>
    <t>-fb = (-M)*12/Sn (at supports)</t>
  </si>
  <si>
    <r>
      <t>SR = fb</t>
    </r>
    <r>
      <rPr>
        <sz val="8"/>
        <rFont val="Arial"/>
        <family val="2"/>
      </rPr>
      <t>(max)</t>
    </r>
    <r>
      <rPr>
        <sz val="10"/>
        <rFont val="Arial"/>
        <family val="0"/>
      </rPr>
      <t>/Fb</t>
    </r>
  </si>
  <si>
    <r>
      <t>SR = fbu</t>
    </r>
    <r>
      <rPr>
        <sz val="8"/>
        <rFont val="Arial"/>
        <family val="2"/>
      </rPr>
      <t>(max)</t>
    </r>
    <r>
      <rPr>
        <sz val="10"/>
        <rFont val="Arial"/>
        <family val="0"/>
      </rPr>
      <t>/Fbu</t>
    </r>
  </si>
  <si>
    <r>
      <t>SR = fbu</t>
    </r>
    <r>
      <rPr>
        <sz val="8"/>
        <rFont val="Arial"/>
        <family val="2"/>
      </rPr>
      <t>(max)</t>
    </r>
    <r>
      <rPr>
        <sz val="10"/>
        <rFont val="Arial"/>
        <family val="0"/>
      </rPr>
      <t>/Fb</t>
    </r>
  </si>
  <si>
    <r>
      <t>SR = fbu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>/Fbu</t>
    </r>
  </si>
  <si>
    <r>
      <t>SR = fb</t>
    </r>
    <r>
      <rPr>
        <sz val="10"/>
        <color indexed="12"/>
        <rFont val="Arial"/>
        <family val="2"/>
      </rPr>
      <t>(max)</t>
    </r>
    <r>
      <rPr>
        <sz val="10"/>
        <color indexed="12"/>
        <rFont val="Arial"/>
        <family val="0"/>
      </rPr>
      <t>/Fb</t>
    </r>
  </si>
  <si>
    <r>
      <t>SR1 = fb1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>/Fb1</t>
    </r>
  </si>
  <si>
    <r>
      <t>SR2 = fb2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>/Fb2</t>
    </r>
  </si>
  <si>
    <r>
      <t>SR3 = fb3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>/Fb3</t>
    </r>
  </si>
  <si>
    <r>
      <t>SR1 = fb1u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>/Fb1u</t>
    </r>
  </si>
  <si>
    <r>
      <t>SR2 = fb2u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>/Fb2u</t>
    </r>
  </si>
  <si>
    <r>
      <t>SR3 = fb3u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>/Fb3u</t>
    </r>
  </si>
  <si>
    <r>
      <t xml:space="preserve">Deck Negative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n =</t>
    </r>
  </si>
  <si>
    <t>Deck Properties for Zone 1 (Interior):</t>
  </si>
  <si>
    <t>Stress Check for Roof Zone 1 (Interior):</t>
  </si>
  <si>
    <t>Deck Properties for Zone 2 (Perimeter):</t>
  </si>
  <si>
    <t>Stress Check for Roof Zone 2 (Perimeter):</t>
  </si>
  <si>
    <t>Deck Properties for Zone 3 (Corners):</t>
  </si>
  <si>
    <t>Stress Check for Roof Zone 3 (Corners):</t>
  </si>
  <si>
    <t>Zone 3 (Corner) Wind Uplift, p3 =</t>
  </si>
  <si>
    <t>SR2 = fb2u(max)/Fb2u</t>
  </si>
  <si>
    <t>SR3 = fb3u(max)/Fb3u</t>
  </si>
  <si>
    <t>Roof Deck Span, L1 =</t>
  </si>
  <si>
    <t>Roof Deck Span, L2 =</t>
  </si>
  <si>
    <t>Roof Deck Span, L3 =</t>
  </si>
  <si>
    <t xml:space="preserve">     the effective area be set = 10 ft.^2 along with an Importance Factor = 1.15.  </t>
  </si>
  <si>
    <t xml:space="preserve">     For secondary supporting members (purlins or joists) per FMG 1-28 Section 2.2.3,  refer to applicable </t>
  </si>
  <si>
    <t xml:space="preserve">     required, roof uplift wind ratings for roof zones 1, 2, and 3 can be derived from FMG Data Sheet 1-28: </t>
  </si>
  <si>
    <t xml:space="preserve">     "Wind Design" (Reference 1c above).</t>
  </si>
  <si>
    <t>This program is a workbook consisting of five (5) worksheets, described as follows:</t>
  </si>
  <si>
    <t>decks can be analyzed for either 1-span, 2-span, or 3-span configurations.</t>
  </si>
  <si>
    <t>Roof Uniform Dead Load, wDL1 =</t>
  </si>
  <si>
    <t>Roof Uniform Dead Load, wDL2 =</t>
  </si>
  <si>
    <t>Roof Uniform Dead Load, wDL3 =</t>
  </si>
  <si>
    <t>Roof Deck Steel Yield, Fyd1 =</t>
  </si>
  <si>
    <t>Roof Deck Steel Yield, Fyd2 =</t>
  </si>
  <si>
    <t>Roof Deck Steel Yield, Fyd3 =</t>
  </si>
  <si>
    <t>Fb1 = 0.60*Fyd1 &lt;= 0.60*60 = 36</t>
  </si>
  <si>
    <t>Fb2 = 0.60*Fyd2 &lt;= 0.60*60 = 36</t>
  </si>
  <si>
    <t>Fb3 = 0.60*Fyd3 &lt;= 0.60*60 = 36</t>
  </si>
  <si>
    <t>Roof Deck Unit Weight, wd1 =</t>
  </si>
  <si>
    <t>Deck Pos. Section Modulus, Sp1 =</t>
  </si>
  <si>
    <t>Deck Neg. Section Modulus, Sn1 =</t>
  </si>
  <si>
    <t>Note: wd1 is exclusive of wDL1</t>
  </si>
  <si>
    <t>pd1 = p1-0.6*(wDL1+wd1)</t>
  </si>
  <si>
    <t>+fb1 = (+M1)*12/Sn1 (between supports)</t>
  </si>
  <si>
    <t>-fb1 = (-M1)*12/Sp1 (at supports)</t>
  </si>
  <si>
    <t>pd2 = p2-0.6*(wDL2+wd2)</t>
  </si>
  <si>
    <t>+fb2 = (+M2)*12/Sn2 (between supports)</t>
  </si>
  <si>
    <t>-fb2 = (-M2)*12/Sp2 (at supports)</t>
  </si>
  <si>
    <t>pd3 = p3-0.6*(wDL3+wd3)</t>
  </si>
  <si>
    <t>+fb3 = (+M3)*12/Sn3 (between supports)</t>
  </si>
  <si>
    <t>-fb3 = (-M3)*12/Sp3 (at supports)</t>
  </si>
  <si>
    <t>Roof Deck Unit Weight, wd2 =</t>
  </si>
  <si>
    <t>Deck Pos. Section Modulus, Sp2 =</t>
  </si>
  <si>
    <t>Deck Neg. Section Modulus, Sn2 =</t>
  </si>
  <si>
    <t>Note: wd2 is exclusive of wDL2</t>
  </si>
  <si>
    <t>Roof Deck Unit Weight, wd3 =</t>
  </si>
  <si>
    <t>Deck Pos. Section Modulus, Sp3 =</t>
  </si>
  <si>
    <t>Deck Neg. Section Modulus, Sn3 =</t>
  </si>
  <si>
    <t>Note: wd3 is exclusive of wDL3</t>
  </si>
  <si>
    <t>Fb1u = 0.95*Fyd1</t>
  </si>
  <si>
    <t>pd1u = 1.6*p1-0.9*(wDL1+wd1)</t>
  </si>
  <si>
    <t>pd2u = 1.6*p2-0.9*(wDL2+wd2)</t>
  </si>
  <si>
    <t>pd3u = 1.6*p3-0.9*(wDL3+wd3)</t>
  </si>
  <si>
    <t>Fb3u = 0.95*Fyd3</t>
  </si>
  <si>
    <t>Fb2u = 0.95*Fyd2</t>
  </si>
  <si>
    <t>+fb1u = (+M1u)*12/Sn1 (between supports)</t>
  </si>
  <si>
    <t>-fb1u = (-M1u)*12/Sp1 (at supports)</t>
  </si>
  <si>
    <t>+fb2u = (+M2u)*12/Sn2 (between supports)</t>
  </si>
  <si>
    <t>-fb2u = (-M2u)*12/Sp2 (at supports)</t>
  </si>
  <si>
    <t>+fb3u = (+M3u)*12/Sn3 (between supports)</t>
  </si>
  <si>
    <t>-fb3u = (-M3u)*12/Sp3 (at supports)</t>
  </si>
  <si>
    <t xml:space="preserve">         a. "Steel Roof and Floor Deck" Catalog - by Vulcraft Corporation, 2008</t>
  </si>
  <si>
    <t xml:space="preserve">         c. "Design Manual and Catalog of Steel Deck Products" - by CMC (United Steel Deck), 2008</t>
  </si>
  <si>
    <t>per Steel Deck Institute (SDI) using Vulcraft Steel Roof Deck</t>
  </si>
  <si>
    <t>1.5B</t>
  </si>
  <si>
    <t>1.5F</t>
  </si>
  <si>
    <t>1.5A</t>
  </si>
  <si>
    <t>3N</t>
  </si>
  <si>
    <t>---</t>
  </si>
  <si>
    <t>6'-0"</t>
  </si>
  <si>
    <t>6'-6"</t>
  </si>
  <si>
    <t>7'-5"</t>
  </si>
  <si>
    <t>9'-4"</t>
  </si>
  <si>
    <t>4'-11"</t>
  </si>
  <si>
    <t>5'-5"</t>
  </si>
  <si>
    <t>6'-3"</t>
  </si>
  <si>
    <t>4'-0"</t>
  </si>
  <si>
    <t>5'-3"</t>
  </si>
  <si>
    <t>12'-0"</t>
  </si>
  <si>
    <t>13'-5"</t>
  </si>
  <si>
    <t>15'-10"</t>
  </si>
  <si>
    <t>18'-1"</t>
  </si>
  <si>
    <r>
      <t>D</t>
    </r>
    <r>
      <rPr>
        <sz val="10"/>
        <color indexed="12"/>
        <rFont val="Arial"/>
        <family val="2"/>
      </rPr>
      <t>(allow)</t>
    </r>
    <r>
      <rPr>
        <sz val="10"/>
        <color indexed="12"/>
        <rFont val="Arial"/>
        <family val="0"/>
      </rPr>
      <t xml:space="preserve"> = Lesser of: (L*12)/240  or  1"</t>
    </r>
  </si>
  <si>
    <r>
      <t>D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 Lesser of: (L*12)/240  or  1"</t>
    </r>
  </si>
  <si>
    <t>Vulcraft - FMG Approved Span / Profile</t>
  </si>
  <si>
    <t>LOAD TABLES FROM VULCRAFT CATALOG (2008):</t>
  </si>
  <si>
    <t xml:space="preserve">5.  In the "Roof Deck Wind Uplift (ASD)" and "Roof Deck Wind Uplift (LRFD)" worksheets, roof uplift wind </t>
  </si>
  <si>
    <t xml:space="preserve">6.  For components and cladding (roof deck, fasteners, and above deck components), FMG 1-28 requires that </t>
  </si>
  <si>
    <t>7.  This program contains numerous “comment boxes” which contain a wide variety of information including</t>
  </si>
  <si>
    <t xml:space="preserve">     calculations.  However, in the "Roof Deck DL+LL (ASD)" and "Roof Deck DL+LL (LRFD)" worksheets, the </t>
  </si>
  <si>
    <r>
      <t>4.  In most deck vendor catalogs, only the deck moment of inertia for positive bending, "</t>
    </r>
    <r>
      <rPr>
        <sz val="9"/>
        <rFont val="Tahoma"/>
        <family val="2"/>
      </rPr>
      <t>I</t>
    </r>
    <r>
      <rPr>
        <sz val="9"/>
        <rFont val="Arial"/>
        <family val="2"/>
      </rPr>
      <t xml:space="preserve">p", is used for deflection </t>
    </r>
  </si>
  <si>
    <r>
      <t xml:space="preserve">     value of "</t>
    </r>
    <r>
      <rPr>
        <sz val="9"/>
        <rFont val="Tahoma"/>
        <family val="2"/>
      </rPr>
      <t>I</t>
    </r>
    <r>
      <rPr>
        <sz val="9"/>
        <rFont val="Arial"/>
        <family val="2"/>
      </rPr>
      <t xml:space="preserve">p" is used only for a single-span conditions.  For multispan conditions, these two worksheets use </t>
    </r>
  </si>
  <si>
    <r>
      <t xml:space="preserve">     the average value, </t>
    </r>
    <r>
      <rPr>
        <sz val="9"/>
        <rFont val="Tahoma"/>
        <family val="2"/>
      </rPr>
      <t>I</t>
    </r>
    <r>
      <rPr>
        <sz val="8"/>
        <rFont val="Arial"/>
        <family val="2"/>
      </rPr>
      <t>(avg)</t>
    </r>
    <r>
      <rPr>
        <sz val="9"/>
        <rFont val="Arial"/>
        <family val="2"/>
      </rPr>
      <t xml:space="preserve"> = (</t>
    </r>
    <r>
      <rPr>
        <sz val="9"/>
        <rFont val="Tahoma"/>
        <family val="2"/>
      </rPr>
      <t>I</t>
    </r>
    <r>
      <rPr>
        <sz val="9"/>
        <rFont val="Arial"/>
        <family val="2"/>
      </rPr>
      <t>p+</t>
    </r>
    <r>
      <rPr>
        <sz val="9"/>
        <rFont val="Tahoma"/>
        <family val="2"/>
      </rPr>
      <t>I</t>
    </r>
    <r>
      <rPr>
        <sz val="9"/>
        <rFont val="Arial"/>
        <family val="2"/>
      </rPr>
      <t>n)/2, for deflection calculations as noted on page 4 of Reference 1c above.</t>
    </r>
  </si>
  <si>
    <t>Deflection Check for Roof Zone 2 (Perimeter):</t>
  </si>
  <si>
    <t>Deflection Check for Roof Zone 1 (Interior):</t>
  </si>
  <si>
    <t>Deflection Check for Roof Zone 3 (Corners):</t>
  </si>
  <si>
    <r>
      <t>D</t>
    </r>
    <r>
      <rPr>
        <sz val="10"/>
        <color indexed="12"/>
        <rFont val="Arial"/>
        <family val="2"/>
      </rPr>
      <t>1(max)</t>
    </r>
    <r>
      <rPr>
        <sz val="10"/>
        <color indexed="12"/>
        <rFont val="Arial"/>
        <family val="0"/>
      </rPr>
      <t xml:space="preserve"> =</t>
    </r>
  </si>
  <si>
    <r>
      <t>D</t>
    </r>
    <r>
      <rPr>
        <sz val="10"/>
        <color indexed="12"/>
        <rFont val="Arial"/>
        <family val="2"/>
      </rPr>
      <t>1(allow)</t>
    </r>
    <r>
      <rPr>
        <sz val="10"/>
        <color indexed="12"/>
        <rFont val="Arial"/>
        <family val="0"/>
      </rPr>
      <t xml:space="preserve"> =</t>
    </r>
  </si>
  <si>
    <r>
      <t>D</t>
    </r>
    <r>
      <rPr>
        <sz val="10"/>
        <color indexed="12"/>
        <rFont val="Arial"/>
        <family val="2"/>
      </rPr>
      <t>2(allow)</t>
    </r>
    <r>
      <rPr>
        <sz val="10"/>
        <color indexed="12"/>
        <rFont val="Arial"/>
        <family val="0"/>
      </rPr>
      <t xml:space="preserve"> =</t>
    </r>
  </si>
  <si>
    <r>
      <t>D</t>
    </r>
    <r>
      <rPr>
        <sz val="10"/>
        <color indexed="12"/>
        <rFont val="Arial"/>
        <family val="2"/>
      </rPr>
      <t>3(max)</t>
    </r>
    <r>
      <rPr>
        <sz val="10"/>
        <color indexed="12"/>
        <rFont val="Arial"/>
        <family val="0"/>
      </rPr>
      <t xml:space="preserve"> =</t>
    </r>
  </si>
  <si>
    <r>
      <t>D</t>
    </r>
    <r>
      <rPr>
        <sz val="10"/>
        <color indexed="12"/>
        <rFont val="Arial"/>
        <family val="2"/>
      </rPr>
      <t>3(allow)</t>
    </r>
    <r>
      <rPr>
        <sz val="10"/>
        <color indexed="12"/>
        <rFont val="Arial"/>
        <family val="0"/>
      </rPr>
      <t xml:space="preserve"> =</t>
    </r>
  </si>
  <si>
    <r>
      <t>D</t>
    </r>
    <r>
      <rPr>
        <sz val="10"/>
        <color indexed="12"/>
        <rFont val="Arial"/>
        <family val="2"/>
      </rPr>
      <t>1(allow)</t>
    </r>
    <r>
      <rPr>
        <sz val="10"/>
        <color indexed="12"/>
        <rFont val="Arial"/>
        <family val="0"/>
      </rPr>
      <t xml:space="preserve"> = Lesser of: (L1*12)/240  or  1"</t>
    </r>
  </si>
  <si>
    <r>
      <t>D</t>
    </r>
    <r>
      <rPr>
        <sz val="10"/>
        <color indexed="12"/>
        <rFont val="Arial"/>
        <family val="2"/>
      </rPr>
      <t>2(allow)</t>
    </r>
    <r>
      <rPr>
        <sz val="10"/>
        <color indexed="12"/>
        <rFont val="Arial"/>
        <family val="0"/>
      </rPr>
      <t xml:space="preserve"> = Lesser of: (L2*12)/240  or  1"</t>
    </r>
  </si>
  <si>
    <r>
      <t>D</t>
    </r>
    <r>
      <rPr>
        <sz val="10"/>
        <color indexed="12"/>
        <rFont val="Arial"/>
        <family val="2"/>
      </rPr>
      <t>3(allow)</t>
    </r>
    <r>
      <rPr>
        <sz val="10"/>
        <color indexed="12"/>
        <rFont val="Arial"/>
        <family val="0"/>
      </rPr>
      <t xml:space="preserve"> = Lesser of: (L3*12)/240  or  1"</t>
    </r>
  </si>
  <si>
    <r>
      <t>D</t>
    </r>
    <r>
      <rPr>
        <sz val="10"/>
        <color indexed="8"/>
        <rFont val="Arial"/>
        <family val="2"/>
      </rPr>
      <t>2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 Lesser of: (L2*12)/240  or  1"</t>
    </r>
  </si>
  <si>
    <r>
      <t>D</t>
    </r>
    <r>
      <rPr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 Lesser of: (L1*12)/240  or  1"</t>
    </r>
  </si>
  <si>
    <r>
      <t xml:space="preserve">Maximum Deflection,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</si>
  <si>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 xml:space="preserve">Allowable Deflection,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</t>
    </r>
  </si>
  <si>
    <r>
      <t xml:space="preserve">Maximum Deflection,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2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</si>
  <si>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 xml:space="preserve">Allowable Deflection,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2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</t>
    </r>
  </si>
  <si>
    <r>
      <t xml:space="preserve">Maximum Deflection,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3</t>
    </r>
    <r>
      <rPr>
        <sz val="8"/>
        <color indexed="8"/>
        <rFont val="Arial"/>
        <family val="2"/>
      </rPr>
      <t>(max)</t>
    </r>
    <r>
      <rPr>
        <sz val="10"/>
        <color indexed="8"/>
        <rFont val="Arial"/>
        <family val="0"/>
      </rPr>
      <t xml:space="preserve"> =</t>
    </r>
  </si>
  <si>
    <r>
      <t xml:space="preserve">Allowable Deflection,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3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</t>
    </r>
  </si>
  <si>
    <r>
      <t>D</t>
    </r>
    <r>
      <rPr>
        <sz val="10"/>
        <color indexed="8"/>
        <rFont val="Arial"/>
        <family val="2"/>
      </rPr>
      <t>3</t>
    </r>
    <r>
      <rPr>
        <sz val="8"/>
        <color indexed="8"/>
        <rFont val="Arial"/>
        <family val="2"/>
      </rPr>
      <t>(allow)</t>
    </r>
    <r>
      <rPr>
        <sz val="10"/>
        <color indexed="8"/>
        <rFont val="Arial"/>
        <family val="0"/>
      </rPr>
      <t xml:space="preserve"> = Lesser of: (L3*12)/240  or  1"</t>
    </r>
  </si>
  <si>
    <t>Note: Assume E = 29500 ksi for steel roof deck</t>
  </si>
  <si>
    <r>
      <t xml:space="preserve">For gravity load, </t>
    </r>
    <r>
      <rPr>
        <sz val="10"/>
        <rFont val="Tahoma"/>
        <family val="2"/>
      </rPr>
      <t>I</t>
    </r>
    <r>
      <rPr>
        <sz val="10"/>
        <rFont val="Arial"/>
        <family val="0"/>
      </rPr>
      <t>p is considered between supports</t>
    </r>
  </si>
  <si>
    <r>
      <t xml:space="preserve">For gravity load, </t>
    </r>
    <r>
      <rPr>
        <sz val="10"/>
        <rFont val="Tahoma"/>
        <family val="2"/>
      </rPr>
      <t>I</t>
    </r>
    <r>
      <rPr>
        <sz val="10"/>
        <rFont val="Arial"/>
        <family val="0"/>
      </rPr>
      <t>n is considered at supports</t>
    </r>
  </si>
  <si>
    <t>For gravity load, Sp is considered between supports</t>
  </si>
  <si>
    <t>For gravity load, Sn is considered at supports</t>
  </si>
  <si>
    <t>For uplift load, Sp1 is considered at supports</t>
  </si>
  <si>
    <t>For uplift load, Sn1 is considered between supports</t>
  </si>
  <si>
    <r>
      <t xml:space="preserve">Deck Positive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p1 =</t>
    </r>
  </si>
  <si>
    <r>
      <t xml:space="preserve">Deck Negative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n1 =</t>
    </r>
  </si>
  <si>
    <r>
      <t xml:space="preserve">For uplift load, </t>
    </r>
    <r>
      <rPr>
        <sz val="10"/>
        <rFont val="Tahoma"/>
        <family val="2"/>
      </rPr>
      <t>I</t>
    </r>
    <r>
      <rPr>
        <sz val="10"/>
        <rFont val="Arial"/>
        <family val="0"/>
      </rPr>
      <t>p1 is considered at supports</t>
    </r>
  </si>
  <si>
    <r>
      <t xml:space="preserve">For uplift load, </t>
    </r>
    <r>
      <rPr>
        <sz val="10"/>
        <rFont val="Tahoma"/>
        <family val="2"/>
      </rPr>
      <t>I</t>
    </r>
    <r>
      <rPr>
        <sz val="10"/>
        <rFont val="Arial"/>
        <family val="0"/>
      </rPr>
      <t>n1 is considered between supports</t>
    </r>
  </si>
  <si>
    <r>
      <t>I</t>
    </r>
    <r>
      <rPr>
        <sz val="10"/>
        <rFont val="Arial"/>
        <family val="2"/>
      </rPr>
      <t xml:space="preserve">1 = </t>
    </r>
    <r>
      <rPr>
        <sz val="10"/>
        <rFont val="Tahoma"/>
        <family val="2"/>
      </rPr>
      <t>I</t>
    </r>
    <r>
      <rPr>
        <sz val="10"/>
        <rFont val="Arial"/>
        <family val="2"/>
      </rPr>
      <t>1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= (</t>
    </r>
    <r>
      <rPr>
        <sz val="10"/>
        <rFont val="Tahoma"/>
        <family val="2"/>
      </rPr>
      <t>I</t>
    </r>
    <r>
      <rPr>
        <sz val="10"/>
        <rFont val="Arial"/>
        <family val="0"/>
      </rPr>
      <t>p1+</t>
    </r>
    <r>
      <rPr>
        <sz val="10"/>
        <rFont val="Tahoma"/>
        <family val="2"/>
      </rPr>
      <t>I</t>
    </r>
    <r>
      <rPr>
        <sz val="10"/>
        <rFont val="Arial"/>
        <family val="0"/>
      </rPr>
      <t>n1)/2 =</t>
    </r>
  </si>
  <si>
    <r>
      <t>I</t>
    </r>
    <r>
      <rPr>
        <sz val="10"/>
        <rFont val="Arial"/>
        <family val="2"/>
      </rPr>
      <t>1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is used only for 2-span and 3-span conditions</t>
    </r>
  </si>
  <si>
    <r>
      <t xml:space="preserve">Deck Positive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p2 =</t>
    </r>
  </si>
  <si>
    <r>
      <t xml:space="preserve">Deck Negative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n2 =</t>
    </r>
  </si>
  <si>
    <r>
      <t>I</t>
    </r>
    <r>
      <rPr>
        <sz val="10"/>
        <rFont val="Arial"/>
        <family val="2"/>
      </rPr>
      <t xml:space="preserve">2 = </t>
    </r>
    <r>
      <rPr>
        <sz val="10"/>
        <rFont val="Tahoma"/>
        <family val="2"/>
      </rPr>
      <t>I</t>
    </r>
    <r>
      <rPr>
        <sz val="10"/>
        <rFont val="Arial"/>
        <family val="2"/>
      </rPr>
      <t>2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= (</t>
    </r>
    <r>
      <rPr>
        <sz val="10"/>
        <rFont val="Tahoma"/>
        <family val="2"/>
      </rPr>
      <t>I</t>
    </r>
    <r>
      <rPr>
        <sz val="10"/>
        <rFont val="Arial"/>
        <family val="0"/>
      </rPr>
      <t>p2+</t>
    </r>
    <r>
      <rPr>
        <sz val="10"/>
        <rFont val="Tahoma"/>
        <family val="2"/>
      </rPr>
      <t>I</t>
    </r>
    <r>
      <rPr>
        <sz val="10"/>
        <rFont val="Arial"/>
        <family val="0"/>
      </rPr>
      <t>n2)/2 =</t>
    </r>
  </si>
  <si>
    <r>
      <t>I</t>
    </r>
    <r>
      <rPr>
        <sz val="10"/>
        <rFont val="Arial"/>
        <family val="2"/>
      </rPr>
      <t>2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is used only for 2-span and 3-span conditions</t>
    </r>
  </si>
  <si>
    <r>
      <t xml:space="preserve">For uplift load, </t>
    </r>
    <r>
      <rPr>
        <sz val="10"/>
        <rFont val="Tahoma"/>
        <family val="2"/>
      </rPr>
      <t>I</t>
    </r>
    <r>
      <rPr>
        <sz val="10"/>
        <rFont val="Arial"/>
        <family val="0"/>
      </rPr>
      <t>p2 is considered at supports</t>
    </r>
  </si>
  <si>
    <r>
      <t xml:space="preserve">For uplift load, </t>
    </r>
    <r>
      <rPr>
        <sz val="10"/>
        <rFont val="Tahoma"/>
        <family val="2"/>
      </rPr>
      <t>I</t>
    </r>
    <r>
      <rPr>
        <sz val="10"/>
        <rFont val="Arial"/>
        <family val="0"/>
      </rPr>
      <t>n2 is considered between supports</t>
    </r>
  </si>
  <si>
    <t>For uplift load, Sp2 is considered at supports</t>
  </si>
  <si>
    <t>For uplift load, Sn2 is considered between supports</t>
  </si>
  <si>
    <r>
      <t xml:space="preserve">Deck Positive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p3 =</t>
    </r>
  </si>
  <si>
    <r>
      <t xml:space="preserve">Deck Negative Mom. of Inertia, </t>
    </r>
    <r>
      <rPr>
        <sz val="10"/>
        <rFont val="Tahoma"/>
        <family val="2"/>
      </rPr>
      <t>I</t>
    </r>
    <r>
      <rPr>
        <sz val="10"/>
        <rFont val="Arial"/>
        <family val="0"/>
      </rPr>
      <t>n3 =</t>
    </r>
  </si>
  <si>
    <r>
      <t>I</t>
    </r>
    <r>
      <rPr>
        <sz val="10"/>
        <rFont val="Arial"/>
        <family val="2"/>
      </rPr>
      <t xml:space="preserve">3 = </t>
    </r>
    <r>
      <rPr>
        <sz val="10"/>
        <rFont val="Tahoma"/>
        <family val="2"/>
      </rPr>
      <t>I</t>
    </r>
    <r>
      <rPr>
        <sz val="10"/>
        <rFont val="Arial"/>
        <family val="2"/>
      </rPr>
      <t>3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= (</t>
    </r>
    <r>
      <rPr>
        <sz val="10"/>
        <rFont val="Tahoma"/>
        <family val="2"/>
      </rPr>
      <t>I</t>
    </r>
    <r>
      <rPr>
        <sz val="10"/>
        <rFont val="Arial"/>
        <family val="0"/>
      </rPr>
      <t>p3+</t>
    </r>
    <r>
      <rPr>
        <sz val="10"/>
        <rFont val="Tahoma"/>
        <family val="2"/>
      </rPr>
      <t>I</t>
    </r>
    <r>
      <rPr>
        <sz val="10"/>
        <rFont val="Arial"/>
        <family val="0"/>
      </rPr>
      <t>n3)/2 =</t>
    </r>
  </si>
  <si>
    <r>
      <t xml:space="preserve">For uplift load, </t>
    </r>
    <r>
      <rPr>
        <sz val="10"/>
        <rFont val="Tahoma"/>
        <family val="2"/>
      </rPr>
      <t>I</t>
    </r>
    <r>
      <rPr>
        <sz val="10"/>
        <rFont val="Arial"/>
        <family val="0"/>
      </rPr>
      <t>p3 is considered at supports</t>
    </r>
  </si>
  <si>
    <r>
      <t xml:space="preserve">For uplift load, </t>
    </r>
    <r>
      <rPr>
        <sz val="10"/>
        <rFont val="Tahoma"/>
        <family val="2"/>
      </rPr>
      <t>I</t>
    </r>
    <r>
      <rPr>
        <sz val="10"/>
        <rFont val="Arial"/>
        <family val="0"/>
      </rPr>
      <t>n3 is considered between supports</t>
    </r>
  </si>
  <si>
    <r>
      <t>I</t>
    </r>
    <r>
      <rPr>
        <sz val="10"/>
        <rFont val="Arial"/>
        <family val="2"/>
      </rPr>
      <t>3</t>
    </r>
    <r>
      <rPr>
        <sz val="8"/>
        <rFont val="Arial"/>
        <family val="2"/>
      </rPr>
      <t>(avg)</t>
    </r>
    <r>
      <rPr>
        <sz val="10"/>
        <rFont val="Arial"/>
        <family val="0"/>
      </rPr>
      <t xml:space="preserve"> is used only for 2-span and 3-span conditions</t>
    </r>
  </si>
  <si>
    <t>For uplift load, Sp3 is considered at supports</t>
  </si>
  <si>
    <t>For uplift load, Sn3 is considered between supports</t>
  </si>
  <si>
    <r>
      <t>D</t>
    </r>
    <r>
      <rPr>
        <sz val="10"/>
        <color indexed="12"/>
        <rFont val="Arial"/>
        <family val="2"/>
      </rPr>
      <t>2(max)</t>
    </r>
    <r>
      <rPr>
        <sz val="10"/>
        <color indexed="12"/>
        <rFont val="Arial"/>
        <family val="0"/>
      </rPr>
      <t xml:space="preserve"> =</t>
    </r>
  </si>
  <si>
    <t>LRFD Analysis for Gravity (Dead + Live or Snow) Loading</t>
  </si>
  <si>
    <t>ASD Analysis for Gravity (Dead + Live or Snow) Loading</t>
  </si>
  <si>
    <t xml:space="preserve">steel deck.  Specifically, roof decks subjected to gravity loading (dead + live or snow) and wind uplift loading can </t>
  </si>
  <si>
    <t xml:space="preserve">be analyzed using either ASD or LRFD methods.  Bending stresses as well as deflections are checked.  Roof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</si>
</sst>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\ ;\(&quot;$&quot;#,##0\)"/>
    <numFmt numFmtId="167" formatCode="0.0"/>
    <numFmt numFmtId="168" formatCode="\1\-#"/>
    <numFmt numFmtId="169" formatCode="0.00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8"/>
      <name val="Symbol"/>
      <family val="1"/>
    </font>
    <font>
      <sz val="10"/>
      <name val="Symbol"/>
      <family val="1"/>
    </font>
    <font>
      <sz val="10"/>
      <color indexed="12"/>
      <name val="Symbol"/>
      <family val="1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</cellStyleXfs>
  <cellXfs count="25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 applyProtection="1">
      <alignment horizontal="right"/>
      <protection hidden="1"/>
    </xf>
    <xf numFmtId="0" fontId="8" fillId="3" borderId="3" xfId="0" applyFont="1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9" fillId="3" borderId="4" xfId="0" applyFont="1" applyFill="1" applyBorder="1" applyAlignment="1" applyProtection="1">
      <alignment horizontal="centerContinuous"/>
      <protection hidden="1"/>
    </xf>
    <xf numFmtId="0" fontId="0" fillId="3" borderId="5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Continuous"/>
      <protection hidden="1"/>
    </xf>
    <xf numFmtId="0" fontId="9" fillId="3" borderId="0" xfId="0" applyFont="1" applyFill="1" applyBorder="1" applyAlignment="1" applyProtection="1">
      <alignment horizontal="centerContinuous"/>
      <protection hidden="1"/>
    </xf>
    <xf numFmtId="0" fontId="10" fillId="3" borderId="0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6" xfId="0" applyFont="1" applyFill="1" applyBorder="1" applyAlignment="1">
      <alignment horizontal="centerContinuous"/>
    </xf>
    <xf numFmtId="0" fontId="11" fillId="2" borderId="0" xfId="0" applyFont="1" applyFill="1" applyBorder="1" applyAlignment="1" applyProtection="1">
      <alignment vertical="justify"/>
      <protection hidden="1"/>
    </xf>
    <xf numFmtId="0" fontId="10" fillId="3" borderId="7" xfId="0" applyFont="1" applyFill="1" applyBorder="1" applyAlignment="1" applyProtection="1">
      <alignment horizontal="centerContinuous"/>
      <protection hidden="1"/>
    </xf>
    <xf numFmtId="0" fontId="9" fillId="3" borderId="8" xfId="0" applyFont="1" applyFill="1" applyBorder="1" applyAlignment="1" applyProtection="1">
      <alignment horizontal="centerContinuous"/>
      <protection hidden="1"/>
    </xf>
    <xf numFmtId="0" fontId="0" fillId="3" borderId="8" xfId="0" applyFill="1" applyBorder="1" applyAlignment="1" applyProtection="1">
      <alignment horizontal="centerContinuous"/>
      <protection hidden="1"/>
    </xf>
    <xf numFmtId="0" fontId="0" fillId="3" borderId="9" xfId="0" applyFont="1" applyFill="1" applyBorder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/>
      <protection hidden="1"/>
    </xf>
    <xf numFmtId="49" fontId="7" fillId="2" borderId="7" xfId="0" applyNumberFormat="1" applyFont="1" applyFill="1" applyBorder="1" applyAlignment="1" applyProtection="1">
      <alignment/>
      <protection locked="0"/>
    </xf>
    <xf numFmtId="49" fontId="7" fillId="2" borderId="8" xfId="0" applyNumberFormat="1" applyFont="1" applyFill="1" applyBorder="1" applyAlignment="1" applyProtection="1">
      <alignment/>
      <protection locked="0"/>
    </xf>
    <xf numFmtId="0" fontId="11" fillId="2" borderId="10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/>
      <protection locked="0"/>
    </xf>
    <xf numFmtId="0" fontId="7" fillId="2" borderId="12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/>
      <protection locked="0"/>
    </xf>
    <xf numFmtId="49" fontId="7" fillId="2" borderId="12" xfId="0" applyNumberFormat="1" applyFont="1" applyFill="1" applyBorder="1" applyAlignment="1" applyProtection="1">
      <alignment/>
      <protection locked="0"/>
    </xf>
    <xf numFmtId="0" fontId="11" fillId="2" borderId="14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/>
      <protection locked="0"/>
    </xf>
    <xf numFmtId="0" fontId="11" fillId="2" borderId="13" xfId="0" applyFont="1" applyFill="1" applyBorder="1" applyAlignment="1" applyProtection="1">
      <alignment horizontal="center"/>
      <protection hidden="1"/>
    </xf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11" fillId="2" borderId="2" xfId="0" applyFont="1" applyFill="1" applyBorder="1" applyAlignment="1" applyProtection="1">
      <alignment/>
      <protection hidden="1"/>
    </xf>
    <xf numFmtId="14" fontId="7" fillId="2" borderId="4" xfId="0" applyNumberFormat="1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/>
      <protection locked="0"/>
    </xf>
    <xf numFmtId="0" fontId="12" fillId="2" borderId="2" xfId="0" applyNumberFormat="1" applyFont="1" applyFill="1" applyBorder="1" applyAlignment="1" applyProtection="1">
      <alignment/>
      <protection hidden="1"/>
    </xf>
    <xf numFmtId="18" fontId="7" fillId="2" borderId="0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 hidden="1"/>
    </xf>
    <xf numFmtId="2" fontId="11" fillId="2" borderId="0" xfId="0" applyNumberFormat="1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>
      <alignment/>
    </xf>
    <xf numFmtId="0" fontId="0" fillId="2" borderId="2" xfId="0" applyFill="1" applyBorder="1" applyAlignment="1" applyProtection="1">
      <alignment/>
      <protection hidden="1"/>
    </xf>
    <xf numFmtId="165" fontId="11" fillId="2" borderId="0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/>
      <protection hidden="1"/>
    </xf>
    <xf numFmtId="2" fontId="7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2" fontId="11" fillId="2" borderId="0" xfId="0" applyNumberFormat="1" applyFont="1" applyFill="1" applyBorder="1" applyAlignment="1" applyProtection="1">
      <alignment/>
      <protection hidden="1"/>
    </xf>
    <xf numFmtId="0" fontId="17" fillId="2" borderId="0" xfId="0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2" fontId="7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2" fontId="7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>
      <alignment/>
    </xf>
    <xf numFmtId="0" fontId="0" fillId="2" borderId="8" xfId="0" applyFill="1" applyBorder="1" applyAlignment="1" applyProtection="1">
      <alignment/>
      <protection hidden="1"/>
    </xf>
    <xf numFmtId="0" fontId="11" fillId="2" borderId="2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11" fillId="2" borderId="2" xfId="0" applyNumberFormat="1" applyFont="1" applyFill="1" applyBorder="1" applyAlignment="1" applyProtection="1">
      <alignment/>
      <protection hidden="1"/>
    </xf>
    <xf numFmtId="0" fontId="18" fillId="2" borderId="2" xfId="0" applyNumberFormat="1" applyFont="1" applyFill="1" applyBorder="1" applyAlignment="1" applyProtection="1">
      <alignment/>
      <protection hidden="1"/>
    </xf>
    <xf numFmtId="0" fontId="7" fillId="4" borderId="15" xfId="0" applyFont="1" applyFill="1" applyBorder="1" applyAlignment="1" applyProtection="1">
      <alignment horizontal="center"/>
      <protection locked="0"/>
    </xf>
    <xf numFmtId="164" fontId="7" fillId="4" borderId="15" xfId="0" applyNumberFormat="1" applyFont="1" applyFill="1" applyBorder="1" applyAlignment="1" applyProtection="1">
      <alignment horizontal="center"/>
      <protection locked="0"/>
    </xf>
    <xf numFmtId="2" fontId="7" fillId="4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7" fillId="2" borderId="11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locked="0"/>
    </xf>
    <xf numFmtId="2" fontId="7" fillId="4" borderId="16" xfId="0" applyNumberFormat="1" applyFont="1" applyFill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/>
      <protection hidden="1"/>
    </xf>
    <xf numFmtId="0" fontId="11" fillId="2" borderId="8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 horizontal="center"/>
      <protection hidden="1"/>
    </xf>
    <xf numFmtId="0" fontId="20" fillId="2" borderId="2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centerContinuous"/>
      <protection hidden="1"/>
    </xf>
    <xf numFmtId="2" fontId="7" fillId="2" borderId="14" xfId="0" applyNumberFormat="1" applyFont="1" applyFill="1" applyBorder="1" applyAlignment="1" applyProtection="1">
      <alignment horizontal="center"/>
      <protection hidden="1"/>
    </xf>
    <xf numFmtId="165" fontId="11" fillId="2" borderId="0" xfId="0" applyNumberFormat="1" applyFont="1" applyFill="1" applyBorder="1" applyAlignment="1" applyProtection="1">
      <alignment horizontal="right"/>
      <protection hidden="1"/>
    </xf>
    <xf numFmtId="164" fontId="7" fillId="2" borderId="17" xfId="0" applyNumberFormat="1" applyFont="1" applyFill="1" applyBorder="1" applyAlignment="1" applyProtection="1">
      <alignment horizontal="center"/>
      <protection hidden="1"/>
    </xf>
    <xf numFmtId="2" fontId="7" fillId="2" borderId="17" xfId="0" applyNumberFormat="1" applyFont="1" applyFill="1" applyBorder="1" applyAlignment="1" applyProtection="1">
      <alignment horizontal="center"/>
      <protection hidden="1"/>
    </xf>
    <xf numFmtId="2" fontId="7" fillId="2" borderId="15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 quotePrefix="1">
      <alignment/>
      <protection hidden="1"/>
    </xf>
    <xf numFmtId="165" fontId="11" fillId="2" borderId="0" xfId="0" applyNumberFormat="1" applyFont="1" applyFill="1" applyBorder="1" applyAlignment="1" applyProtection="1">
      <alignment/>
      <protection hidden="1"/>
    </xf>
    <xf numFmtId="165" fontId="7" fillId="2" borderId="16" xfId="0" applyNumberFormat="1" applyFont="1" applyFill="1" applyBorder="1" applyAlignment="1" applyProtection="1">
      <alignment horizontal="center"/>
      <protection hidden="1"/>
    </xf>
    <xf numFmtId="164" fontId="11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2" fontId="7" fillId="2" borderId="16" xfId="0" applyNumberFormat="1" applyFont="1" applyFill="1" applyBorder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/>
      <protection hidden="1"/>
    </xf>
    <xf numFmtId="2" fontId="11" fillId="2" borderId="8" xfId="0" applyNumberFormat="1" applyFont="1" applyFill="1" applyBorder="1" applyAlignment="1" applyProtection="1">
      <alignment/>
      <protection hidden="1"/>
    </xf>
    <xf numFmtId="0" fontId="13" fillId="2" borderId="8" xfId="0" applyFont="1" applyFill="1" applyBorder="1" applyAlignment="1" applyProtection="1">
      <alignment/>
      <protection hidden="1"/>
    </xf>
    <xf numFmtId="0" fontId="11" fillId="2" borderId="9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13" fillId="2" borderId="6" xfId="0" applyFont="1" applyFill="1" applyBorder="1" applyAlignment="1" applyProtection="1">
      <alignment horizontal="centerContinuous"/>
      <protection hidden="1"/>
    </xf>
    <xf numFmtId="0" fontId="13" fillId="2" borderId="6" xfId="0" applyFont="1" applyFill="1" applyBorder="1" applyAlignment="1" applyProtection="1">
      <alignment/>
      <protection hidden="1"/>
    </xf>
    <xf numFmtId="2" fontId="13" fillId="2" borderId="0" xfId="0" applyNumberFormat="1" applyFont="1" applyFill="1" applyBorder="1" applyAlignment="1">
      <alignment horizontal="left"/>
    </xf>
    <xf numFmtId="0" fontId="12" fillId="2" borderId="6" xfId="0" applyFont="1" applyFill="1" applyBorder="1" applyAlignment="1" applyProtection="1">
      <alignment/>
      <protection hidden="1"/>
    </xf>
    <xf numFmtId="0" fontId="19" fillId="3" borderId="11" xfId="0" applyFont="1" applyFill="1" applyBorder="1" applyAlignment="1" applyProtection="1">
      <alignment horizontal="centerContinuous"/>
      <protection hidden="1"/>
    </xf>
    <xf numFmtId="0" fontId="7" fillId="3" borderId="12" xfId="0" applyFont="1" applyFill="1" applyBorder="1" applyAlignment="1" applyProtection="1">
      <alignment horizontal="centerContinuous"/>
      <protection hidden="1"/>
    </xf>
    <xf numFmtId="0" fontId="7" fillId="3" borderId="13" xfId="0" applyFont="1" applyFill="1" applyBorder="1" applyAlignment="1" applyProtection="1">
      <alignment horizontal="centerContinuous"/>
      <protection hidden="1"/>
    </xf>
    <xf numFmtId="0" fontId="11" fillId="3" borderId="19" xfId="0" applyFont="1" applyFill="1" applyBorder="1" applyAlignment="1" applyProtection="1">
      <alignment horizontal="center"/>
      <protection hidden="1"/>
    </xf>
    <xf numFmtId="0" fontId="7" fillId="3" borderId="19" xfId="0" applyNumberFormat="1" applyFont="1" applyFill="1" applyBorder="1" applyAlignment="1" applyProtection="1">
      <alignment horizontal="center"/>
      <protection hidden="1"/>
    </xf>
    <xf numFmtId="0" fontId="11" fillId="3" borderId="18" xfId="0" applyFont="1" applyFill="1" applyBorder="1" applyAlignment="1" applyProtection="1">
      <alignment horizontal="center"/>
      <protection hidden="1"/>
    </xf>
    <xf numFmtId="2" fontId="11" fillId="3" borderId="18" xfId="0" applyNumberFormat="1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/>
      <protection hidden="1"/>
    </xf>
    <xf numFmtId="0" fontId="11" fillId="3" borderId="10" xfId="0" applyFont="1" applyFill="1" applyBorder="1" applyAlignment="1" applyProtection="1">
      <alignment horizontal="center"/>
      <protection hidden="1"/>
    </xf>
    <xf numFmtId="2" fontId="11" fillId="3" borderId="10" xfId="0" applyNumberFormat="1" applyFont="1" applyFill="1" applyBorder="1" applyAlignment="1" applyProtection="1">
      <alignment horizontal="center"/>
      <protection hidden="1"/>
    </xf>
    <xf numFmtId="165" fontId="7" fillId="2" borderId="17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5" fontId="11" fillId="3" borderId="17" xfId="0" applyNumberFormat="1" applyFont="1" applyFill="1" applyBorder="1" applyAlignment="1">
      <alignment horizontal="center"/>
    </xf>
    <xf numFmtId="165" fontId="11" fillId="3" borderId="15" xfId="0" applyNumberFormat="1" applyFont="1" applyFill="1" applyBorder="1" applyAlignment="1">
      <alignment horizontal="center"/>
    </xf>
    <xf numFmtId="165" fontId="11" fillId="3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2" borderId="17" xfId="0" applyNumberFormat="1" applyFont="1" applyFill="1" applyBorder="1" applyAlignment="1" applyProtection="1">
      <alignment horizontal="center"/>
      <protection hidden="1"/>
    </xf>
    <xf numFmtId="165" fontId="7" fillId="2" borderId="15" xfId="0" applyNumberFormat="1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165" fontId="7" fillId="2" borderId="17" xfId="0" applyNumberFormat="1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right"/>
      <protection hidden="1"/>
    </xf>
    <xf numFmtId="0" fontId="11" fillId="2" borderId="8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right"/>
      <protection hidden="1"/>
    </xf>
    <xf numFmtId="0" fontId="26" fillId="2" borderId="0" xfId="0" applyFont="1" applyFill="1" applyAlignment="1">
      <alignment/>
    </xf>
    <xf numFmtId="0" fontId="25" fillId="2" borderId="0" xfId="0" applyFont="1" applyFill="1" applyAlignment="1" applyProtection="1">
      <alignment horizontal="centerContinuous"/>
      <protection hidden="1"/>
    </xf>
    <xf numFmtId="0" fontId="26" fillId="2" borderId="0" xfId="0" applyFont="1" applyFill="1" applyAlignment="1" applyProtection="1">
      <alignment horizontal="centerContinuous"/>
      <protection hidden="1"/>
    </xf>
    <xf numFmtId="0" fontId="26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9" fillId="2" borderId="11" xfId="0" applyFont="1" applyFill="1" applyBorder="1" applyAlignment="1" applyProtection="1">
      <alignment horizontal="centerContinuous"/>
      <protection hidden="1"/>
    </xf>
    <xf numFmtId="0" fontId="27" fillId="2" borderId="12" xfId="0" applyFont="1" applyFill="1" applyBorder="1" applyAlignment="1" applyProtection="1">
      <alignment horizontal="centerContinuous"/>
      <protection hidden="1"/>
    </xf>
    <xf numFmtId="0" fontId="27" fillId="2" borderId="13" xfId="0" applyFont="1" applyFill="1" applyBorder="1" applyAlignment="1" applyProtection="1">
      <alignment horizontal="centerContinuous"/>
      <protection hidden="1"/>
    </xf>
    <xf numFmtId="0" fontId="0" fillId="2" borderId="12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26" fillId="0" borderId="3" xfId="0" applyFont="1" applyFill="1" applyBorder="1" applyAlignment="1" applyProtection="1">
      <alignment horizontal="centerContinuous"/>
      <protection hidden="1"/>
    </xf>
    <xf numFmtId="0" fontId="26" fillId="0" borderId="4" xfId="0" applyFont="1" applyFill="1" applyBorder="1" applyAlignment="1" applyProtection="1">
      <alignment horizontal="centerContinuous"/>
      <protection hidden="1"/>
    </xf>
    <xf numFmtId="0" fontId="26" fillId="0" borderId="5" xfId="0" applyFont="1" applyFill="1" applyBorder="1" applyAlignment="1" applyProtection="1">
      <alignment horizontal="centerContinuous"/>
      <protection hidden="1"/>
    </xf>
    <xf numFmtId="0" fontId="26" fillId="0" borderId="2" xfId="0" applyFont="1" applyFill="1" applyBorder="1" applyAlignment="1" applyProtection="1">
      <alignment horizontal="centerContinuous"/>
      <protection hidden="1"/>
    </xf>
    <xf numFmtId="0" fontId="26" fillId="0" borderId="0" xfId="0" applyFont="1" applyFill="1" applyBorder="1" applyAlignment="1" applyProtection="1">
      <alignment horizontal="centerContinuous"/>
      <protection hidden="1"/>
    </xf>
    <xf numFmtId="0" fontId="26" fillId="0" borderId="6" xfId="0" applyFont="1" applyFill="1" applyBorder="1" applyAlignment="1" applyProtection="1">
      <alignment horizontal="centerContinuous"/>
      <protection hidden="1"/>
    </xf>
    <xf numFmtId="0" fontId="26" fillId="0" borderId="7" xfId="0" applyFont="1" applyFill="1" applyBorder="1" applyAlignment="1" applyProtection="1">
      <alignment horizontal="centerContinuous"/>
      <protection hidden="1"/>
    </xf>
    <xf numFmtId="0" fontId="26" fillId="0" borderId="8" xfId="0" applyFont="1" applyFill="1" applyBorder="1" applyAlignment="1" applyProtection="1">
      <alignment horizontal="centerContinuous"/>
      <protection hidden="1"/>
    </xf>
    <xf numFmtId="0" fontId="26" fillId="0" borderId="9" xfId="0" applyFont="1" applyFill="1" applyBorder="1" applyAlignment="1" applyProtection="1">
      <alignment horizontal="centerContinuous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65" fontId="7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2" fontId="7" fillId="2" borderId="0" xfId="0" applyNumberFormat="1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/>
    </xf>
    <xf numFmtId="0" fontId="22" fillId="2" borderId="14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>
      <alignment/>
    </xf>
    <xf numFmtId="164" fontId="7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NumberFormat="1" applyFont="1" applyFill="1" applyBorder="1" applyAlignment="1" applyProtection="1">
      <alignment/>
      <protection hidden="1"/>
    </xf>
    <xf numFmtId="165" fontId="7" fillId="2" borderId="0" xfId="0" applyNumberFormat="1" applyFont="1" applyFill="1" applyBorder="1" applyAlignment="1" applyProtection="1">
      <alignment horizontal="right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 quotePrefix="1">
      <alignment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 applyProtection="1" quotePrefix="1">
      <alignment horizontal="right"/>
      <protection hidden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quotePrefix="1">
      <alignment/>
    </xf>
    <xf numFmtId="0" fontId="7" fillId="2" borderId="0" xfId="0" applyFont="1" applyFill="1" applyBorder="1" applyAlignment="1" quotePrefix="1">
      <alignment horizontal="right"/>
    </xf>
    <xf numFmtId="0" fontId="7" fillId="2" borderId="0" xfId="0" applyNumberFormat="1" applyFont="1" applyFill="1" applyBorder="1" applyAlignment="1" applyProtection="1">
      <alignment horizontal="left"/>
      <protection hidden="1"/>
    </xf>
    <xf numFmtId="0" fontId="28" fillId="2" borderId="0" xfId="0" applyFont="1" applyFill="1" applyAlignment="1" applyProtection="1">
      <alignment/>
      <protection hidden="1"/>
    </xf>
    <xf numFmtId="164" fontId="7" fillId="2" borderId="16" xfId="0" applyNumberFormat="1" applyFont="1" applyFill="1" applyBorder="1" applyAlignment="1" applyProtection="1">
      <alignment horizontal="center"/>
      <protection hidden="1"/>
    </xf>
    <xf numFmtId="164" fontId="7" fillId="2" borderId="16" xfId="0" applyNumberFormat="1" applyFont="1" applyFill="1" applyBorder="1" applyAlignment="1" applyProtection="1">
      <alignment horizontal="center"/>
      <protection hidden="1"/>
    </xf>
    <xf numFmtId="0" fontId="29" fillId="2" borderId="0" xfId="0" applyFont="1" applyFill="1" applyAlignment="1" applyProtection="1">
      <alignment/>
      <protection hidden="1"/>
    </xf>
    <xf numFmtId="0" fontId="12" fillId="2" borderId="2" xfId="0" applyFont="1" applyFill="1" applyBorder="1" applyAlignment="1" applyProtection="1">
      <alignment/>
      <protection hidden="1"/>
    </xf>
    <xf numFmtId="2" fontId="13" fillId="2" borderId="0" xfId="0" applyNumberFormat="1" applyFont="1" applyFill="1" applyBorder="1" applyAlignment="1" applyProtection="1">
      <alignment horizontal="left"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7" fillId="2" borderId="6" xfId="0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0" fontId="22" fillId="2" borderId="0" xfId="0" applyFont="1" applyFill="1" applyBorder="1" applyAlignment="1" applyProtection="1">
      <alignment/>
      <protection hidden="1"/>
    </xf>
    <xf numFmtId="164" fontId="7" fillId="2" borderId="17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 quotePrefix="1">
      <alignment horizontal="center"/>
    </xf>
    <xf numFmtId="164" fontId="7" fillId="2" borderId="20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Continuous"/>
    </xf>
    <xf numFmtId="0" fontId="9" fillId="3" borderId="12" xfId="0" applyFont="1" applyFill="1" applyBorder="1" applyAlignment="1">
      <alignment horizontal="centerContinuous"/>
    </xf>
    <xf numFmtId="0" fontId="9" fillId="3" borderId="13" xfId="0" applyFont="1" applyFill="1" applyBorder="1" applyAlignment="1">
      <alignment horizontal="centerContinuous"/>
    </xf>
    <xf numFmtId="0" fontId="0" fillId="2" borderId="0" xfId="0" applyFill="1" applyAlignment="1">
      <alignment horizontal="center"/>
    </xf>
    <xf numFmtId="0" fontId="15" fillId="2" borderId="0" xfId="0" applyFont="1" applyFill="1" applyBorder="1" applyAlignment="1" applyProtection="1">
      <alignment/>
      <protection hidden="1"/>
    </xf>
    <xf numFmtId="0" fontId="20" fillId="2" borderId="0" xfId="0" applyFont="1" applyFill="1" applyAlignment="1">
      <alignment/>
    </xf>
    <xf numFmtId="0" fontId="11" fillId="2" borderId="2" xfId="0" applyFont="1" applyFill="1" applyBorder="1" applyAlignment="1" applyProtection="1">
      <alignment/>
      <protection hidden="1"/>
    </xf>
    <xf numFmtId="0" fontId="11" fillId="2" borderId="6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3" borderId="1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3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3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152400</xdr:rowOff>
    </xdr:from>
    <xdr:to>
      <xdr:col>9</xdr:col>
      <xdr:colOff>495300</xdr:colOff>
      <xdr:row>17</xdr:row>
      <xdr:rowOff>76200</xdr:rowOff>
    </xdr:to>
    <xdr:grpSp>
      <xdr:nvGrpSpPr>
        <xdr:cNvPr id="1" name="Group 18"/>
        <xdr:cNvGrpSpPr>
          <a:grpSpLocks/>
        </xdr:cNvGrpSpPr>
      </xdr:nvGrpSpPr>
      <xdr:grpSpPr>
        <a:xfrm>
          <a:off x="3152775" y="1323975"/>
          <a:ext cx="3095625" cy="1543050"/>
          <a:chOff x="331" y="139"/>
          <a:chExt cx="325" cy="1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rcRect l="11968" t="9259" b="37037"/>
          <a:stretch>
            <a:fillRect/>
          </a:stretch>
        </xdr:blipFill>
        <xdr:spPr>
          <a:xfrm>
            <a:off x="331" y="142"/>
            <a:ext cx="228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l="11968" t="2563" b="-2563"/>
          <a:stretch>
            <a:fillRect/>
          </a:stretch>
        </xdr:blipFill>
        <xdr:spPr>
          <a:xfrm>
            <a:off x="331" y="171"/>
            <a:ext cx="228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rcRect l="12548" t="9091"/>
          <a:stretch>
            <a:fillRect/>
          </a:stretch>
        </xdr:blipFill>
        <xdr:spPr>
          <a:xfrm>
            <a:off x="331" y="209"/>
            <a:ext cx="22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rcRect l="25561" t="5883"/>
          <a:stretch>
            <a:fillRect/>
          </a:stretch>
        </xdr:blipFill>
        <xdr:spPr>
          <a:xfrm>
            <a:off x="332" y="243"/>
            <a:ext cx="166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565" y="139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B
(Wide Rib)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565" y="171"/>
            <a:ext cx="9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F
(Intermediate Rib)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562" y="204"/>
            <a:ext cx="8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A
(Narrow Rib)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565" y="239"/>
            <a:ext cx="7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3" - Type N
(Deep Rib)</a:t>
            </a:r>
          </a:p>
        </xdr:txBody>
      </xdr:sp>
      <xdr:pic>
        <xdr:nvPicPr>
          <xdr:cNvPr id="10" name="Picture 11"/>
          <xdr:cNvPicPr preferRelativeResize="1">
            <a:picLocks noChangeAspect="1"/>
          </xdr:cNvPicPr>
        </xdr:nvPicPr>
        <xdr:blipFill>
          <a:blip r:embed="rId4"/>
          <a:srcRect l="35426" t="1" r="28698" b="17646"/>
          <a:stretch>
            <a:fillRect/>
          </a:stretch>
        </xdr:blipFill>
        <xdr:spPr>
          <a:xfrm>
            <a:off x="474" y="240"/>
            <a:ext cx="80" cy="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Box 16"/>
          <xdr:cNvSpPr txBox="1">
            <a:spLocks noChangeArrowheads="1"/>
          </xdr:cNvSpPr>
        </xdr:nvSpPr>
        <xdr:spPr>
          <a:xfrm>
            <a:off x="391" y="276"/>
            <a:ext cx="18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Typical Roof Deck Profiles</a:t>
            </a:r>
          </a:p>
        </xdr:txBody>
      </xdr:sp>
    </xdr:grpSp>
    <xdr:clientData/>
  </xdr:twoCellAnchor>
  <xdr:twoCellAnchor>
    <xdr:from>
      <xdr:col>26</xdr:col>
      <xdr:colOff>542925</xdr:colOff>
      <xdr:row>36</xdr:row>
      <xdr:rowOff>19050</xdr:rowOff>
    </xdr:from>
    <xdr:to>
      <xdr:col>38</xdr:col>
      <xdr:colOff>200025</xdr:colOff>
      <xdr:row>56</xdr:row>
      <xdr:rowOff>95250</xdr:rowOff>
    </xdr:to>
    <xdr:grpSp>
      <xdr:nvGrpSpPr>
        <xdr:cNvPr id="12" name="Group 37"/>
        <xdr:cNvGrpSpPr>
          <a:grpSpLocks/>
        </xdr:cNvGrpSpPr>
      </xdr:nvGrpSpPr>
      <xdr:grpSpPr>
        <a:xfrm>
          <a:off x="6838950" y="5886450"/>
          <a:ext cx="7686675" cy="3314700"/>
          <a:chOff x="718" y="618"/>
          <a:chExt cx="807" cy="348"/>
        </a:xfrm>
        <a:solidFill>
          <a:srgbClr val="FFFFFF"/>
        </a:solidFill>
      </xdr:grpSpPr>
      <xdr:pic>
        <xdr:nvPicPr>
          <xdr:cNvPr id="13" name="Picture 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18" y="650"/>
            <a:ext cx="807" cy="3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24" y="618"/>
            <a:ext cx="307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561975</xdr:colOff>
      <xdr:row>97</xdr:row>
      <xdr:rowOff>123825</xdr:rowOff>
    </xdr:from>
    <xdr:to>
      <xdr:col>38</xdr:col>
      <xdr:colOff>180975</xdr:colOff>
      <xdr:row>119</xdr:row>
      <xdr:rowOff>95250</xdr:rowOff>
    </xdr:to>
    <xdr:grpSp>
      <xdr:nvGrpSpPr>
        <xdr:cNvPr id="15" name="Group 29"/>
        <xdr:cNvGrpSpPr>
          <a:grpSpLocks/>
        </xdr:cNvGrpSpPr>
      </xdr:nvGrpSpPr>
      <xdr:grpSpPr>
        <a:xfrm>
          <a:off x="6858000" y="15868650"/>
          <a:ext cx="7648575" cy="3533775"/>
          <a:chOff x="725" y="1547"/>
          <a:chExt cx="803" cy="371"/>
        </a:xfrm>
        <a:solidFill>
          <a:srgbClr val="FFFFFF"/>
        </a:solidFill>
      </xdr:grpSpPr>
      <xdr:pic>
        <xdr:nvPicPr>
          <xdr:cNvPr id="16" name="Picture 2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25" y="1575"/>
            <a:ext cx="803" cy="3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28" y="1547"/>
            <a:ext cx="295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504825</xdr:colOff>
      <xdr:row>58</xdr:row>
      <xdr:rowOff>0</xdr:rowOff>
    </xdr:from>
    <xdr:to>
      <xdr:col>38</xdr:col>
      <xdr:colOff>161925</xdr:colOff>
      <xdr:row>76</xdr:row>
      <xdr:rowOff>85725</xdr:rowOff>
    </xdr:to>
    <xdr:grpSp>
      <xdr:nvGrpSpPr>
        <xdr:cNvPr id="18" name="Group 32"/>
        <xdr:cNvGrpSpPr>
          <a:grpSpLocks/>
        </xdr:cNvGrpSpPr>
      </xdr:nvGrpSpPr>
      <xdr:grpSpPr>
        <a:xfrm>
          <a:off x="6800850" y="9429750"/>
          <a:ext cx="7686675" cy="3000375"/>
          <a:chOff x="725" y="837"/>
          <a:chExt cx="807" cy="315"/>
        </a:xfrm>
        <a:solidFill>
          <a:srgbClr val="FFFFFF"/>
        </a:solidFill>
      </xdr:grpSpPr>
      <xdr:pic>
        <xdr:nvPicPr>
          <xdr:cNvPr id="19" name="Picture 3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725" y="837"/>
            <a:ext cx="807" cy="2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3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8" y="1122"/>
            <a:ext cx="5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552450</xdr:colOff>
      <xdr:row>78</xdr:row>
      <xdr:rowOff>0</xdr:rowOff>
    </xdr:from>
    <xdr:to>
      <xdr:col>38</xdr:col>
      <xdr:colOff>171450</xdr:colOff>
      <xdr:row>96</xdr:row>
      <xdr:rowOff>95250</xdr:rowOff>
    </xdr:to>
    <xdr:grpSp>
      <xdr:nvGrpSpPr>
        <xdr:cNvPr id="21" name="Group 35"/>
        <xdr:cNvGrpSpPr>
          <a:grpSpLocks/>
        </xdr:cNvGrpSpPr>
      </xdr:nvGrpSpPr>
      <xdr:grpSpPr>
        <a:xfrm>
          <a:off x="6848475" y="12668250"/>
          <a:ext cx="7648575" cy="3009900"/>
          <a:chOff x="725" y="1177"/>
          <a:chExt cx="803" cy="316"/>
        </a:xfrm>
        <a:solidFill>
          <a:srgbClr val="FFFFFF"/>
        </a:solidFill>
      </xdr:grpSpPr>
      <xdr:pic>
        <xdr:nvPicPr>
          <xdr:cNvPr id="22" name="Picture 3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725" y="1177"/>
            <a:ext cx="803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3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25" y="1457"/>
            <a:ext cx="515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152400</xdr:rowOff>
    </xdr:from>
    <xdr:to>
      <xdr:col>9</xdr:col>
      <xdr:colOff>495300</xdr:colOff>
      <xdr:row>17</xdr:row>
      <xdr:rowOff>76200</xdr:rowOff>
    </xdr:to>
    <xdr:grpSp>
      <xdr:nvGrpSpPr>
        <xdr:cNvPr id="1" name="Group 30"/>
        <xdr:cNvGrpSpPr>
          <a:grpSpLocks/>
        </xdr:cNvGrpSpPr>
      </xdr:nvGrpSpPr>
      <xdr:grpSpPr>
        <a:xfrm>
          <a:off x="3152775" y="1323975"/>
          <a:ext cx="3095625" cy="1543050"/>
          <a:chOff x="331" y="139"/>
          <a:chExt cx="325" cy="162"/>
        </a:xfrm>
        <a:solidFill>
          <a:srgbClr val="FFFFFF"/>
        </a:solidFill>
      </xdr:grpSpPr>
      <xdr:pic>
        <xdr:nvPicPr>
          <xdr:cNvPr id="2" name="Picture 31"/>
          <xdr:cNvPicPr preferRelativeResize="1">
            <a:picLocks noChangeAspect="1"/>
          </xdr:cNvPicPr>
        </xdr:nvPicPr>
        <xdr:blipFill>
          <a:blip r:embed="rId1"/>
          <a:srcRect l="11968" t="9259" b="37037"/>
          <a:stretch>
            <a:fillRect/>
          </a:stretch>
        </xdr:blipFill>
        <xdr:spPr>
          <a:xfrm>
            <a:off x="331" y="142"/>
            <a:ext cx="228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/>
          <xdr:cNvPicPr preferRelativeResize="1">
            <a:picLocks noChangeAspect="1"/>
          </xdr:cNvPicPr>
        </xdr:nvPicPr>
        <xdr:blipFill>
          <a:blip r:embed="rId2"/>
          <a:srcRect l="11968" t="2563" b="-2563"/>
          <a:stretch>
            <a:fillRect/>
          </a:stretch>
        </xdr:blipFill>
        <xdr:spPr>
          <a:xfrm>
            <a:off x="331" y="171"/>
            <a:ext cx="228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3"/>
          <xdr:cNvPicPr preferRelativeResize="1">
            <a:picLocks noChangeAspect="1"/>
          </xdr:cNvPicPr>
        </xdr:nvPicPr>
        <xdr:blipFill>
          <a:blip r:embed="rId3"/>
          <a:srcRect l="12548" t="9091"/>
          <a:stretch>
            <a:fillRect/>
          </a:stretch>
        </xdr:blipFill>
        <xdr:spPr>
          <a:xfrm>
            <a:off x="331" y="209"/>
            <a:ext cx="22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4"/>
          <xdr:cNvPicPr preferRelativeResize="1">
            <a:picLocks noChangeAspect="1"/>
          </xdr:cNvPicPr>
        </xdr:nvPicPr>
        <xdr:blipFill>
          <a:blip r:embed="rId4"/>
          <a:srcRect l="25561" t="5883"/>
          <a:stretch>
            <a:fillRect/>
          </a:stretch>
        </xdr:blipFill>
        <xdr:spPr>
          <a:xfrm>
            <a:off x="332" y="243"/>
            <a:ext cx="166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35"/>
          <xdr:cNvSpPr txBox="1">
            <a:spLocks noChangeArrowheads="1"/>
          </xdr:cNvSpPr>
        </xdr:nvSpPr>
        <xdr:spPr>
          <a:xfrm>
            <a:off x="565" y="139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B
(Wide Rib)</a:t>
            </a:r>
          </a:p>
        </xdr:txBody>
      </xdr:sp>
      <xdr:sp>
        <xdr:nvSpPr>
          <xdr:cNvPr id="7" name="TextBox 36"/>
          <xdr:cNvSpPr txBox="1">
            <a:spLocks noChangeArrowheads="1"/>
          </xdr:cNvSpPr>
        </xdr:nvSpPr>
        <xdr:spPr>
          <a:xfrm>
            <a:off x="565" y="171"/>
            <a:ext cx="9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F
(Intermediate Rib)</a:t>
            </a:r>
          </a:p>
        </xdr:txBody>
      </xdr:sp>
      <xdr:sp>
        <xdr:nvSpPr>
          <xdr:cNvPr id="8" name="TextBox 37"/>
          <xdr:cNvSpPr txBox="1">
            <a:spLocks noChangeArrowheads="1"/>
          </xdr:cNvSpPr>
        </xdr:nvSpPr>
        <xdr:spPr>
          <a:xfrm>
            <a:off x="562" y="204"/>
            <a:ext cx="8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A
(Narrow Rib)</a:t>
            </a:r>
          </a:p>
        </xdr:txBody>
      </xdr:sp>
      <xdr:sp>
        <xdr:nvSpPr>
          <xdr:cNvPr id="9" name="TextBox 38"/>
          <xdr:cNvSpPr txBox="1">
            <a:spLocks noChangeArrowheads="1"/>
          </xdr:cNvSpPr>
        </xdr:nvSpPr>
        <xdr:spPr>
          <a:xfrm>
            <a:off x="565" y="239"/>
            <a:ext cx="7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3" - Type N
(Deep Rib)</a:t>
            </a:r>
          </a:p>
        </xdr:txBody>
      </xdr:sp>
      <xdr:pic>
        <xdr:nvPicPr>
          <xdr:cNvPr id="10" name="Picture 39"/>
          <xdr:cNvPicPr preferRelativeResize="1">
            <a:picLocks noChangeAspect="1"/>
          </xdr:cNvPicPr>
        </xdr:nvPicPr>
        <xdr:blipFill>
          <a:blip r:embed="rId4"/>
          <a:srcRect l="35426" t="1" r="28698" b="17646"/>
          <a:stretch>
            <a:fillRect/>
          </a:stretch>
        </xdr:blipFill>
        <xdr:spPr>
          <a:xfrm>
            <a:off x="474" y="240"/>
            <a:ext cx="80" cy="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Box 40"/>
          <xdr:cNvSpPr txBox="1">
            <a:spLocks noChangeArrowheads="1"/>
          </xdr:cNvSpPr>
        </xdr:nvSpPr>
        <xdr:spPr>
          <a:xfrm>
            <a:off x="391" y="276"/>
            <a:ext cx="18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Typical Roof Deck Profiles</a:t>
            </a:r>
          </a:p>
        </xdr:txBody>
      </xdr:sp>
    </xdr:grpSp>
    <xdr:clientData/>
  </xdr:twoCellAnchor>
  <xdr:twoCellAnchor>
    <xdr:from>
      <xdr:col>26</xdr:col>
      <xdr:colOff>542925</xdr:colOff>
      <xdr:row>36</xdr:row>
      <xdr:rowOff>19050</xdr:rowOff>
    </xdr:from>
    <xdr:to>
      <xdr:col>38</xdr:col>
      <xdr:colOff>200025</xdr:colOff>
      <xdr:row>56</xdr:row>
      <xdr:rowOff>95250</xdr:rowOff>
    </xdr:to>
    <xdr:grpSp>
      <xdr:nvGrpSpPr>
        <xdr:cNvPr id="12" name="Group 76"/>
        <xdr:cNvGrpSpPr>
          <a:grpSpLocks/>
        </xdr:cNvGrpSpPr>
      </xdr:nvGrpSpPr>
      <xdr:grpSpPr>
        <a:xfrm>
          <a:off x="6838950" y="5886450"/>
          <a:ext cx="7686675" cy="3314700"/>
          <a:chOff x="718" y="618"/>
          <a:chExt cx="807" cy="348"/>
        </a:xfrm>
        <a:solidFill>
          <a:srgbClr val="FFFFFF"/>
        </a:solidFill>
      </xdr:grpSpPr>
      <xdr:pic>
        <xdr:nvPicPr>
          <xdr:cNvPr id="13" name="Picture 6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18" y="650"/>
            <a:ext cx="807" cy="3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24" y="618"/>
            <a:ext cx="307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561975</xdr:colOff>
      <xdr:row>97</xdr:row>
      <xdr:rowOff>123825</xdr:rowOff>
    </xdr:from>
    <xdr:to>
      <xdr:col>38</xdr:col>
      <xdr:colOff>180975</xdr:colOff>
      <xdr:row>119</xdr:row>
      <xdr:rowOff>95250</xdr:rowOff>
    </xdr:to>
    <xdr:grpSp>
      <xdr:nvGrpSpPr>
        <xdr:cNvPr id="15" name="Group 67"/>
        <xdr:cNvGrpSpPr>
          <a:grpSpLocks/>
        </xdr:cNvGrpSpPr>
      </xdr:nvGrpSpPr>
      <xdr:grpSpPr>
        <a:xfrm>
          <a:off x="6858000" y="15868650"/>
          <a:ext cx="7648575" cy="3533775"/>
          <a:chOff x="725" y="1547"/>
          <a:chExt cx="803" cy="371"/>
        </a:xfrm>
        <a:solidFill>
          <a:srgbClr val="FFFFFF"/>
        </a:solidFill>
      </xdr:grpSpPr>
      <xdr:pic>
        <xdr:nvPicPr>
          <xdr:cNvPr id="16" name="Picture 6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25" y="1575"/>
            <a:ext cx="803" cy="3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6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28" y="1547"/>
            <a:ext cx="295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504825</xdr:colOff>
      <xdr:row>58</xdr:row>
      <xdr:rowOff>0</xdr:rowOff>
    </xdr:from>
    <xdr:to>
      <xdr:col>38</xdr:col>
      <xdr:colOff>161925</xdr:colOff>
      <xdr:row>76</xdr:row>
      <xdr:rowOff>85725</xdr:rowOff>
    </xdr:to>
    <xdr:grpSp>
      <xdr:nvGrpSpPr>
        <xdr:cNvPr id="18" name="Group 70"/>
        <xdr:cNvGrpSpPr>
          <a:grpSpLocks/>
        </xdr:cNvGrpSpPr>
      </xdr:nvGrpSpPr>
      <xdr:grpSpPr>
        <a:xfrm>
          <a:off x="6800850" y="9429750"/>
          <a:ext cx="7686675" cy="3000375"/>
          <a:chOff x="725" y="837"/>
          <a:chExt cx="807" cy="315"/>
        </a:xfrm>
        <a:solidFill>
          <a:srgbClr val="FFFFFF"/>
        </a:solidFill>
      </xdr:grpSpPr>
      <xdr:pic>
        <xdr:nvPicPr>
          <xdr:cNvPr id="19" name="Picture 71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725" y="837"/>
            <a:ext cx="807" cy="2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72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8" y="1122"/>
            <a:ext cx="5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552450</xdr:colOff>
      <xdr:row>78</xdr:row>
      <xdr:rowOff>0</xdr:rowOff>
    </xdr:from>
    <xdr:to>
      <xdr:col>38</xdr:col>
      <xdr:colOff>171450</xdr:colOff>
      <xdr:row>96</xdr:row>
      <xdr:rowOff>95250</xdr:rowOff>
    </xdr:to>
    <xdr:grpSp>
      <xdr:nvGrpSpPr>
        <xdr:cNvPr id="21" name="Group 73"/>
        <xdr:cNvGrpSpPr>
          <a:grpSpLocks/>
        </xdr:cNvGrpSpPr>
      </xdr:nvGrpSpPr>
      <xdr:grpSpPr>
        <a:xfrm>
          <a:off x="6848475" y="12668250"/>
          <a:ext cx="7648575" cy="3009900"/>
          <a:chOff x="725" y="1177"/>
          <a:chExt cx="803" cy="316"/>
        </a:xfrm>
        <a:solidFill>
          <a:srgbClr val="FFFFFF"/>
        </a:solidFill>
      </xdr:grpSpPr>
      <xdr:pic>
        <xdr:nvPicPr>
          <xdr:cNvPr id="22" name="Picture 74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725" y="1177"/>
            <a:ext cx="803" cy="2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75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25" y="1457"/>
            <a:ext cx="515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8</xdr:row>
      <xdr:rowOff>19050</xdr:rowOff>
    </xdr:from>
    <xdr:to>
      <xdr:col>9</xdr:col>
      <xdr:colOff>495300</xdr:colOff>
      <xdr:row>19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3152775" y="1352550"/>
          <a:ext cx="3095625" cy="1857375"/>
          <a:chOff x="331" y="142"/>
          <a:chExt cx="325" cy="195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rcRect l="11968" t="9259" b="37037"/>
          <a:stretch>
            <a:fillRect/>
          </a:stretch>
        </xdr:blipFill>
        <xdr:spPr>
          <a:xfrm>
            <a:off x="331" y="142"/>
            <a:ext cx="228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rcRect l="11968" t="2563" b="-2563"/>
          <a:stretch>
            <a:fillRect/>
          </a:stretch>
        </xdr:blipFill>
        <xdr:spPr>
          <a:xfrm>
            <a:off x="331" y="180"/>
            <a:ext cx="228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rcRect l="12548" t="9091"/>
          <a:stretch>
            <a:fillRect/>
          </a:stretch>
        </xdr:blipFill>
        <xdr:spPr>
          <a:xfrm>
            <a:off x="331" y="232"/>
            <a:ext cx="22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rcRect l="25561" t="5883"/>
          <a:stretch>
            <a:fillRect/>
          </a:stretch>
        </xdr:blipFill>
        <xdr:spPr>
          <a:xfrm>
            <a:off x="332" y="273"/>
            <a:ext cx="166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565" y="18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F
(Intermediate Rib)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565" y="226"/>
            <a:ext cx="9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A
(Narrow Rib)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562" y="142"/>
            <a:ext cx="8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B
(Wide Rib)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565" y="270"/>
            <a:ext cx="7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3" - Type N
(Deep Rib)</a:t>
            </a:r>
          </a:p>
        </xdr:txBody>
      </xdr:sp>
      <xdr:pic>
        <xdr:nvPicPr>
          <xdr:cNvPr id="10" name="Picture 11"/>
          <xdr:cNvPicPr preferRelativeResize="1">
            <a:picLocks noChangeAspect="1"/>
          </xdr:cNvPicPr>
        </xdr:nvPicPr>
        <xdr:blipFill>
          <a:blip r:embed="rId4"/>
          <a:srcRect l="35426" t="1" r="28698" b="17646"/>
          <a:stretch>
            <a:fillRect/>
          </a:stretch>
        </xdr:blipFill>
        <xdr:spPr>
          <a:xfrm>
            <a:off x="474" y="270"/>
            <a:ext cx="80" cy="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Box 12"/>
          <xdr:cNvSpPr txBox="1">
            <a:spLocks noChangeArrowheads="1"/>
          </xdr:cNvSpPr>
        </xdr:nvSpPr>
        <xdr:spPr>
          <a:xfrm>
            <a:off x="382" y="312"/>
            <a:ext cx="18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Typical Roof Deck Profiles</a:t>
            </a:r>
          </a:p>
        </xdr:txBody>
      </xdr:sp>
    </xdr:grpSp>
    <xdr:clientData/>
  </xdr:twoCellAnchor>
  <xdr:oneCellAnchor>
    <xdr:from>
      <xdr:col>5</xdr:col>
      <xdr:colOff>542925</xdr:colOff>
      <xdr:row>23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3857625" y="3762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</xdr:colOff>
      <xdr:row>24</xdr:row>
      <xdr:rowOff>47625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3952875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314325</xdr:colOff>
      <xdr:row>26</xdr:row>
      <xdr:rowOff>28575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4238625" y="427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542925</xdr:colOff>
      <xdr:row>21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385762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8</xdr:row>
      <xdr:rowOff>19050</xdr:rowOff>
    </xdr:from>
    <xdr:to>
      <xdr:col>9</xdr:col>
      <xdr:colOff>495300</xdr:colOff>
      <xdr:row>19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3152775" y="1352550"/>
          <a:ext cx="3095625" cy="1857375"/>
          <a:chOff x="331" y="142"/>
          <a:chExt cx="325" cy="195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rcRect l="11968" t="9259" b="37037"/>
          <a:stretch>
            <a:fillRect/>
          </a:stretch>
        </xdr:blipFill>
        <xdr:spPr>
          <a:xfrm>
            <a:off x="331" y="142"/>
            <a:ext cx="228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rcRect l="11968" t="2563" b="-2563"/>
          <a:stretch>
            <a:fillRect/>
          </a:stretch>
        </xdr:blipFill>
        <xdr:spPr>
          <a:xfrm>
            <a:off x="331" y="180"/>
            <a:ext cx="228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rcRect l="12548" t="9091"/>
          <a:stretch>
            <a:fillRect/>
          </a:stretch>
        </xdr:blipFill>
        <xdr:spPr>
          <a:xfrm>
            <a:off x="331" y="232"/>
            <a:ext cx="22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rcRect l="25561" t="5883"/>
          <a:stretch>
            <a:fillRect/>
          </a:stretch>
        </xdr:blipFill>
        <xdr:spPr>
          <a:xfrm>
            <a:off x="332" y="273"/>
            <a:ext cx="166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10"/>
          <xdr:cNvSpPr txBox="1">
            <a:spLocks noChangeArrowheads="1"/>
          </xdr:cNvSpPr>
        </xdr:nvSpPr>
        <xdr:spPr>
          <a:xfrm>
            <a:off x="565" y="18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F
(Intermediate Rib)</a:t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565" y="226"/>
            <a:ext cx="9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A
(Narrow Rib)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562" y="142"/>
            <a:ext cx="8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1-1/2" - Type B
(Wide Rib)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565" y="270"/>
            <a:ext cx="7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3" - Type N
(Deep Rib)</a:t>
            </a:r>
          </a:p>
        </xdr:txBody>
      </xdr:sp>
      <xdr:pic>
        <xdr:nvPicPr>
          <xdr:cNvPr id="10" name="Picture 14"/>
          <xdr:cNvPicPr preferRelativeResize="1">
            <a:picLocks noChangeAspect="1"/>
          </xdr:cNvPicPr>
        </xdr:nvPicPr>
        <xdr:blipFill>
          <a:blip r:embed="rId4"/>
          <a:srcRect l="35426" t="1" r="28698" b="17646"/>
          <a:stretch>
            <a:fillRect/>
          </a:stretch>
        </xdr:blipFill>
        <xdr:spPr>
          <a:xfrm>
            <a:off x="474" y="270"/>
            <a:ext cx="80" cy="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Box 15"/>
          <xdr:cNvSpPr txBox="1">
            <a:spLocks noChangeArrowheads="1"/>
          </xdr:cNvSpPr>
        </xdr:nvSpPr>
        <xdr:spPr>
          <a:xfrm>
            <a:off x="382" y="312"/>
            <a:ext cx="18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Typical Roof Deck Profiles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51" sqref="A51"/>
    </sheetView>
  </sheetViews>
  <sheetFormatPr defaultColWidth="9.140625" defaultRowHeight="12.75"/>
  <cols>
    <col min="1" max="9" width="9.140625" style="178" customWidth="1"/>
    <col min="10" max="10" width="5.7109375" style="178" customWidth="1"/>
    <col min="11" max="11" width="9.140625" style="178" customWidth="1"/>
    <col min="12" max="16384" width="9.140625" style="67" customWidth="1"/>
  </cols>
  <sheetData>
    <row r="1" spans="1:10" ht="15.75">
      <c r="A1" s="176" t="s">
        <v>181</v>
      </c>
      <c r="B1" s="177"/>
      <c r="C1" s="177"/>
      <c r="D1" s="177"/>
      <c r="E1" s="177"/>
      <c r="F1" s="177"/>
      <c r="G1" s="177"/>
      <c r="H1" s="177"/>
      <c r="I1" s="177"/>
      <c r="J1" s="177"/>
    </row>
    <row r="3" ht="12.75">
      <c r="A3" s="179" t="s">
        <v>165</v>
      </c>
    </row>
    <row r="5" ht="12.75">
      <c r="A5" s="178" t="s">
        <v>175</v>
      </c>
    </row>
    <row r="6" ht="12.75">
      <c r="A6" s="178" t="s">
        <v>448</v>
      </c>
    </row>
    <row r="7" ht="12.75">
      <c r="A7" s="178" t="s">
        <v>449</v>
      </c>
    </row>
    <row r="8" ht="12.75">
      <c r="A8" s="178" t="s">
        <v>321</v>
      </c>
    </row>
    <row r="10" ht="12.75">
      <c r="A10" s="178" t="s">
        <v>320</v>
      </c>
    </row>
    <row r="12" spans="1:10" ht="12.75">
      <c r="A12" s="180" t="s">
        <v>166</v>
      </c>
      <c r="B12" s="181"/>
      <c r="C12" s="182"/>
      <c r="D12" s="180" t="s">
        <v>167</v>
      </c>
      <c r="E12" s="183"/>
      <c r="F12" s="183"/>
      <c r="G12" s="183"/>
      <c r="H12" s="183"/>
      <c r="I12" s="183"/>
      <c r="J12" s="184"/>
    </row>
    <row r="13" spans="1:10" ht="12.75">
      <c r="A13" s="185" t="s">
        <v>168</v>
      </c>
      <c r="B13" s="186"/>
      <c r="C13" s="187"/>
      <c r="D13" s="185" t="s">
        <v>169</v>
      </c>
      <c r="E13" s="186"/>
      <c r="F13" s="186"/>
      <c r="G13" s="186"/>
      <c r="H13" s="186"/>
      <c r="I13" s="186"/>
      <c r="J13" s="187"/>
    </row>
    <row r="14" spans="1:10" ht="12.75">
      <c r="A14" s="188" t="s">
        <v>176</v>
      </c>
      <c r="B14" s="189"/>
      <c r="C14" s="190"/>
      <c r="D14" s="188" t="s">
        <v>70</v>
      </c>
      <c r="E14" s="189"/>
      <c r="F14" s="189"/>
      <c r="G14" s="189"/>
      <c r="H14" s="189"/>
      <c r="I14" s="189"/>
      <c r="J14" s="190"/>
    </row>
    <row r="15" spans="1:10" ht="12.75">
      <c r="A15" s="188" t="s">
        <v>177</v>
      </c>
      <c r="B15" s="189"/>
      <c r="C15" s="190"/>
      <c r="D15" s="188" t="s">
        <v>162</v>
      </c>
      <c r="E15" s="189"/>
      <c r="F15" s="189"/>
      <c r="G15" s="189"/>
      <c r="H15" s="189"/>
      <c r="I15" s="189"/>
      <c r="J15" s="190"/>
    </row>
    <row r="16" spans="1:10" ht="12.75">
      <c r="A16" s="188" t="s">
        <v>178</v>
      </c>
      <c r="B16" s="189"/>
      <c r="C16" s="190"/>
      <c r="D16" s="188" t="s">
        <v>256</v>
      </c>
      <c r="E16" s="189"/>
      <c r="F16" s="189"/>
      <c r="G16" s="189"/>
      <c r="H16" s="189"/>
      <c r="I16" s="189"/>
      <c r="J16" s="190"/>
    </row>
    <row r="17" spans="1:10" ht="12.75">
      <c r="A17" s="191" t="s">
        <v>179</v>
      </c>
      <c r="B17" s="192"/>
      <c r="C17" s="193"/>
      <c r="D17" s="191" t="s">
        <v>257</v>
      </c>
      <c r="E17" s="192"/>
      <c r="F17" s="192"/>
      <c r="G17" s="192"/>
      <c r="H17" s="192"/>
      <c r="I17" s="192"/>
      <c r="J17" s="193"/>
    </row>
    <row r="19" ht="12.75">
      <c r="A19" s="179" t="s">
        <v>170</v>
      </c>
    </row>
    <row r="21" ht="12.75">
      <c r="A21" s="175" t="s">
        <v>171</v>
      </c>
    </row>
    <row r="22" ht="12.75">
      <c r="A22" s="175" t="s">
        <v>364</v>
      </c>
    </row>
    <row r="23" ht="12.75">
      <c r="A23" s="175" t="s">
        <v>285</v>
      </c>
    </row>
    <row r="24" ht="12.75">
      <c r="A24" s="175" t="s">
        <v>272</v>
      </c>
    </row>
    <row r="25" ht="12.75">
      <c r="A25" s="175" t="s">
        <v>365</v>
      </c>
    </row>
    <row r="26" ht="12.75">
      <c r="A26" s="178" t="s">
        <v>180</v>
      </c>
    </row>
    <row r="27" ht="12.75">
      <c r="A27" s="175" t="s">
        <v>281</v>
      </c>
    </row>
    <row r="28" ht="12.75">
      <c r="A28" s="175" t="s">
        <v>282</v>
      </c>
    </row>
    <row r="29" ht="12.75">
      <c r="A29" s="175" t="s">
        <v>283</v>
      </c>
    </row>
    <row r="30" ht="12.75">
      <c r="A30" s="175" t="s">
        <v>284</v>
      </c>
    </row>
    <row r="31" ht="12.75">
      <c r="A31" s="178" t="s">
        <v>274</v>
      </c>
    </row>
    <row r="32" ht="12.75">
      <c r="A32" s="178" t="s">
        <v>275</v>
      </c>
    </row>
    <row r="33" ht="12.75">
      <c r="A33" s="178" t="s">
        <v>276</v>
      </c>
    </row>
    <row r="34" ht="12.75">
      <c r="A34" s="178" t="s">
        <v>393</v>
      </c>
    </row>
    <row r="35" ht="12.75">
      <c r="A35" s="178" t="s">
        <v>392</v>
      </c>
    </row>
    <row r="36" ht="12.75">
      <c r="A36" s="178" t="s">
        <v>394</v>
      </c>
    </row>
    <row r="37" ht="12.75">
      <c r="A37" s="178" t="s">
        <v>395</v>
      </c>
    </row>
    <row r="38" ht="12.75">
      <c r="A38" s="178" t="s">
        <v>389</v>
      </c>
    </row>
    <row r="39" ht="12.75">
      <c r="A39" s="178" t="s">
        <v>286</v>
      </c>
    </row>
    <row r="40" ht="12.75">
      <c r="A40" s="178" t="s">
        <v>287</v>
      </c>
    </row>
    <row r="41" ht="12.75">
      <c r="A41" s="178" t="s">
        <v>318</v>
      </c>
    </row>
    <row r="42" ht="12.75">
      <c r="A42" s="178" t="s">
        <v>319</v>
      </c>
    </row>
    <row r="43" ht="12.75">
      <c r="A43" s="217" t="s">
        <v>390</v>
      </c>
    </row>
    <row r="44" ht="12.75">
      <c r="A44" s="217" t="s">
        <v>316</v>
      </c>
    </row>
    <row r="45" ht="12.75">
      <c r="A45" s="217" t="s">
        <v>317</v>
      </c>
    </row>
    <row r="46" ht="12.75">
      <c r="A46" s="217" t="s">
        <v>273</v>
      </c>
    </row>
    <row r="47" ht="12.75">
      <c r="A47" s="178" t="s">
        <v>391</v>
      </c>
    </row>
    <row r="48" ht="12.75">
      <c r="A48" s="178" t="s">
        <v>172</v>
      </c>
    </row>
    <row r="49" ht="12.75">
      <c r="A49" s="178" t="s">
        <v>173</v>
      </c>
    </row>
    <row r="50" ht="12.75">
      <c r="A50" s="178" t="s">
        <v>174</v>
      </c>
    </row>
    <row r="55" ht="12.75">
      <c r="A55" s="220"/>
    </row>
  </sheetData>
  <sheetProtection sheet="1" objects="1" scenarios="1"/>
  <printOptions/>
  <pageMargins left="1" right="0.5" top="1" bottom="1" header="0.5" footer="0.5"/>
  <pageSetup horizontalDpi="600" verticalDpi="600" orientation="portrait" scale="96" r:id="rId1"/>
  <rowBreaks count="1" manualBreakCount="1">
    <brk id="50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7" customWidth="1"/>
    <col min="2" max="2" width="9.140625" style="67" customWidth="1"/>
    <col min="3" max="3" width="10.00390625" style="67" bestFit="1" customWidth="1"/>
    <col min="4" max="9" width="9.140625" style="67" customWidth="1"/>
    <col min="10" max="10" width="8.140625" style="73" customWidth="1"/>
    <col min="11" max="13" width="9.140625" style="7" hidden="1" customWidth="1"/>
    <col min="14" max="15" width="9.140625" style="204" hidden="1" customWidth="1"/>
    <col min="16" max="16" width="11.7109375" style="204" hidden="1" customWidth="1"/>
    <col min="17" max="17" width="9.140625" style="204" hidden="1" customWidth="1"/>
    <col min="18" max="18" width="11.8515625" style="204" hidden="1" customWidth="1"/>
    <col min="19" max="23" width="9.140625" style="204" hidden="1" customWidth="1"/>
    <col min="24" max="26" width="9.140625" style="63" hidden="1" customWidth="1"/>
    <col min="27" max="27" width="9.140625" style="202" customWidth="1"/>
    <col min="28" max="30" width="9.140625" style="7" customWidth="1"/>
    <col min="31" max="31" width="10.7109375" style="7" customWidth="1"/>
    <col min="32" max="32" width="9.140625" style="7" customWidth="1"/>
    <col min="33" max="33" width="11.140625" style="7" customWidth="1"/>
    <col min="34" max="35" width="9.140625" style="7" customWidth="1"/>
    <col min="36" max="36" width="12.7109375" style="7" customWidth="1"/>
    <col min="37" max="37" width="9.140625" style="7" customWidth="1"/>
    <col min="38" max="38" width="12.7109375" style="7" customWidth="1"/>
    <col min="39" max="40" width="9.140625" style="12" customWidth="1"/>
    <col min="41" max="53" width="9.140625" style="242" customWidth="1"/>
    <col min="54" max="16384" width="9.140625" style="1" customWidth="1"/>
  </cols>
  <sheetData>
    <row r="1" spans="1:39" ht="15.75">
      <c r="A1" s="3" t="s">
        <v>21</v>
      </c>
      <c r="B1" s="4"/>
      <c r="C1" s="5"/>
      <c r="D1" s="5"/>
      <c r="E1" s="5"/>
      <c r="F1" s="5"/>
      <c r="G1" s="4"/>
      <c r="H1" s="4"/>
      <c r="I1" s="4"/>
      <c r="J1" s="6"/>
      <c r="M1" s="9"/>
      <c r="AA1" s="203" t="s">
        <v>95</v>
      </c>
      <c r="AD1" s="9"/>
      <c r="AM1" s="10"/>
    </row>
    <row r="2" spans="1:40" ht="12.75">
      <c r="A2" s="13" t="s">
        <v>447</v>
      </c>
      <c r="B2" s="14"/>
      <c r="C2" s="15"/>
      <c r="D2" s="14"/>
      <c r="E2" s="14"/>
      <c r="F2" s="14"/>
      <c r="G2" s="16"/>
      <c r="H2" s="16"/>
      <c r="I2" s="16"/>
      <c r="J2" s="17"/>
      <c r="AN2" s="18"/>
    </row>
    <row r="3" spans="1:40" ht="12.75">
      <c r="A3" s="19" t="s">
        <v>366</v>
      </c>
      <c r="B3" s="20"/>
      <c r="C3" s="20"/>
      <c r="D3" s="20"/>
      <c r="E3" s="20"/>
      <c r="F3" s="20"/>
      <c r="G3" s="21"/>
      <c r="H3" s="21"/>
      <c r="I3" s="21"/>
      <c r="J3" s="22"/>
      <c r="N3" s="211" t="s">
        <v>182</v>
      </c>
      <c r="AB3" s="23"/>
      <c r="AC3" s="24"/>
      <c r="AD3" s="23"/>
      <c r="AE3" s="25"/>
      <c r="AF3" s="24"/>
      <c r="AG3" s="24"/>
      <c r="AH3" s="23"/>
      <c r="AI3" s="23"/>
      <c r="AJ3" s="23"/>
      <c r="AN3" s="26"/>
    </row>
    <row r="4" spans="1:40" ht="12.75">
      <c r="A4" s="27" t="s">
        <v>10</v>
      </c>
      <c r="B4" s="28"/>
      <c r="C4" s="29"/>
      <c r="D4" s="29"/>
      <c r="E4" s="29"/>
      <c r="F4" s="30" t="s">
        <v>11</v>
      </c>
      <c r="G4" s="31"/>
      <c r="H4" s="32"/>
      <c r="I4" s="32"/>
      <c r="J4" s="33"/>
      <c r="M4" s="34"/>
      <c r="AB4" s="134" t="s">
        <v>137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6"/>
    </row>
    <row r="5" spans="1:40" ht="12.75">
      <c r="A5" s="27" t="s">
        <v>12</v>
      </c>
      <c r="B5" s="88"/>
      <c r="C5" s="38"/>
      <c r="D5" s="38"/>
      <c r="E5" s="38"/>
      <c r="F5" s="39" t="s">
        <v>13</v>
      </c>
      <c r="G5" s="31"/>
      <c r="H5" s="40"/>
      <c r="I5" s="41" t="s">
        <v>14</v>
      </c>
      <c r="J5" s="33"/>
      <c r="L5" s="36" t="s">
        <v>1</v>
      </c>
      <c r="M5" s="34"/>
      <c r="N5" s="206" t="s">
        <v>144</v>
      </c>
      <c r="O5" s="116"/>
      <c r="P5" s="116"/>
      <c r="Q5" s="116"/>
      <c r="R5" s="116"/>
      <c r="S5" s="116"/>
      <c r="T5" s="116"/>
      <c r="U5" s="116"/>
      <c r="V5" s="116"/>
      <c r="AB5" s="137" t="s">
        <v>96</v>
      </c>
      <c r="AC5" s="138"/>
      <c r="AD5" s="138"/>
      <c r="AE5" s="137" t="s">
        <v>97</v>
      </c>
      <c r="AF5" s="139" t="s">
        <v>98</v>
      </c>
      <c r="AG5" s="139" t="s">
        <v>99</v>
      </c>
      <c r="AH5" s="140" t="s">
        <v>100</v>
      </c>
      <c r="AI5" s="137" t="s">
        <v>101</v>
      </c>
      <c r="AJ5" s="139" t="s">
        <v>102</v>
      </c>
      <c r="AK5" s="137" t="s">
        <v>101</v>
      </c>
      <c r="AL5" s="139" t="s">
        <v>102</v>
      </c>
      <c r="AM5" s="139" t="s">
        <v>103</v>
      </c>
      <c r="AN5" s="137" t="s">
        <v>104</v>
      </c>
    </row>
    <row r="6" spans="1:40" ht="12.75">
      <c r="A6" s="44"/>
      <c r="B6" s="37"/>
      <c r="C6" s="37"/>
      <c r="D6" s="37"/>
      <c r="E6" s="37"/>
      <c r="F6" s="37"/>
      <c r="G6" s="37"/>
      <c r="H6" s="37"/>
      <c r="I6" s="45"/>
      <c r="J6" s="46"/>
      <c r="L6" s="36" t="s">
        <v>2</v>
      </c>
      <c r="M6" s="34"/>
      <c r="N6" s="194" t="s">
        <v>183</v>
      </c>
      <c r="O6" s="92">
        <f>30</f>
        <v>30</v>
      </c>
      <c r="P6" s="116" t="s">
        <v>5</v>
      </c>
      <c r="Q6" s="116" t="s">
        <v>92</v>
      </c>
      <c r="R6" s="116"/>
      <c r="S6" s="116"/>
      <c r="T6" s="116"/>
      <c r="AB6" s="139" t="s">
        <v>105</v>
      </c>
      <c r="AC6" s="139" t="s">
        <v>106</v>
      </c>
      <c r="AD6" s="139" t="s">
        <v>107</v>
      </c>
      <c r="AE6" s="140" t="s">
        <v>108</v>
      </c>
      <c r="AF6" s="139" t="s">
        <v>109</v>
      </c>
      <c r="AG6" s="139" t="s">
        <v>110</v>
      </c>
      <c r="AH6" s="140" t="s">
        <v>111</v>
      </c>
      <c r="AI6" s="140" t="s">
        <v>126</v>
      </c>
      <c r="AJ6" s="140" t="s">
        <v>112</v>
      </c>
      <c r="AK6" s="140" t="s">
        <v>127</v>
      </c>
      <c r="AL6" s="140" t="s">
        <v>113</v>
      </c>
      <c r="AM6" s="140" t="s">
        <v>114</v>
      </c>
      <c r="AN6" s="139" t="s">
        <v>128</v>
      </c>
    </row>
    <row r="7" spans="1:40" ht="12.75">
      <c r="A7" s="47" t="s">
        <v>15</v>
      </c>
      <c r="B7" s="37"/>
      <c r="C7" s="37"/>
      <c r="D7" s="37"/>
      <c r="E7" s="37"/>
      <c r="F7" s="37"/>
      <c r="G7" s="37"/>
      <c r="H7" s="37"/>
      <c r="I7" s="48"/>
      <c r="J7" s="46"/>
      <c r="L7" s="36" t="s">
        <v>3</v>
      </c>
      <c r="M7" s="34"/>
      <c r="N7" s="206" t="s">
        <v>87</v>
      </c>
      <c r="O7" s="208"/>
      <c r="P7" s="116"/>
      <c r="Q7" s="116"/>
      <c r="R7" s="116"/>
      <c r="S7" s="116"/>
      <c r="T7" s="116"/>
      <c r="U7" s="116"/>
      <c r="V7" s="116"/>
      <c r="AB7" s="141"/>
      <c r="AC7" s="141"/>
      <c r="AD7" s="142" t="s">
        <v>115</v>
      </c>
      <c r="AE7" s="143" t="s">
        <v>116</v>
      </c>
      <c r="AF7" s="142" t="s">
        <v>115</v>
      </c>
      <c r="AG7" s="142" t="s">
        <v>115</v>
      </c>
      <c r="AH7" s="142" t="s">
        <v>115</v>
      </c>
      <c r="AI7" s="142" t="s">
        <v>117</v>
      </c>
      <c r="AJ7" s="142" t="s">
        <v>118</v>
      </c>
      <c r="AK7" s="142" t="s">
        <v>117</v>
      </c>
      <c r="AL7" s="142" t="s">
        <v>118</v>
      </c>
      <c r="AM7" s="142" t="s">
        <v>119</v>
      </c>
      <c r="AN7" s="142" t="s">
        <v>120</v>
      </c>
    </row>
    <row r="8" spans="1:40" ht="12.75">
      <c r="A8" s="53"/>
      <c r="B8" s="90"/>
      <c r="C8" s="90"/>
      <c r="D8" s="90"/>
      <c r="E8" s="90"/>
      <c r="F8" s="37"/>
      <c r="G8" s="37"/>
      <c r="H8" s="37"/>
      <c r="I8" s="37"/>
      <c r="J8" s="46"/>
      <c r="L8" s="86">
        <v>33</v>
      </c>
      <c r="M8" s="83"/>
      <c r="N8" s="212" t="s">
        <v>184</v>
      </c>
      <c r="O8" s="196">
        <f>IF($D$11="1-Span",0.125*($D$19+$O$6)/1000*$D$12^2,IF($D$11="2-Span",0.07*($D$19+$O$6)/1000*$D$12^2,IF($D$11="3-Span",0.08*($D$19+$O$6)/1000*$D$12^2)))</f>
        <v>0.09152640000000001</v>
      </c>
      <c r="P8" s="116" t="s">
        <v>6</v>
      </c>
      <c r="Q8" s="116" t="str">
        <f>IF($D$11="1-Span","+M = 0.125*(wd+wc)/1000*L^2",IF($D$11="2-Span","+M = 0.07*(wd+wc)/1000*L^2",IF($D$11="3-Span","+M = 0.08*(wd+wc)/1000*L^2")))</f>
        <v>+M = 0.08*(wd+wc)/1000*L^2</v>
      </c>
      <c r="R8" s="116"/>
      <c r="S8" s="116"/>
      <c r="T8" s="116"/>
      <c r="U8" s="116"/>
      <c r="V8" s="116"/>
      <c r="AB8" s="147" t="s">
        <v>125</v>
      </c>
      <c r="AC8" s="150">
        <v>22</v>
      </c>
      <c r="AD8" s="153">
        <v>0.0295</v>
      </c>
      <c r="AE8" s="156">
        <v>1.78</v>
      </c>
      <c r="AF8" s="150">
        <v>1.5</v>
      </c>
      <c r="AG8" s="150">
        <v>2.5</v>
      </c>
      <c r="AH8" s="150">
        <v>6</v>
      </c>
      <c r="AI8" s="144">
        <v>0.155</v>
      </c>
      <c r="AJ8" s="144">
        <v>0.186</v>
      </c>
      <c r="AK8" s="144">
        <v>0.183</v>
      </c>
      <c r="AL8" s="144">
        <v>0.192</v>
      </c>
      <c r="AM8" s="162">
        <v>33</v>
      </c>
      <c r="AN8" s="159">
        <v>1818</v>
      </c>
    </row>
    <row r="9" spans="1:40" ht="12.75">
      <c r="A9" s="76"/>
      <c r="B9" s="54"/>
      <c r="C9" s="2" t="s">
        <v>60</v>
      </c>
      <c r="D9" s="165" t="s">
        <v>125</v>
      </c>
      <c r="E9" s="93"/>
      <c r="F9" s="58"/>
      <c r="G9" s="58"/>
      <c r="H9" s="58"/>
      <c r="I9" s="132"/>
      <c r="J9" s="130"/>
      <c r="L9" s="86">
        <v>40</v>
      </c>
      <c r="M9" s="84"/>
      <c r="N9" s="212" t="s">
        <v>185</v>
      </c>
      <c r="O9" s="196">
        <f>IF($D$11="1-Span","N.A.",IF($D$11="2-Span",0.125*($D$19+$O$6)/1000*$D$12^2,IF($D$11="3-Span",0.1*($D$19+$O$6)/1000*$D$12^2)))</f>
        <v>0.11440800000000001</v>
      </c>
      <c r="P9" s="116" t="s">
        <v>6</v>
      </c>
      <c r="Q9" s="116" t="str">
        <f>IF($D$11="1-Span","-M = N.A. (for 1-Span condition)",IF($D$11="2-Span","-M = 0.125*(wd+wc)/1000*L^2",IF($D$11="3-Span","-M = 0.1*(wd+wc)/1000*L^2")))</f>
        <v>-M = 0.1*(wd+wc)/1000*L^2</v>
      </c>
      <c r="R9" s="116"/>
      <c r="S9" s="116"/>
      <c r="V9" s="116"/>
      <c r="AB9" s="148" t="s">
        <v>124</v>
      </c>
      <c r="AC9" s="151">
        <v>20</v>
      </c>
      <c r="AD9" s="154">
        <v>0.0358</v>
      </c>
      <c r="AE9" s="157">
        <v>2.14</v>
      </c>
      <c r="AF9" s="151">
        <v>1.5</v>
      </c>
      <c r="AG9" s="151">
        <v>2.5</v>
      </c>
      <c r="AH9" s="151">
        <v>6</v>
      </c>
      <c r="AI9" s="145">
        <v>0.201</v>
      </c>
      <c r="AJ9" s="145">
        <v>0.234</v>
      </c>
      <c r="AK9" s="145">
        <v>0.222</v>
      </c>
      <c r="AL9" s="145">
        <v>0.247</v>
      </c>
      <c r="AM9" s="163">
        <v>33</v>
      </c>
      <c r="AN9" s="160">
        <v>2193</v>
      </c>
    </row>
    <row r="10" spans="1:40" ht="12.75">
      <c r="A10" s="77"/>
      <c r="B10" s="56"/>
      <c r="C10" s="2" t="s">
        <v>19</v>
      </c>
      <c r="D10" s="79">
        <v>33</v>
      </c>
      <c r="E10" s="93" t="s">
        <v>7</v>
      </c>
      <c r="F10" s="58"/>
      <c r="G10" s="58"/>
      <c r="H10" s="58"/>
      <c r="I10" s="61"/>
      <c r="J10" s="131"/>
      <c r="L10" s="86">
        <v>50</v>
      </c>
      <c r="M10" s="85"/>
      <c r="N10" s="206" t="s">
        <v>88</v>
      </c>
      <c r="O10" s="194"/>
      <c r="P10" s="116"/>
      <c r="Q10" s="116"/>
      <c r="R10" s="116"/>
      <c r="S10" s="116"/>
      <c r="T10" s="116"/>
      <c r="U10" s="116"/>
      <c r="V10" s="116"/>
      <c r="AA10" s="201"/>
      <c r="AB10" s="148" t="s">
        <v>123</v>
      </c>
      <c r="AC10" s="151">
        <v>19</v>
      </c>
      <c r="AD10" s="154">
        <v>0.0418</v>
      </c>
      <c r="AE10" s="157">
        <v>2.49</v>
      </c>
      <c r="AF10" s="151">
        <v>1.5</v>
      </c>
      <c r="AG10" s="151">
        <v>2.5</v>
      </c>
      <c r="AH10" s="151">
        <v>6</v>
      </c>
      <c r="AI10" s="145">
        <v>0.246</v>
      </c>
      <c r="AJ10" s="145">
        <v>0.277</v>
      </c>
      <c r="AK10" s="145">
        <v>0.26</v>
      </c>
      <c r="AL10" s="145">
        <v>0.289</v>
      </c>
      <c r="AM10" s="163">
        <v>33</v>
      </c>
      <c r="AN10" s="160">
        <v>2546</v>
      </c>
    </row>
    <row r="11" spans="1:40" ht="12.75">
      <c r="A11" s="77"/>
      <c r="B11" s="54"/>
      <c r="C11" s="82" t="s">
        <v>20</v>
      </c>
      <c r="D11" s="79" t="s">
        <v>3</v>
      </c>
      <c r="E11" s="93"/>
      <c r="F11" s="58"/>
      <c r="G11" s="58"/>
      <c r="H11" s="58"/>
      <c r="I11" s="132"/>
      <c r="J11" s="130"/>
      <c r="L11" s="86">
        <v>60</v>
      </c>
      <c r="M11" s="85"/>
      <c r="N11" s="194" t="s">
        <v>186</v>
      </c>
      <c r="O11" s="92">
        <f>0.7*$D$10</f>
        <v>23.099999999999998</v>
      </c>
      <c r="P11" s="116" t="s">
        <v>7</v>
      </c>
      <c r="Q11" s="116" t="s">
        <v>93</v>
      </c>
      <c r="R11" s="116"/>
      <c r="U11" s="197"/>
      <c r="V11" s="116"/>
      <c r="AA11" s="197"/>
      <c r="AB11" s="148" t="s">
        <v>122</v>
      </c>
      <c r="AC11" s="151">
        <v>18</v>
      </c>
      <c r="AD11" s="154">
        <v>0.0474</v>
      </c>
      <c r="AE11" s="157">
        <v>2.82</v>
      </c>
      <c r="AF11" s="151">
        <v>1.5</v>
      </c>
      <c r="AG11" s="151">
        <v>2.5</v>
      </c>
      <c r="AH11" s="151">
        <v>6</v>
      </c>
      <c r="AI11" s="145">
        <v>0.289</v>
      </c>
      <c r="AJ11" s="145">
        <v>0.318</v>
      </c>
      <c r="AK11" s="145">
        <v>0.295</v>
      </c>
      <c r="AL11" s="145">
        <v>0.327</v>
      </c>
      <c r="AM11" s="163">
        <v>33</v>
      </c>
      <c r="AN11" s="160">
        <v>2870</v>
      </c>
    </row>
    <row r="12" spans="1:40" ht="12.75">
      <c r="A12" s="77"/>
      <c r="B12" s="49"/>
      <c r="C12" s="82" t="s">
        <v>0</v>
      </c>
      <c r="D12" s="80">
        <v>6</v>
      </c>
      <c r="E12" s="93" t="s">
        <v>4</v>
      </c>
      <c r="F12" s="58"/>
      <c r="G12" s="58"/>
      <c r="H12" s="58"/>
      <c r="I12" s="61"/>
      <c r="J12" s="131"/>
      <c r="L12" s="86">
        <v>80</v>
      </c>
      <c r="M12" s="85"/>
      <c r="N12" s="212" t="s">
        <v>187</v>
      </c>
      <c r="O12" s="92">
        <f>$O$8*12/$D$23</f>
        <v>5.904929032258065</v>
      </c>
      <c r="P12" s="116" t="s">
        <v>7</v>
      </c>
      <c r="Q12" s="209" t="s">
        <v>290</v>
      </c>
      <c r="R12" s="116"/>
      <c r="U12" s="198"/>
      <c r="V12" s="116"/>
      <c r="AA12" s="197"/>
      <c r="AB12" s="148" t="s">
        <v>121</v>
      </c>
      <c r="AC12" s="151">
        <v>16</v>
      </c>
      <c r="AD12" s="154">
        <v>0.0598</v>
      </c>
      <c r="AE12" s="157">
        <v>3.54</v>
      </c>
      <c r="AF12" s="151">
        <v>1.5</v>
      </c>
      <c r="AG12" s="151">
        <v>2.5</v>
      </c>
      <c r="AH12" s="151">
        <v>6</v>
      </c>
      <c r="AI12" s="145">
        <v>0.373</v>
      </c>
      <c r="AJ12" s="145">
        <v>0.408</v>
      </c>
      <c r="AK12" s="145">
        <v>0.373</v>
      </c>
      <c r="AL12" s="145">
        <v>0.411</v>
      </c>
      <c r="AM12" s="163">
        <v>33</v>
      </c>
      <c r="AN12" s="160">
        <v>3578</v>
      </c>
    </row>
    <row r="13" spans="1:40" ht="12.75">
      <c r="A13" s="76"/>
      <c r="B13" s="49"/>
      <c r="C13" s="82" t="s">
        <v>158</v>
      </c>
      <c r="D13" s="81">
        <v>5</v>
      </c>
      <c r="E13" s="93" t="s">
        <v>5</v>
      </c>
      <c r="F13" s="58"/>
      <c r="G13" s="58"/>
      <c r="H13" s="58"/>
      <c r="I13" s="132"/>
      <c r="J13" s="130"/>
      <c r="M13" s="85"/>
      <c r="N13" s="212" t="s">
        <v>188</v>
      </c>
      <c r="O13" s="92">
        <f>IF($D$11="1-Span","N.A.",$O$9*12/$D$24)</f>
        <v>7.1505</v>
      </c>
      <c r="P13" s="116" t="s">
        <v>7</v>
      </c>
      <c r="Q13" s="209" t="s">
        <v>291</v>
      </c>
      <c r="R13" s="116"/>
      <c r="U13" s="197"/>
      <c r="V13" s="116"/>
      <c r="AA13" s="197"/>
      <c r="AB13" s="147" t="s">
        <v>132</v>
      </c>
      <c r="AC13" s="150">
        <v>22</v>
      </c>
      <c r="AD13" s="153">
        <v>0.0295</v>
      </c>
      <c r="AE13" s="156">
        <v>1.73</v>
      </c>
      <c r="AF13" s="150">
        <v>1.5</v>
      </c>
      <c r="AG13" s="150">
        <v>1.75</v>
      </c>
      <c r="AH13" s="150">
        <v>6</v>
      </c>
      <c r="AI13" s="144">
        <v>0.113</v>
      </c>
      <c r="AJ13" s="144">
        <v>0.112</v>
      </c>
      <c r="AK13" s="144">
        <v>0.129</v>
      </c>
      <c r="AL13" s="144">
        <v>0.121</v>
      </c>
      <c r="AM13" s="162">
        <v>33</v>
      </c>
      <c r="AN13" s="159">
        <v>1944</v>
      </c>
    </row>
    <row r="14" spans="1:40" ht="12.75">
      <c r="A14" s="53"/>
      <c r="B14" s="58"/>
      <c r="C14" s="82" t="s">
        <v>159</v>
      </c>
      <c r="D14" s="91">
        <v>30</v>
      </c>
      <c r="E14" s="93" t="s">
        <v>5</v>
      </c>
      <c r="F14" s="58"/>
      <c r="G14" s="58"/>
      <c r="H14" s="58"/>
      <c r="I14" s="61"/>
      <c r="J14" s="131"/>
      <c r="M14" s="85"/>
      <c r="N14" s="194" t="s">
        <v>190</v>
      </c>
      <c r="O14" s="92">
        <f>MAX($O$12,$O$13)</f>
        <v>7.1505</v>
      </c>
      <c r="P14" s="116" t="s">
        <v>7</v>
      </c>
      <c r="Q14" s="116" t="s">
        <v>191</v>
      </c>
      <c r="R14" s="116"/>
      <c r="U14" s="197"/>
      <c r="V14" s="116"/>
      <c r="AA14" s="197"/>
      <c r="AB14" s="148" t="s">
        <v>131</v>
      </c>
      <c r="AC14" s="151">
        <v>20</v>
      </c>
      <c r="AD14" s="154">
        <v>0.0358</v>
      </c>
      <c r="AE14" s="157">
        <v>2.09</v>
      </c>
      <c r="AF14" s="151">
        <v>1.5</v>
      </c>
      <c r="AG14" s="151">
        <v>1.75</v>
      </c>
      <c r="AH14" s="151">
        <v>6</v>
      </c>
      <c r="AI14" s="145">
        <v>0.145</v>
      </c>
      <c r="AJ14" s="145">
        <v>0.139</v>
      </c>
      <c r="AK14" s="145">
        <v>0.157</v>
      </c>
      <c r="AL14" s="145">
        <v>0.148</v>
      </c>
      <c r="AM14" s="163">
        <v>33</v>
      </c>
      <c r="AN14" s="160">
        <v>2347</v>
      </c>
    </row>
    <row r="15" spans="1:40" ht="12.75">
      <c r="A15" s="53"/>
      <c r="B15" s="49"/>
      <c r="C15" s="58"/>
      <c r="D15" s="58"/>
      <c r="E15" s="58"/>
      <c r="F15" s="58"/>
      <c r="G15" s="58"/>
      <c r="H15" s="58"/>
      <c r="I15" s="132"/>
      <c r="J15" s="130"/>
      <c r="M15" s="85"/>
      <c r="N15" s="194" t="s">
        <v>189</v>
      </c>
      <c r="O15" s="196">
        <f>$O$14/$O$11</f>
        <v>0.30954545454545457</v>
      </c>
      <c r="P15" s="116"/>
      <c r="Q15" s="116" t="s">
        <v>296</v>
      </c>
      <c r="R15" s="116"/>
      <c r="U15" s="197"/>
      <c r="V15" s="116"/>
      <c r="AA15" s="197"/>
      <c r="AB15" s="148" t="s">
        <v>130</v>
      </c>
      <c r="AC15" s="151">
        <v>19</v>
      </c>
      <c r="AD15" s="154">
        <v>0.0418</v>
      </c>
      <c r="AE15" s="157">
        <v>2.42</v>
      </c>
      <c r="AF15" s="151">
        <v>1.5</v>
      </c>
      <c r="AG15" s="151">
        <v>1.75</v>
      </c>
      <c r="AH15" s="151">
        <v>6</v>
      </c>
      <c r="AI15" s="145">
        <v>0.177</v>
      </c>
      <c r="AJ15" s="145">
        <v>0.166</v>
      </c>
      <c r="AK15" s="145">
        <v>0.183</v>
      </c>
      <c r="AL15" s="145">
        <v>0.172</v>
      </c>
      <c r="AM15" s="163">
        <v>33</v>
      </c>
      <c r="AN15" s="160">
        <v>2726</v>
      </c>
    </row>
    <row r="16" spans="1:40" ht="12.75">
      <c r="A16" s="101" t="s">
        <v>143</v>
      </c>
      <c r="B16" s="49"/>
      <c r="C16" s="58"/>
      <c r="D16" s="58"/>
      <c r="E16" s="58"/>
      <c r="F16" s="58"/>
      <c r="G16" s="129"/>
      <c r="H16" s="103"/>
      <c r="I16" s="103"/>
      <c r="J16" s="102"/>
      <c r="L16" s="62"/>
      <c r="M16" s="85"/>
      <c r="N16" s="206" t="s">
        <v>145</v>
      </c>
      <c r="O16" s="197"/>
      <c r="P16" s="197"/>
      <c r="Q16" s="198"/>
      <c r="R16" s="197"/>
      <c r="S16" s="116"/>
      <c r="V16" s="116"/>
      <c r="AA16" s="197"/>
      <c r="AB16" s="149" t="s">
        <v>129</v>
      </c>
      <c r="AC16" s="152">
        <v>18</v>
      </c>
      <c r="AD16" s="155">
        <v>0.0474</v>
      </c>
      <c r="AE16" s="158">
        <v>2.74</v>
      </c>
      <c r="AF16" s="152">
        <v>1.5</v>
      </c>
      <c r="AG16" s="152">
        <v>1.75</v>
      </c>
      <c r="AH16" s="152">
        <v>6</v>
      </c>
      <c r="AI16" s="146">
        <v>0.206</v>
      </c>
      <c r="AJ16" s="146">
        <v>0.19</v>
      </c>
      <c r="AK16" s="146">
        <v>0.208</v>
      </c>
      <c r="AL16" s="146">
        <v>0.195</v>
      </c>
      <c r="AM16" s="164">
        <v>33</v>
      </c>
      <c r="AN16" s="161">
        <v>3077</v>
      </c>
    </row>
    <row r="17" spans="1:40" ht="12.75">
      <c r="A17" s="76"/>
      <c r="B17" s="58"/>
      <c r="C17" s="58"/>
      <c r="D17" s="58"/>
      <c r="E17" s="93"/>
      <c r="F17" s="58"/>
      <c r="G17" s="58"/>
      <c r="H17" s="58"/>
      <c r="I17" s="58"/>
      <c r="J17" s="133"/>
      <c r="L17" s="62"/>
      <c r="M17" s="85"/>
      <c r="N17" s="208" t="s">
        <v>192</v>
      </c>
      <c r="O17" s="205">
        <f>IF($D$11="1-Span",0.013*$O$6/12000*($D$12*12)^4/($D$25*$D$20),IF($D$11="2-Span",0.0054*$O$6/12000*($D$12*12)^4/($D$25*$D$22),IF($D$11="3-Span",0.0069*$O$6/12000*($D$12*12)^4/($D$25*$D$22))))</f>
        <v>0.09298445812857287</v>
      </c>
      <c r="P17" s="116" t="s">
        <v>71</v>
      </c>
      <c r="Q17" s="116" t="str">
        <f>IF($D$11="1-Span","Δ(max) = 0.013*wc/12000*(L*12)^4/(E*Ip)",IF($D$11="2-Span","Δ(max) = 0.0054*wc/12000*(L*12)^4/(E*Ip)",IF($D$11="3-Span","Δ(max) = 0.0069*wc/12000*(L*12)^4/(E*Ip)")))</f>
        <v>Δ(max) = 0.0069*wc/12000*(L*12)^4/(E*Ip)</v>
      </c>
      <c r="R17" s="116"/>
      <c r="S17" s="197"/>
      <c r="AA17" s="197"/>
      <c r="AB17" s="147" t="s">
        <v>136</v>
      </c>
      <c r="AC17" s="150">
        <v>22</v>
      </c>
      <c r="AD17" s="153">
        <v>0.0295</v>
      </c>
      <c r="AE17" s="156">
        <v>1.8</v>
      </c>
      <c r="AF17" s="150">
        <v>1.5</v>
      </c>
      <c r="AG17" s="150">
        <v>1</v>
      </c>
      <c r="AH17" s="150">
        <v>6</v>
      </c>
      <c r="AI17" s="144">
        <v>0.104</v>
      </c>
      <c r="AJ17" s="144">
        <v>0.098</v>
      </c>
      <c r="AK17" s="144">
        <v>0.12</v>
      </c>
      <c r="AL17" s="144">
        <v>0.106</v>
      </c>
      <c r="AM17" s="162">
        <v>33</v>
      </c>
      <c r="AN17" s="159">
        <v>1700</v>
      </c>
    </row>
    <row r="18" spans="1:40" ht="12.75">
      <c r="A18" s="53"/>
      <c r="B18" s="58"/>
      <c r="C18" s="2" t="s">
        <v>9</v>
      </c>
      <c r="D18" s="166">
        <f>VLOOKUP($D$9,$AB$8:$AN$25,2,FALSE)</f>
        <v>22</v>
      </c>
      <c r="E18" s="58"/>
      <c r="F18" s="58"/>
      <c r="G18" s="58"/>
      <c r="H18" s="58"/>
      <c r="I18" s="58"/>
      <c r="J18" s="52"/>
      <c r="L18" s="62"/>
      <c r="M18" s="85"/>
      <c r="N18" s="208" t="s">
        <v>278</v>
      </c>
      <c r="O18" s="205">
        <f>MIN($D$12*12/240,1)</f>
        <v>0.3</v>
      </c>
      <c r="P18" s="116" t="s">
        <v>71</v>
      </c>
      <c r="Q18" s="210" t="s">
        <v>385</v>
      </c>
      <c r="R18" s="197"/>
      <c r="S18" s="72"/>
      <c r="T18" s="197"/>
      <c r="U18" s="197"/>
      <c r="V18" s="116"/>
      <c r="AA18" s="197"/>
      <c r="AB18" s="148" t="s">
        <v>135</v>
      </c>
      <c r="AC18" s="151">
        <v>20</v>
      </c>
      <c r="AD18" s="154">
        <v>0.0358</v>
      </c>
      <c r="AE18" s="157">
        <v>2.16</v>
      </c>
      <c r="AF18" s="151">
        <v>1.5</v>
      </c>
      <c r="AG18" s="151">
        <v>1</v>
      </c>
      <c r="AH18" s="151">
        <v>6</v>
      </c>
      <c r="AI18" s="145">
        <v>0.134</v>
      </c>
      <c r="AJ18" s="145">
        <v>0.122</v>
      </c>
      <c r="AK18" s="145">
        <v>0.145</v>
      </c>
      <c r="AL18" s="145">
        <v>0.13</v>
      </c>
      <c r="AM18" s="163">
        <v>33</v>
      </c>
      <c r="AN18" s="160">
        <v>2049</v>
      </c>
    </row>
    <row r="19" spans="1:40" ht="12.75">
      <c r="A19" s="78"/>
      <c r="B19" s="58"/>
      <c r="C19" s="49" t="s">
        <v>157</v>
      </c>
      <c r="D19" s="108">
        <f>VLOOKUP($D$9,$AB$8:$AN$25,4,FALSE)</f>
        <v>1.78</v>
      </c>
      <c r="E19" s="93" t="s">
        <v>5</v>
      </c>
      <c r="F19" s="58"/>
      <c r="G19" s="58"/>
      <c r="H19" s="58"/>
      <c r="I19" s="58"/>
      <c r="J19" s="102"/>
      <c r="L19" s="62"/>
      <c r="M19" s="85"/>
      <c r="N19" s="206" t="s">
        <v>84</v>
      </c>
      <c r="O19" s="10"/>
      <c r="P19" s="197"/>
      <c r="Q19" s="116"/>
      <c r="R19" s="116"/>
      <c r="S19" s="116"/>
      <c r="T19" s="116"/>
      <c r="U19" s="116"/>
      <c r="V19" s="116"/>
      <c r="AA19" s="197"/>
      <c r="AB19" s="148" t="s">
        <v>134</v>
      </c>
      <c r="AC19" s="151">
        <v>19</v>
      </c>
      <c r="AD19" s="154">
        <v>0.0418</v>
      </c>
      <c r="AE19" s="157">
        <v>2.51</v>
      </c>
      <c r="AF19" s="151">
        <v>1.5</v>
      </c>
      <c r="AG19" s="151">
        <v>1</v>
      </c>
      <c r="AH19" s="151">
        <v>6</v>
      </c>
      <c r="AI19" s="145">
        <v>0.163</v>
      </c>
      <c r="AJ19" s="145">
        <v>0.145</v>
      </c>
      <c r="AK19" s="145">
        <v>0.17</v>
      </c>
      <c r="AL19" s="145">
        <v>0.152</v>
      </c>
      <c r="AM19" s="163">
        <v>33</v>
      </c>
      <c r="AN19" s="160">
        <v>2377</v>
      </c>
    </row>
    <row r="20" spans="1:40" ht="12.75">
      <c r="A20" s="53"/>
      <c r="B20" s="58"/>
      <c r="C20" s="82" t="s">
        <v>73</v>
      </c>
      <c r="D20" s="167">
        <f>VLOOKUP($D$9,$AB$8:$AN$25,8,FALSE)</f>
        <v>0.155</v>
      </c>
      <c r="E20" s="93" t="s">
        <v>72</v>
      </c>
      <c r="F20" s="58" t="s">
        <v>417</v>
      </c>
      <c r="G20" s="58"/>
      <c r="H20" s="58"/>
      <c r="I20" s="58"/>
      <c r="J20" s="102"/>
      <c r="L20" s="62"/>
      <c r="M20" s="85"/>
      <c r="N20" s="207" t="s">
        <v>194</v>
      </c>
      <c r="O20" s="195">
        <f>200</f>
        <v>200</v>
      </c>
      <c r="P20" s="116" t="s">
        <v>77</v>
      </c>
      <c r="Q20" s="116" t="s">
        <v>94</v>
      </c>
      <c r="R20" s="116"/>
      <c r="S20" s="116"/>
      <c r="T20" s="116"/>
      <c r="AA20" s="197"/>
      <c r="AB20" s="149" t="s">
        <v>133</v>
      </c>
      <c r="AC20" s="152">
        <v>18</v>
      </c>
      <c r="AD20" s="155">
        <v>0.0474</v>
      </c>
      <c r="AE20" s="158">
        <v>2.84</v>
      </c>
      <c r="AF20" s="152">
        <v>1.5</v>
      </c>
      <c r="AG20" s="152">
        <v>1</v>
      </c>
      <c r="AH20" s="152">
        <v>6</v>
      </c>
      <c r="AI20" s="146">
        <v>0.19</v>
      </c>
      <c r="AJ20" s="146">
        <v>0.167</v>
      </c>
      <c r="AK20" s="146">
        <v>0.193</v>
      </c>
      <c r="AL20" s="146">
        <v>0.172</v>
      </c>
      <c r="AM20" s="164">
        <v>33</v>
      </c>
      <c r="AN20" s="161">
        <v>2679</v>
      </c>
    </row>
    <row r="21" spans="1:40" ht="12.75">
      <c r="A21" s="53"/>
      <c r="B21" s="58"/>
      <c r="C21" s="82" t="s">
        <v>303</v>
      </c>
      <c r="D21" s="167">
        <f>VLOOKUP($D$9,$AB$8:$AN$25,10,FALSE)</f>
        <v>0.183</v>
      </c>
      <c r="E21" s="93" t="s">
        <v>72</v>
      </c>
      <c r="F21" s="58" t="s">
        <v>418</v>
      </c>
      <c r="G21" s="58"/>
      <c r="H21" s="58"/>
      <c r="I21" s="58"/>
      <c r="J21" s="52"/>
      <c r="L21" s="62"/>
      <c r="M21" s="85"/>
      <c r="N21" s="194" t="s">
        <v>193</v>
      </c>
      <c r="O21" s="92">
        <f>IF($D$11="1-Span",(($D$25*$D$20/(0.020833*$O$20/1000*240))^(1/2))/12,IF($D$11="2-Span",(($D$25*$D$22/(0.015012*$O$20/1000*240))^(1/2))/12,IF($D$11="3-Span",(($D$25*$D$22/(0.014627*$O$20/1000*240))^(1/2))/12)))</f>
        <v>7.022227008672192</v>
      </c>
      <c r="P21" s="116" t="s">
        <v>4</v>
      </c>
      <c r="Q21" s="197" t="str">
        <f>IF($D$11="1-Span","Lc(max) = ((E*Ip/(0.020833*Pc/1000*240))^(1/2))/12",IF($D$11="2-Span","Lc(max) = ((E*I/(0.015012*Pc/1000*240))^(1/2))/12",IF($D$11="3-Span","Lc(max) = ((E*I/(0.014627*Pc/1000*240))^(1/2))/12")))</f>
        <v>Lc(max) = ((E*I/(0.014627*Pc/1000*240))^(1/2))/12</v>
      </c>
      <c r="S21" s="116"/>
      <c r="T21" s="116"/>
      <c r="AA21" s="197"/>
      <c r="AB21" s="147" t="s">
        <v>142</v>
      </c>
      <c r="AC21" s="150">
        <v>22</v>
      </c>
      <c r="AD21" s="153">
        <v>0.0295</v>
      </c>
      <c r="AE21" s="156">
        <v>2.26</v>
      </c>
      <c r="AF21" s="150">
        <v>3</v>
      </c>
      <c r="AG21" s="150">
        <v>2.625</v>
      </c>
      <c r="AH21" s="150">
        <v>8</v>
      </c>
      <c r="AI21" s="144">
        <v>0.659</v>
      </c>
      <c r="AJ21" s="144">
        <v>0.382</v>
      </c>
      <c r="AK21" s="144">
        <v>0.884</v>
      </c>
      <c r="AL21" s="144">
        <v>0.433</v>
      </c>
      <c r="AM21" s="162">
        <v>33</v>
      </c>
      <c r="AN21" s="159">
        <v>2232</v>
      </c>
    </row>
    <row r="22" spans="1:40" ht="12.75">
      <c r="A22" s="53"/>
      <c r="B22" s="58"/>
      <c r="C22" s="171" t="s">
        <v>280</v>
      </c>
      <c r="D22" s="167">
        <f>($D$20+$D$21)/2</f>
        <v>0.16899999999999998</v>
      </c>
      <c r="E22" s="93" t="s">
        <v>72</v>
      </c>
      <c r="F22" s="173" t="s">
        <v>161</v>
      </c>
      <c r="G22" s="58"/>
      <c r="H22" s="58"/>
      <c r="I22" s="58"/>
      <c r="J22" s="52"/>
      <c r="N22" s="206" t="s">
        <v>82</v>
      </c>
      <c r="O22" s="197"/>
      <c r="P22" s="207"/>
      <c r="Q22" s="195"/>
      <c r="R22" s="116"/>
      <c r="S22" s="116"/>
      <c r="T22" s="116"/>
      <c r="U22" s="116"/>
      <c r="V22" s="116"/>
      <c r="AA22" s="197"/>
      <c r="AB22" s="148" t="s">
        <v>141</v>
      </c>
      <c r="AC22" s="151">
        <v>20</v>
      </c>
      <c r="AD22" s="154">
        <v>0.0358</v>
      </c>
      <c r="AE22" s="157">
        <v>2.71</v>
      </c>
      <c r="AF22" s="151">
        <v>3</v>
      </c>
      <c r="AG22" s="151">
        <v>2.625</v>
      </c>
      <c r="AH22" s="151">
        <v>8</v>
      </c>
      <c r="AI22" s="145">
        <v>0.848</v>
      </c>
      <c r="AJ22" s="145">
        <v>0.501</v>
      </c>
      <c r="AK22" s="145">
        <v>1.079</v>
      </c>
      <c r="AL22" s="145">
        <v>0.552</v>
      </c>
      <c r="AM22" s="163">
        <v>33</v>
      </c>
      <c r="AN22" s="160">
        <v>3287</v>
      </c>
    </row>
    <row r="23" spans="1:40" ht="12.75">
      <c r="A23" s="53"/>
      <c r="B23" s="58"/>
      <c r="C23" s="82" t="s">
        <v>17</v>
      </c>
      <c r="D23" s="167">
        <f>VLOOKUP($D$9,$AB$8:$AN$25,9,FALSE)</f>
        <v>0.186</v>
      </c>
      <c r="E23" s="93" t="s">
        <v>8</v>
      </c>
      <c r="F23" s="58" t="s">
        <v>419</v>
      </c>
      <c r="G23" s="58"/>
      <c r="H23" s="58"/>
      <c r="I23" s="58"/>
      <c r="J23" s="52"/>
      <c r="N23" s="208" t="s">
        <v>192</v>
      </c>
      <c r="O23" s="205">
        <f>IF($D$11="1-Span",0.020833*$O$20/1000*($D$12*12)^3/($D$25*$D$20),IF($D$11="2-Span",0.015012*$O$20/1000*($D$12*12)^3/($D$25*$D$22),IF($D$11="3-Span",0.014627*$O$20/1000*($D$12*12)^3/($D$25*$D$22))))</f>
        <v>0.21901508358238897</v>
      </c>
      <c r="P23" s="116" t="s">
        <v>71</v>
      </c>
      <c r="Q23" s="197" t="str">
        <f>IF($D$11="1-Span","Δ(max) = 0.020833*Pc/1000*(L*12)^3/(E*Ip)",IF($D$11="2-Span","Δ(max) = 0.015012*Pc/1000*(L*12)^3/(E*I)",IF($D$11="3-Span","Δ(max) = 0.014627*Pc/1000*(L*12)^3/(E*I)")))</f>
        <v>Δ(max) = 0.014627*Pc/1000*(L*12)^3/(E*I)</v>
      </c>
      <c r="R23" s="197"/>
      <c r="S23" s="197"/>
      <c r="T23" s="10"/>
      <c r="AA23" s="197"/>
      <c r="AB23" s="148" t="s">
        <v>140</v>
      </c>
      <c r="AC23" s="151">
        <v>19</v>
      </c>
      <c r="AD23" s="154">
        <v>0.0418</v>
      </c>
      <c r="AE23" s="157">
        <v>3.15</v>
      </c>
      <c r="AF23" s="151">
        <v>3</v>
      </c>
      <c r="AG23" s="151">
        <v>2.625</v>
      </c>
      <c r="AH23" s="151">
        <v>8</v>
      </c>
      <c r="AI23" s="145">
        <v>1.045</v>
      </c>
      <c r="AJ23" s="145">
        <v>0.597</v>
      </c>
      <c r="AK23" s="145">
        <v>1.26</v>
      </c>
      <c r="AL23" s="145">
        <v>0.659</v>
      </c>
      <c r="AM23" s="163">
        <v>33</v>
      </c>
      <c r="AN23" s="160">
        <v>4217</v>
      </c>
    </row>
    <row r="24" spans="1:40" ht="12.75">
      <c r="A24" s="53"/>
      <c r="B24" s="58"/>
      <c r="C24" s="82" t="s">
        <v>18</v>
      </c>
      <c r="D24" s="167">
        <f>VLOOKUP($D$9,$AB$8:$AN$25,11,FALSE)</f>
        <v>0.192</v>
      </c>
      <c r="E24" s="93" t="s">
        <v>8</v>
      </c>
      <c r="F24" s="58" t="s">
        <v>420</v>
      </c>
      <c r="G24" s="58"/>
      <c r="H24" s="58"/>
      <c r="I24" s="58"/>
      <c r="J24" s="52"/>
      <c r="N24" s="208" t="s">
        <v>278</v>
      </c>
      <c r="O24" s="205">
        <f>MIN($D$12*12/240,1)</f>
        <v>0.3</v>
      </c>
      <c r="P24" s="116" t="s">
        <v>71</v>
      </c>
      <c r="Q24" s="210" t="s">
        <v>385</v>
      </c>
      <c r="R24" s="197"/>
      <c r="S24" s="72"/>
      <c r="T24" s="10"/>
      <c r="AA24" s="197"/>
      <c r="AB24" s="148" t="s">
        <v>139</v>
      </c>
      <c r="AC24" s="151">
        <v>18</v>
      </c>
      <c r="AD24" s="154">
        <v>0.0474</v>
      </c>
      <c r="AE24" s="157">
        <v>3.56</v>
      </c>
      <c r="AF24" s="151">
        <v>3</v>
      </c>
      <c r="AG24" s="151">
        <v>2.625</v>
      </c>
      <c r="AH24" s="151">
        <v>8</v>
      </c>
      <c r="AI24" s="145">
        <v>1.238</v>
      </c>
      <c r="AJ24" s="145">
        <v>0.688</v>
      </c>
      <c r="AK24" s="145">
        <v>1.43</v>
      </c>
      <c r="AL24" s="145">
        <v>0.749</v>
      </c>
      <c r="AM24" s="163">
        <v>33</v>
      </c>
      <c r="AN24" s="160">
        <v>4771</v>
      </c>
    </row>
    <row r="25" spans="1:40" ht="12.75">
      <c r="A25" s="53"/>
      <c r="B25" s="58"/>
      <c r="C25" s="49" t="s">
        <v>83</v>
      </c>
      <c r="D25" s="115">
        <f>29500</f>
        <v>29500</v>
      </c>
      <c r="E25" s="93" t="s">
        <v>7</v>
      </c>
      <c r="F25" s="58" t="str">
        <f>"E = "&amp;$D$25&amp;" ksi for steel roof deck"</f>
        <v>E = 29500 ksi for steel roof deck</v>
      </c>
      <c r="G25" s="58"/>
      <c r="H25" s="58"/>
      <c r="I25" s="58"/>
      <c r="J25" s="52"/>
      <c r="N25" s="206" t="s">
        <v>90</v>
      </c>
      <c r="O25" s="116"/>
      <c r="P25" s="116"/>
      <c r="Q25" s="116"/>
      <c r="R25" s="116"/>
      <c r="S25" s="116"/>
      <c r="T25" s="116"/>
      <c r="U25" s="116"/>
      <c r="V25" s="197"/>
      <c r="AA25" s="197"/>
      <c r="AB25" s="149" t="s">
        <v>138</v>
      </c>
      <c r="AC25" s="152">
        <v>16</v>
      </c>
      <c r="AD25" s="155">
        <v>0.0598</v>
      </c>
      <c r="AE25" s="158">
        <v>4.46</v>
      </c>
      <c r="AF25" s="152">
        <v>3</v>
      </c>
      <c r="AG25" s="152">
        <v>2.625</v>
      </c>
      <c r="AH25" s="152">
        <v>8</v>
      </c>
      <c r="AI25" s="146">
        <v>1.683</v>
      </c>
      <c r="AJ25" s="146">
        <v>0.893</v>
      </c>
      <c r="AK25" s="146">
        <v>1.807</v>
      </c>
      <c r="AL25" s="146">
        <v>0.944</v>
      </c>
      <c r="AM25" s="164">
        <v>33</v>
      </c>
      <c r="AN25" s="161">
        <v>5988</v>
      </c>
    </row>
    <row r="26" spans="1:27" ht="12.75">
      <c r="A26" s="53"/>
      <c r="B26" s="58"/>
      <c r="C26" s="58"/>
      <c r="D26" s="58"/>
      <c r="E26" s="58"/>
      <c r="F26" s="58"/>
      <c r="G26" s="58"/>
      <c r="H26" s="58"/>
      <c r="I26" s="58"/>
      <c r="J26" s="52"/>
      <c r="N26" s="194" t="s">
        <v>195</v>
      </c>
      <c r="O26" s="92">
        <f>($D$19+$D$13)+$D$14</f>
        <v>36.78</v>
      </c>
      <c r="P26" s="116" t="s">
        <v>5</v>
      </c>
      <c r="Q26" s="116" t="s">
        <v>160</v>
      </c>
      <c r="R26" s="116"/>
      <c r="U26" s="116"/>
      <c r="V26" s="116"/>
      <c r="AA26" s="197"/>
    </row>
    <row r="27" spans="1:27" ht="12.75">
      <c r="A27" s="47" t="s">
        <v>16</v>
      </c>
      <c r="B27" s="58"/>
      <c r="C27" s="58"/>
      <c r="D27" s="58"/>
      <c r="E27" s="58"/>
      <c r="F27" s="58"/>
      <c r="G27" s="58"/>
      <c r="H27" s="58"/>
      <c r="I27" s="58"/>
      <c r="J27" s="102"/>
      <c r="N27" s="206" t="s">
        <v>81</v>
      </c>
      <c r="O27" s="208"/>
      <c r="P27" s="116"/>
      <c r="Q27" s="116"/>
      <c r="R27" s="116"/>
      <c r="S27" s="116"/>
      <c r="T27" s="116"/>
      <c r="U27" s="116"/>
      <c r="V27" s="116"/>
      <c r="AA27" s="197"/>
    </row>
    <row r="28" spans="1:32" ht="12.75">
      <c r="A28" s="53"/>
      <c r="B28" s="58"/>
      <c r="C28" s="58"/>
      <c r="D28" s="58"/>
      <c r="E28" s="58"/>
      <c r="F28" s="58"/>
      <c r="G28" s="58"/>
      <c r="H28" s="58"/>
      <c r="I28" s="58"/>
      <c r="J28" s="52"/>
      <c r="N28" s="212" t="s">
        <v>184</v>
      </c>
      <c r="O28" s="196">
        <f>IF($D$11="1-Span",0.125*$O$26/1000*$D$12^2,IF($D$11="2-Span",0.07*$O$26/1000*$D$12^2,IF($D$11="3-Span",0.08*$O$26/1000*$D$12^2)))</f>
        <v>0.1059264</v>
      </c>
      <c r="P28" s="116" t="s">
        <v>6</v>
      </c>
      <c r="Q28" s="116" t="str">
        <f>IF($D$11="1-Span","+M = 0.125*wt/1000*L^2",IF($D$11="2-Span","+M = 0.070*wt/1000*L^2",IF($D$11="3-Span","+M = 0.080*wt/1000*L^2")))</f>
        <v>+M = 0.080*wt/1000*L^2</v>
      </c>
      <c r="R28" s="116"/>
      <c r="S28" s="116"/>
      <c r="V28" s="116"/>
      <c r="AA28" s="197"/>
      <c r="AB28" s="248" t="s">
        <v>106</v>
      </c>
      <c r="AC28" s="239" t="s">
        <v>387</v>
      </c>
      <c r="AD28" s="240"/>
      <c r="AE28" s="240"/>
      <c r="AF28" s="241"/>
    </row>
    <row r="29" spans="1:32" ht="12.75">
      <c r="A29" s="47" t="s">
        <v>144</v>
      </c>
      <c r="B29" s="58"/>
      <c r="C29" s="58"/>
      <c r="D29" s="58"/>
      <c r="E29" s="58"/>
      <c r="F29" s="58"/>
      <c r="G29" s="58"/>
      <c r="H29" s="58"/>
      <c r="I29" s="58"/>
      <c r="J29" s="102"/>
      <c r="N29" s="212" t="s">
        <v>185</v>
      </c>
      <c r="O29" s="196">
        <f>IF($D$11="1-Span","N.A.",IF($D$11="2-Span",0.125*$O$26/1000*$D$12^2,IF($D$11="3-Span",0.1*$O$26/1000*$D$12^2)))</f>
        <v>0.132408</v>
      </c>
      <c r="P29" s="116" t="s">
        <v>6</v>
      </c>
      <c r="Q29" s="116" t="str">
        <f>IF($D$11="1-Span","-M = N.A. (for 1-Span condition)",IF($D$11="2-Span","-M = 0.125*wt/1000*L^2",IF($D$11="3-Span","-M = 0.100*wt/1000*L^2")))</f>
        <v>-M = 0.100*wt/1000*L^2</v>
      </c>
      <c r="R29" s="116"/>
      <c r="S29" s="116"/>
      <c r="V29" s="116"/>
      <c r="AA29" s="197"/>
      <c r="AB29" s="249"/>
      <c r="AC29" s="238" t="s">
        <v>367</v>
      </c>
      <c r="AD29" s="238" t="s">
        <v>368</v>
      </c>
      <c r="AE29" s="238" t="s">
        <v>369</v>
      </c>
      <c r="AF29" s="238" t="s">
        <v>370</v>
      </c>
    </row>
    <row r="30" spans="1:32" ht="12.75">
      <c r="A30" s="77"/>
      <c r="B30" s="59"/>
      <c r="C30" s="49" t="s">
        <v>91</v>
      </c>
      <c r="D30" s="104">
        <f>$O$6</f>
        <v>30</v>
      </c>
      <c r="E30" s="93" t="s">
        <v>5</v>
      </c>
      <c r="F30" s="58" t="str">
        <f>$Q$6</f>
        <v>wc = 30 psf (per ANSI/SDI-RD1.0 Section 2.4.A.6)</v>
      </c>
      <c r="G30" s="58"/>
      <c r="H30" s="58"/>
      <c r="I30" s="58"/>
      <c r="J30" s="102"/>
      <c r="N30" s="206" t="s">
        <v>85</v>
      </c>
      <c r="O30" s="194"/>
      <c r="P30" s="116"/>
      <c r="Q30" s="116"/>
      <c r="R30" s="116"/>
      <c r="S30" s="116"/>
      <c r="T30" s="116"/>
      <c r="U30" s="116"/>
      <c r="V30" s="197"/>
      <c r="AA30" s="197"/>
      <c r="AB30" s="235">
        <v>22</v>
      </c>
      <c r="AC30" s="228" t="s">
        <v>372</v>
      </c>
      <c r="AD30" s="228" t="s">
        <v>376</v>
      </c>
      <c r="AE30" s="228" t="s">
        <v>379</v>
      </c>
      <c r="AF30" s="232" t="s">
        <v>381</v>
      </c>
    </row>
    <row r="31" spans="1:32" ht="12.75">
      <c r="A31" s="77"/>
      <c r="B31" s="105"/>
      <c r="C31" s="58"/>
      <c r="D31" s="58"/>
      <c r="E31" s="58"/>
      <c r="F31" s="58"/>
      <c r="G31" s="58"/>
      <c r="H31" s="58"/>
      <c r="I31" s="58"/>
      <c r="J31" s="102"/>
      <c r="N31" s="194" t="s">
        <v>186</v>
      </c>
      <c r="O31" s="92">
        <f>MIN(0.6*$D$10,36)</f>
        <v>19.8</v>
      </c>
      <c r="P31" s="116" t="s">
        <v>7</v>
      </c>
      <c r="Q31" s="116" t="s">
        <v>279</v>
      </c>
      <c r="R31" s="116"/>
      <c r="S31" s="197"/>
      <c r="U31" s="116"/>
      <c r="V31" s="197"/>
      <c r="AA31" s="197"/>
      <c r="AB31" s="236">
        <v>20</v>
      </c>
      <c r="AC31" s="229" t="s">
        <v>373</v>
      </c>
      <c r="AD31" s="229" t="s">
        <v>377</v>
      </c>
      <c r="AE31" s="229" t="s">
        <v>380</v>
      </c>
      <c r="AF31" s="233" t="s">
        <v>382</v>
      </c>
    </row>
    <row r="32" spans="1:32" ht="12.75">
      <c r="A32" s="47" t="s">
        <v>87</v>
      </c>
      <c r="B32" s="60"/>
      <c r="C32" s="58"/>
      <c r="D32" s="58"/>
      <c r="E32" s="58"/>
      <c r="F32" s="58"/>
      <c r="G32" s="58"/>
      <c r="H32" s="58"/>
      <c r="I32" s="58"/>
      <c r="J32" s="102"/>
      <c r="N32" s="212" t="s">
        <v>187</v>
      </c>
      <c r="O32" s="92">
        <f>$O$28*12/$D$23</f>
        <v>6.8339612903225815</v>
      </c>
      <c r="P32" s="116" t="s">
        <v>7</v>
      </c>
      <c r="Q32" s="209" t="s">
        <v>290</v>
      </c>
      <c r="R32" s="116"/>
      <c r="S32" s="198"/>
      <c r="V32" s="197"/>
      <c r="AA32" s="197"/>
      <c r="AB32" s="236">
        <v>18</v>
      </c>
      <c r="AC32" s="229" t="s">
        <v>374</v>
      </c>
      <c r="AD32" s="229" t="s">
        <v>378</v>
      </c>
      <c r="AE32" s="229" t="s">
        <v>372</v>
      </c>
      <c r="AF32" s="233" t="s">
        <v>383</v>
      </c>
    </row>
    <row r="33" spans="1:32" ht="12.75">
      <c r="A33" s="77"/>
      <c r="B33" s="58"/>
      <c r="C33" s="49" t="s">
        <v>64</v>
      </c>
      <c r="D33" s="170">
        <f>$O$8</f>
        <v>0.09152640000000001</v>
      </c>
      <c r="E33" s="93" t="s">
        <v>6</v>
      </c>
      <c r="F33" s="58" t="str">
        <f>$Q$8</f>
        <v>+M = 0.08*(wd+wc)/1000*L^2</v>
      </c>
      <c r="G33" s="58"/>
      <c r="H33" s="58"/>
      <c r="I33" s="58"/>
      <c r="J33" s="102"/>
      <c r="N33" s="194" t="s">
        <v>196</v>
      </c>
      <c r="O33" s="92">
        <f>IF($D$11="1-Span","N.A.",$O$29*12/$D$24)</f>
        <v>8.275500000000001</v>
      </c>
      <c r="P33" s="116" t="s">
        <v>7</v>
      </c>
      <c r="Q33" s="209" t="s">
        <v>291</v>
      </c>
      <c r="R33" s="116"/>
      <c r="S33" s="197"/>
      <c r="V33" s="10"/>
      <c r="AA33" s="197"/>
      <c r="AB33" s="237">
        <v>16</v>
      </c>
      <c r="AC33" s="230" t="s">
        <v>375</v>
      </c>
      <c r="AD33" s="231" t="s">
        <v>371</v>
      </c>
      <c r="AE33" s="231" t="s">
        <v>371</v>
      </c>
      <c r="AF33" s="234" t="s">
        <v>384</v>
      </c>
    </row>
    <row r="34" spans="1:27" ht="12.75">
      <c r="A34" s="77"/>
      <c r="B34" s="58"/>
      <c r="C34" s="49" t="s">
        <v>65</v>
      </c>
      <c r="D34" s="111">
        <f>$O$9</f>
        <v>0.11440800000000001</v>
      </c>
      <c r="E34" s="93" t="s">
        <v>6</v>
      </c>
      <c r="F34" s="58" t="str">
        <f>$Q$9</f>
        <v>-M = 0.1*(wd+wc)/1000*L^2</v>
      </c>
      <c r="G34" s="58"/>
      <c r="H34" s="58"/>
      <c r="I34" s="58"/>
      <c r="J34" s="102"/>
      <c r="N34" s="194" t="s">
        <v>190</v>
      </c>
      <c r="O34" s="92">
        <f>MAX($O$32,$O$33)</f>
        <v>8.275500000000001</v>
      </c>
      <c r="P34" s="116" t="s">
        <v>7</v>
      </c>
      <c r="Q34" s="116" t="s">
        <v>191</v>
      </c>
      <c r="R34" s="116"/>
      <c r="S34" s="197"/>
      <c r="V34" s="10"/>
      <c r="AA34" s="197"/>
    </row>
    <row r="35" spans="1:27" ht="12.75">
      <c r="A35" s="76"/>
      <c r="B35" s="58"/>
      <c r="C35" s="58"/>
      <c r="D35" s="58"/>
      <c r="E35" s="58"/>
      <c r="F35" s="58"/>
      <c r="G35" s="58"/>
      <c r="H35" s="58"/>
      <c r="I35" s="58"/>
      <c r="J35" s="102"/>
      <c r="N35" s="194" t="s">
        <v>189</v>
      </c>
      <c r="O35" s="196">
        <f>$O$34/$O$31</f>
        <v>0.41795454545454547</v>
      </c>
      <c r="P35" s="116"/>
      <c r="Q35" s="116" t="s">
        <v>296</v>
      </c>
      <c r="R35" s="116"/>
      <c r="S35" s="197"/>
      <c r="V35" s="10"/>
      <c r="AA35" s="197"/>
    </row>
    <row r="36" spans="1:28" ht="12.75">
      <c r="A36" s="47" t="s">
        <v>88</v>
      </c>
      <c r="B36" s="49"/>
      <c r="C36" s="58"/>
      <c r="D36" s="58"/>
      <c r="E36" s="58"/>
      <c r="F36" s="58"/>
      <c r="G36" s="58"/>
      <c r="H36" s="58"/>
      <c r="I36" s="58"/>
      <c r="J36" s="102"/>
      <c r="N36" s="206" t="s">
        <v>80</v>
      </c>
      <c r="O36" s="197"/>
      <c r="P36" s="197"/>
      <c r="Q36" s="198"/>
      <c r="R36" s="197"/>
      <c r="S36" s="116"/>
      <c r="T36" s="197"/>
      <c r="V36" s="10"/>
      <c r="AA36" s="197"/>
      <c r="AB36" s="244" t="s">
        <v>388</v>
      </c>
    </row>
    <row r="37" spans="1:21" ht="12.75">
      <c r="A37" s="77"/>
      <c r="B37" s="59"/>
      <c r="C37" s="49" t="s">
        <v>66</v>
      </c>
      <c r="D37" s="107">
        <f>$O$11</f>
        <v>23.099999999999998</v>
      </c>
      <c r="E37" s="93" t="s">
        <v>7</v>
      </c>
      <c r="F37" s="58" t="str">
        <f>$Q$11</f>
        <v>Fb = 0.70*Fyd (per ANSI/SDI-RD1.0 Section 2.4.A.6)</v>
      </c>
      <c r="G37" s="58"/>
      <c r="H37" s="51"/>
      <c r="I37" s="58"/>
      <c r="J37" s="102"/>
      <c r="N37" s="208" t="s">
        <v>192</v>
      </c>
      <c r="O37" s="205">
        <f>IF($D$11="1-Span",0.013*$D$14/12000*($D$12*12)^4/($D$25*$D$20),IF($D$11="2-Span",0.0054*$D$14/12000*($D$12*12)^4/($D$25*$D$22),IF($D$11="3-Span",0.0069*$D$14/12000*($D$12*12)^4/($D$25*$D$22))))</f>
        <v>0.09298445812857287</v>
      </c>
      <c r="P37" s="116" t="s">
        <v>71</v>
      </c>
      <c r="Q37" s="116" t="str">
        <f>IF($D$11="1-Span","Δ(max) = 0.013*wLL/12000*(L*12)^4/(E*Ip)",IF($D$11="2-Span","Δ(max) = 0.0054*wLL/12000*(L*12)^4/(E*I)",IF($D$11="3-Span","Δ(max) = 0.0069*wLL/12000*(L*12)^4/(E*I)")))</f>
        <v>Δ(max) = 0.0069*wLL/12000*(L*12)^4/(E*I)</v>
      </c>
      <c r="R37" s="116"/>
      <c r="S37" s="197"/>
      <c r="U37" s="197"/>
    </row>
    <row r="38" spans="1:22" ht="12.75" customHeight="1">
      <c r="A38" s="75"/>
      <c r="B38" s="51"/>
      <c r="C38" s="49" t="s">
        <v>67</v>
      </c>
      <c r="D38" s="108">
        <f>$O$12</f>
        <v>5.904929032258065</v>
      </c>
      <c r="E38" s="93" t="s">
        <v>7</v>
      </c>
      <c r="F38" s="109" t="str">
        <f>$Q$12</f>
        <v>+fb = (+M)*12/Sp (between supports)</v>
      </c>
      <c r="G38" s="58"/>
      <c r="H38" s="64"/>
      <c r="I38" s="58"/>
      <c r="J38" s="102"/>
      <c r="N38" s="208" t="s">
        <v>278</v>
      </c>
      <c r="O38" s="205">
        <f>MIN($D$12*12/240,1)</f>
        <v>0.3</v>
      </c>
      <c r="P38" s="116" t="s">
        <v>71</v>
      </c>
      <c r="Q38" s="210" t="s">
        <v>385</v>
      </c>
      <c r="R38" s="197"/>
      <c r="S38" s="72"/>
      <c r="U38" s="197"/>
      <c r="V38" s="116"/>
    </row>
    <row r="39" spans="1:10" ht="12.75">
      <c r="A39" s="77"/>
      <c r="B39" s="51"/>
      <c r="C39" s="49" t="s">
        <v>68</v>
      </c>
      <c r="D39" s="108">
        <f>$O$13</f>
        <v>7.1505</v>
      </c>
      <c r="E39" s="93" t="s">
        <v>7</v>
      </c>
      <c r="F39" s="109" t="str">
        <f>$Q$13</f>
        <v>-fb = (-M)*12/Sn (at supports)</v>
      </c>
      <c r="G39" s="58"/>
      <c r="H39" s="51"/>
      <c r="I39" s="58"/>
      <c r="J39" s="102"/>
    </row>
    <row r="40" spans="1:10" ht="12.75">
      <c r="A40" s="77"/>
      <c r="B40" s="26"/>
      <c r="C40" s="49" t="s">
        <v>74</v>
      </c>
      <c r="D40" s="108">
        <f>$O$14</f>
        <v>7.1505</v>
      </c>
      <c r="E40" s="93" t="s">
        <v>7</v>
      </c>
      <c r="F40" s="58" t="s">
        <v>75</v>
      </c>
      <c r="G40" s="58"/>
      <c r="H40" s="51"/>
      <c r="I40" s="58"/>
      <c r="J40" s="102"/>
    </row>
    <row r="41" spans="1:10" ht="12.75">
      <c r="A41" s="77"/>
      <c r="B41" s="110"/>
      <c r="C41" s="49" t="s">
        <v>69</v>
      </c>
      <c r="D41" s="111">
        <f>$O$15</f>
        <v>0.30954545454545457</v>
      </c>
      <c r="E41" s="58"/>
      <c r="F41" s="58" t="s">
        <v>292</v>
      </c>
      <c r="G41" s="58"/>
      <c r="H41" s="51"/>
      <c r="I41" s="58"/>
      <c r="J41" s="174" t="str">
        <f>IF($D$41&lt;=1,"S.R. &lt;= 1.0, O.K.","S.R. &gt; 1.0")</f>
        <v>S.R. &lt;= 1.0, O.K.</v>
      </c>
    </row>
    <row r="42" spans="1:12" ht="12.75">
      <c r="A42" s="77"/>
      <c r="B42" s="68"/>
      <c r="C42" s="51"/>
      <c r="D42" s="112"/>
      <c r="E42" s="113"/>
      <c r="F42" s="51"/>
      <c r="G42" s="51"/>
      <c r="H42" s="51"/>
      <c r="I42" s="58"/>
      <c r="J42" s="102"/>
      <c r="L42" s="51"/>
    </row>
    <row r="43" spans="1:10" ht="12.75">
      <c r="A43" s="47" t="s">
        <v>145</v>
      </c>
      <c r="B43" s="51"/>
      <c r="C43" s="51"/>
      <c r="D43" s="64"/>
      <c r="E43" s="113"/>
      <c r="F43" s="58"/>
      <c r="G43" s="51"/>
      <c r="H43" s="51"/>
      <c r="I43" s="58"/>
      <c r="J43" s="102"/>
    </row>
    <row r="44" spans="1:36" ht="12.75">
      <c r="A44" s="77"/>
      <c r="B44" s="51"/>
      <c r="C44" s="59" t="s">
        <v>79</v>
      </c>
      <c r="D44" s="106">
        <f>$O$17</f>
        <v>0.09298445812857287</v>
      </c>
      <c r="E44" s="114" t="s">
        <v>71</v>
      </c>
      <c r="F44" s="58" t="str">
        <f>$Q$17</f>
        <v>Δ(max) = 0.0069*wc/12000*(L*12)^4/(E*Ip)</v>
      </c>
      <c r="G44" s="89"/>
      <c r="H44" s="51"/>
      <c r="I44" s="58"/>
      <c r="J44" s="102"/>
      <c r="V44" s="10"/>
      <c r="AG44" s="24"/>
      <c r="AH44" s="24"/>
      <c r="AI44" s="63"/>
      <c r="AJ44" s="63"/>
    </row>
    <row r="45" spans="1:36" ht="12.75">
      <c r="A45" s="75"/>
      <c r="B45" s="51"/>
      <c r="C45" s="59" t="s">
        <v>277</v>
      </c>
      <c r="D45" s="218">
        <f>$O$18</f>
        <v>0.3</v>
      </c>
      <c r="E45" s="114" t="s">
        <v>71</v>
      </c>
      <c r="F45" s="243" t="s">
        <v>386</v>
      </c>
      <c r="G45" s="51"/>
      <c r="H45" s="50"/>
      <c r="I45" s="58"/>
      <c r="J45" s="102"/>
      <c r="V45" s="197"/>
      <c r="AG45" s="35"/>
      <c r="AH45" s="35"/>
      <c r="AI45" s="63"/>
      <c r="AJ45" s="63"/>
    </row>
    <row r="46" spans="1:36" ht="12.75">
      <c r="A46" s="75"/>
      <c r="B46" s="51"/>
      <c r="C46" s="58"/>
      <c r="D46" s="58"/>
      <c r="E46" s="58"/>
      <c r="F46" s="58"/>
      <c r="G46" s="58"/>
      <c r="H46" s="58"/>
      <c r="I46" s="58"/>
      <c r="J46" s="174" t="str">
        <f>IF(ROUND($D$12*12/$D$44,0)&gt;=240,"Δ(max) &lt;= Δ(allow), O.K.","Δ(max) &gt; Δ(allow)")</f>
        <v>Δ(max) &lt;= Δ(allow), O.K.</v>
      </c>
      <c r="V46" s="116"/>
      <c r="AG46" s="62"/>
      <c r="AH46" s="62"/>
      <c r="AI46" s="63"/>
      <c r="AJ46" s="63"/>
    </row>
    <row r="47" spans="1:36" ht="12.75">
      <c r="A47" s="47" t="s">
        <v>84</v>
      </c>
      <c r="B47" s="26"/>
      <c r="C47" s="51"/>
      <c r="D47" s="58"/>
      <c r="E47" s="58"/>
      <c r="F47" s="58"/>
      <c r="G47" s="58"/>
      <c r="H47" s="116"/>
      <c r="I47" s="58"/>
      <c r="J47" s="102"/>
      <c r="V47" s="197"/>
      <c r="AG47" s="62"/>
      <c r="AH47" s="62"/>
      <c r="AI47" s="63"/>
      <c r="AJ47" s="63"/>
    </row>
    <row r="48" spans="1:36" ht="12.75">
      <c r="A48" s="44"/>
      <c r="B48" s="51"/>
      <c r="C48" s="105" t="s">
        <v>86</v>
      </c>
      <c r="D48" s="94">
        <f>$O$20</f>
        <v>200</v>
      </c>
      <c r="E48" s="93" t="s">
        <v>77</v>
      </c>
      <c r="F48" s="58" t="str">
        <f>$Q$20</f>
        <v>Pc = 200 lbs. (per ANSI/SDI-RD1.0 Section 2.4.A.6)</v>
      </c>
      <c r="G48" s="89"/>
      <c r="H48" s="89"/>
      <c r="I48" s="58"/>
      <c r="J48" s="102"/>
      <c r="AG48" s="69"/>
      <c r="AH48" s="69"/>
      <c r="AI48" s="63"/>
      <c r="AJ48" s="63"/>
    </row>
    <row r="49" spans="1:36" ht="12.75">
      <c r="A49" s="77"/>
      <c r="B49" s="110"/>
      <c r="C49" s="56" t="s">
        <v>76</v>
      </c>
      <c r="D49" s="117">
        <f>$O$21</f>
        <v>7.022227008672192</v>
      </c>
      <c r="E49" s="93" t="s">
        <v>4</v>
      </c>
      <c r="F49" s="51" t="str">
        <f>$Q$21</f>
        <v>Lc(max) = ((E*I/(0.014627*Pc/1000*240))^(1/2))/12</v>
      </c>
      <c r="G49" s="58"/>
      <c r="H49" s="89"/>
      <c r="I49" s="58"/>
      <c r="J49" s="102"/>
      <c r="AG49" s="69"/>
      <c r="AH49" s="69"/>
      <c r="AI49" s="63"/>
      <c r="AJ49" s="63"/>
    </row>
    <row r="50" spans="1:36" ht="12.75">
      <c r="A50" s="53"/>
      <c r="B50" s="68"/>
      <c r="C50" s="58"/>
      <c r="D50" s="58"/>
      <c r="E50" s="58"/>
      <c r="F50" s="58"/>
      <c r="G50" s="58"/>
      <c r="H50" s="118"/>
      <c r="I50" s="58"/>
      <c r="J50" s="174" t="str">
        <f>IF($D$12&lt;=ROUND($D$49,2),"L &lt;= Lc(max), O.K.","L &gt; Lc(max)")</f>
        <v>L &lt;= Lc(max), O.K.</v>
      </c>
      <c r="AG50" s="63"/>
      <c r="AH50" s="63"/>
      <c r="AI50" s="63"/>
      <c r="AJ50" s="63"/>
    </row>
    <row r="51" spans="1:36" ht="12.75">
      <c r="A51" s="47" t="s">
        <v>82</v>
      </c>
      <c r="B51" s="51"/>
      <c r="C51" s="105"/>
      <c r="D51" s="100"/>
      <c r="E51" s="93"/>
      <c r="F51" s="58"/>
      <c r="G51" s="58"/>
      <c r="H51" s="58"/>
      <c r="I51" s="58"/>
      <c r="J51" s="119"/>
      <c r="AG51" s="63"/>
      <c r="AH51" s="63"/>
      <c r="AI51" s="63"/>
      <c r="AJ51" s="63"/>
    </row>
    <row r="52" spans="1:36" ht="12.75">
      <c r="A52" s="77"/>
      <c r="B52" s="51"/>
      <c r="C52" s="59" t="s">
        <v>79</v>
      </c>
      <c r="D52" s="106">
        <f>$O$23</f>
        <v>0.21901508358238897</v>
      </c>
      <c r="E52" s="114" t="s">
        <v>71</v>
      </c>
      <c r="F52" s="57" t="str">
        <f>$Q$23</f>
        <v>Δ(max) = 0.014627*Pc/1000*(L*12)^3/(E*I)</v>
      </c>
      <c r="G52" s="51"/>
      <c r="H52" s="51"/>
      <c r="I52" s="61"/>
      <c r="J52" s="119"/>
      <c r="AG52" s="63"/>
      <c r="AH52" s="63"/>
      <c r="AI52" s="63"/>
      <c r="AJ52" s="63"/>
    </row>
    <row r="53" spans="1:36" ht="12.75">
      <c r="A53" s="77"/>
      <c r="B53" s="26"/>
      <c r="C53" s="59" t="s">
        <v>277</v>
      </c>
      <c r="D53" s="219">
        <f>$O$24</f>
        <v>0.3</v>
      </c>
      <c r="E53" s="114" t="s">
        <v>71</v>
      </c>
      <c r="F53" s="243" t="s">
        <v>386</v>
      </c>
      <c r="G53" s="51"/>
      <c r="H53" s="50"/>
      <c r="I53" s="61"/>
      <c r="J53" s="119"/>
      <c r="AG53" s="63"/>
      <c r="AH53" s="63"/>
      <c r="AI53" s="63"/>
      <c r="AJ53" s="63"/>
    </row>
    <row r="54" spans="1:36" ht="12.75">
      <c r="A54" s="77"/>
      <c r="B54" s="110"/>
      <c r="C54" s="56"/>
      <c r="D54" s="92"/>
      <c r="E54" s="93"/>
      <c r="F54" s="58"/>
      <c r="G54" s="51"/>
      <c r="H54" s="58"/>
      <c r="I54" s="51"/>
      <c r="J54" s="174" t="str">
        <f>IF(ROUND($D$12*12/$D$52,0)&gt;=240,"Δ(max) &lt;= Δ(allow), O.K.","Δ(max) &gt; Δ(allow)")</f>
        <v>Δ(max) &lt;= Δ(allow), O.K.</v>
      </c>
      <c r="AG54" s="63"/>
      <c r="AH54" s="63"/>
      <c r="AI54" s="63"/>
      <c r="AJ54" s="63"/>
    </row>
    <row r="55" spans="1:36" ht="12.75">
      <c r="A55" s="53"/>
      <c r="B55" s="58"/>
      <c r="C55" s="58"/>
      <c r="D55" s="58"/>
      <c r="E55" s="58"/>
      <c r="F55" s="58"/>
      <c r="G55" s="58"/>
      <c r="H55" s="58"/>
      <c r="I55" s="58"/>
      <c r="J55" s="52"/>
      <c r="AG55" s="63"/>
      <c r="AH55" s="63"/>
      <c r="AI55" s="63"/>
      <c r="AJ55" s="63"/>
    </row>
    <row r="56" spans="1:36" ht="12.75">
      <c r="A56" s="99"/>
      <c r="B56" s="96"/>
      <c r="C56" s="96"/>
      <c r="D56" s="120"/>
      <c r="E56" s="121"/>
      <c r="F56" s="172"/>
      <c r="G56" s="96"/>
      <c r="H56" s="96"/>
      <c r="I56" s="96"/>
      <c r="J56" s="122"/>
      <c r="AG56" s="63"/>
      <c r="AH56" s="63"/>
      <c r="AI56" s="63"/>
      <c r="AJ56" s="63"/>
    </row>
    <row r="57" spans="1:36" ht="12.75">
      <c r="A57" s="97"/>
      <c r="B57" s="98"/>
      <c r="C57" s="98"/>
      <c r="D57" s="98"/>
      <c r="E57" s="98"/>
      <c r="F57" s="98"/>
      <c r="G57" s="98"/>
      <c r="H57" s="98"/>
      <c r="I57" s="98"/>
      <c r="J57" s="123"/>
      <c r="AG57" s="63"/>
      <c r="AH57" s="63"/>
      <c r="AI57" s="63"/>
      <c r="AJ57" s="63"/>
    </row>
    <row r="58" spans="1:10" ht="12.75">
      <c r="A58" s="47" t="s">
        <v>90</v>
      </c>
      <c r="B58" s="58"/>
      <c r="C58" s="58"/>
      <c r="D58" s="58"/>
      <c r="E58" s="58"/>
      <c r="F58" s="58"/>
      <c r="G58" s="58"/>
      <c r="H58" s="58"/>
      <c r="I58" s="58"/>
      <c r="J58" s="102"/>
    </row>
    <row r="59" spans="1:10" ht="12.75">
      <c r="A59" s="77"/>
      <c r="B59" s="59"/>
      <c r="C59" s="49" t="s">
        <v>78</v>
      </c>
      <c r="D59" s="104">
        <f>$O$26</f>
        <v>36.78</v>
      </c>
      <c r="E59" s="93" t="s">
        <v>5</v>
      </c>
      <c r="F59" s="58" t="str">
        <f>$Q$26</f>
        <v>wt = (wd+wDL)+wLL</v>
      </c>
      <c r="G59" s="58"/>
      <c r="H59" s="58"/>
      <c r="I59" s="58"/>
      <c r="J59" s="102"/>
    </row>
    <row r="60" spans="1:10" ht="12.75">
      <c r="A60" s="77"/>
      <c r="B60" s="105"/>
      <c r="C60" s="58"/>
      <c r="D60" s="58"/>
      <c r="E60" s="58"/>
      <c r="F60" s="58"/>
      <c r="G60" s="58"/>
      <c r="H60" s="58"/>
      <c r="I60" s="58"/>
      <c r="J60" s="102"/>
    </row>
    <row r="61" spans="1:10" ht="12.75">
      <c r="A61" s="47" t="s">
        <v>81</v>
      </c>
      <c r="B61" s="60"/>
      <c r="C61" s="58"/>
      <c r="D61" s="58"/>
      <c r="E61" s="58"/>
      <c r="F61" s="58"/>
      <c r="G61" s="58"/>
      <c r="H61" s="58"/>
      <c r="I61" s="58"/>
      <c r="J61" s="102"/>
    </row>
    <row r="62" spans="1:10" ht="12.75">
      <c r="A62" s="77"/>
      <c r="B62" s="58"/>
      <c r="C62" s="49" t="s">
        <v>64</v>
      </c>
      <c r="D62" s="170">
        <f>$O$28</f>
        <v>0.1059264</v>
      </c>
      <c r="E62" s="93" t="s">
        <v>6</v>
      </c>
      <c r="F62" s="58" t="str">
        <f>$Q$28</f>
        <v>+M = 0.080*wt/1000*L^2</v>
      </c>
      <c r="G62" s="58"/>
      <c r="H62" s="58"/>
      <c r="I62" s="51"/>
      <c r="J62" s="102"/>
    </row>
    <row r="63" spans="1:10" ht="12.75">
      <c r="A63" s="77"/>
      <c r="B63" s="58"/>
      <c r="C63" s="49" t="s">
        <v>65</v>
      </c>
      <c r="D63" s="111">
        <f>$O$29</f>
        <v>0.132408</v>
      </c>
      <c r="E63" s="93" t="s">
        <v>6</v>
      </c>
      <c r="F63" s="58" t="str">
        <f>$Q$29</f>
        <v>-M = 0.100*wt/1000*L^2</v>
      </c>
      <c r="G63" s="58"/>
      <c r="H63" s="58"/>
      <c r="I63" s="51"/>
      <c r="J63" s="102"/>
    </row>
    <row r="64" spans="1:10" ht="12.75">
      <c r="A64" s="76"/>
      <c r="B64" s="58"/>
      <c r="C64" s="58"/>
      <c r="D64" s="58"/>
      <c r="E64" s="58"/>
      <c r="F64" s="58"/>
      <c r="G64" s="58"/>
      <c r="H64" s="58"/>
      <c r="I64" s="51"/>
      <c r="J64" s="102"/>
    </row>
    <row r="65" spans="1:10" ht="12.75">
      <c r="A65" s="47" t="s">
        <v>85</v>
      </c>
      <c r="B65" s="49"/>
      <c r="C65" s="58"/>
      <c r="D65" s="58"/>
      <c r="E65" s="58"/>
      <c r="F65" s="58"/>
      <c r="G65" s="58"/>
      <c r="H65" s="58"/>
      <c r="I65" s="61"/>
      <c r="J65" s="102"/>
    </row>
    <row r="66" spans="1:10" ht="12.75">
      <c r="A66" s="77"/>
      <c r="B66" s="59"/>
      <c r="C66" s="49" t="s">
        <v>66</v>
      </c>
      <c r="D66" s="107">
        <f>$O$31</f>
        <v>19.8</v>
      </c>
      <c r="E66" s="93" t="s">
        <v>7</v>
      </c>
      <c r="F66" s="58" t="str">
        <f>$Q$31</f>
        <v>Fb = 0.60*Fyd &lt;= 36</v>
      </c>
      <c r="G66" s="58"/>
      <c r="H66" s="51"/>
      <c r="I66" s="61"/>
      <c r="J66" s="102"/>
    </row>
    <row r="67" spans="1:10" ht="12.75">
      <c r="A67" s="75"/>
      <c r="B67" s="51"/>
      <c r="C67" s="49" t="s">
        <v>67</v>
      </c>
      <c r="D67" s="108">
        <f>$O$32</f>
        <v>6.8339612903225815</v>
      </c>
      <c r="E67" s="93" t="s">
        <v>7</v>
      </c>
      <c r="F67" s="109" t="str">
        <f>$Q$32</f>
        <v>+fb = (+M)*12/Sp (between supports)</v>
      </c>
      <c r="G67" s="58"/>
      <c r="H67" s="64"/>
      <c r="I67" s="61"/>
      <c r="J67" s="119"/>
    </row>
    <row r="68" spans="1:10" ht="12.75">
      <c r="A68" s="77"/>
      <c r="B68" s="51"/>
      <c r="C68" s="49" t="s">
        <v>68</v>
      </c>
      <c r="D68" s="108">
        <f>$O$33</f>
        <v>8.275500000000001</v>
      </c>
      <c r="E68" s="93" t="s">
        <v>7</v>
      </c>
      <c r="F68" s="109" t="str">
        <f>$Q$33</f>
        <v>-fb = (-M)*12/Sn (at supports)</v>
      </c>
      <c r="G68" s="58"/>
      <c r="H68" s="51"/>
      <c r="I68" s="61"/>
      <c r="J68" s="119"/>
    </row>
    <row r="69" spans="1:10" ht="12.75">
      <c r="A69" s="77"/>
      <c r="B69" s="26"/>
      <c r="C69" s="49" t="s">
        <v>74</v>
      </c>
      <c r="D69" s="108">
        <f>$O$34</f>
        <v>8.275500000000001</v>
      </c>
      <c r="E69" s="93" t="s">
        <v>7</v>
      </c>
      <c r="F69" s="58" t="s">
        <v>75</v>
      </c>
      <c r="G69" s="58"/>
      <c r="H69" s="51"/>
      <c r="I69" s="61"/>
      <c r="J69" s="119"/>
    </row>
    <row r="70" spans="1:10" ht="12.75">
      <c r="A70" s="77"/>
      <c r="B70" s="110"/>
      <c r="C70" s="49" t="s">
        <v>69</v>
      </c>
      <c r="D70" s="111">
        <f>$O$35</f>
        <v>0.41795454545454547</v>
      </c>
      <c r="E70" s="58"/>
      <c r="F70" s="58" t="s">
        <v>292</v>
      </c>
      <c r="G70" s="58"/>
      <c r="H70" s="51"/>
      <c r="I70" s="58"/>
      <c r="J70" s="174" t="str">
        <f>IF($D$70&lt;=1,"S.R. &lt;= 1.0, O.K.","S.R. &gt; 1.0")</f>
        <v>S.R. &lt;= 1.0, O.K.</v>
      </c>
    </row>
    <row r="71" spans="1:10" ht="12.75">
      <c r="A71" s="77"/>
      <c r="B71" s="68"/>
      <c r="C71" s="51"/>
      <c r="D71" s="112"/>
      <c r="E71" s="113"/>
      <c r="F71" s="51"/>
      <c r="G71" s="51"/>
      <c r="H71" s="51"/>
      <c r="I71" s="61"/>
      <c r="J71" s="119"/>
    </row>
    <row r="72" spans="1:10" ht="12.75">
      <c r="A72" s="47" t="s">
        <v>80</v>
      </c>
      <c r="B72" s="51"/>
      <c r="C72" s="51"/>
      <c r="D72" s="64"/>
      <c r="E72" s="113"/>
      <c r="F72" s="58"/>
      <c r="G72" s="51"/>
      <c r="H72" s="51"/>
      <c r="I72" s="51"/>
      <c r="J72" s="119"/>
    </row>
    <row r="73" spans="1:10" ht="12.75">
      <c r="A73" s="53"/>
      <c r="B73" s="58"/>
      <c r="C73" s="59" t="s">
        <v>79</v>
      </c>
      <c r="D73" s="106">
        <f>$O$37</f>
        <v>0.09298445812857287</v>
      </c>
      <c r="E73" s="114" t="s">
        <v>71</v>
      </c>
      <c r="F73" s="57" t="str">
        <f>$Q$37</f>
        <v>Δ(max) = 0.0069*wLL/12000*(L*12)^4/(E*I)</v>
      </c>
      <c r="G73" s="89"/>
      <c r="H73" s="51"/>
      <c r="I73" s="58"/>
      <c r="J73" s="102"/>
    </row>
    <row r="74" spans="1:10" ht="12.75">
      <c r="A74" s="77"/>
      <c r="B74" s="51"/>
      <c r="C74" s="59" t="s">
        <v>277</v>
      </c>
      <c r="D74" s="218">
        <f>$O$38</f>
        <v>0.3</v>
      </c>
      <c r="E74" s="114" t="s">
        <v>71</v>
      </c>
      <c r="F74" s="243" t="s">
        <v>386</v>
      </c>
      <c r="G74" s="51"/>
      <c r="H74" s="50"/>
      <c r="I74" s="51"/>
      <c r="J74" s="119"/>
    </row>
    <row r="75" spans="1:10" ht="12.75">
      <c r="A75" s="75"/>
      <c r="B75" s="51"/>
      <c r="C75" s="58"/>
      <c r="D75" s="58"/>
      <c r="E75" s="58"/>
      <c r="F75" s="58"/>
      <c r="G75" s="58"/>
      <c r="H75" s="58"/>
      <c r="I75" s="61"/>
      <c r="J75" s="174" t="str">
        <f>IF(ROUND($D$12*12/$D$73,0)&gt;=240,"Δ(max) &lt;= Δ(allow), O.K.","Δ(max) &gt; Δ(allow)")</f>
        <v>Δ(max) &lt;= Δ(allow), O.K.</v>
      </c>
    </row>
    <row r="76" spans="1:10" ht="12.75">
      <c r="A76" s="75"/>
      <c r="B76" s="51"/>
      <c r="C76" s="58"/>
      <c r="D76" s="58"/>
      <c r="E76" s="58"/>
      <c r="F76" s="58"/>
      <c r="G76" s="58"/>
      <c r="H76" s="58"/>
      <c r="I76" s="61"/>
      <c r="J76" s="126"/>
    </row>
    <row r="77" spans="1:10" ht="12.75">
      <c r="A77" s="53"/>
      <c r="B77" s="58"/>
      <c r="C77" s="58"/>
      <c r="D77" s="58"/>
      <c r="E77" s="58"/>
      <c r="F77" s="58"/>
      <c r="G77" s="58"/>
      <c r="H77" s="90"/>
      <c r="I77" s="58"/>
      <c r="J77" s="102"/>
    </row>
    <row r="78" spans="1:10" ht="12.75">
      <c r="A78" s="101" t="s">
        <v>89</v>
      </c>
      <c r="B78" s="37"/>
      <c r="C78" s="37"/>
      <c r="D78" s="90"/>
      <c r="E78" s="90"/>
      <c r="F78" s="90"/>
      <c r="G78" s="90"/>
      <c r="H78" s="90"/>
      <c r="I78" s="90"/>
      <c r="J78" s="126"/>
    </row>
    <row r="79" spans="1:10" ht="12.75">
      <c r="A79" s="124"/>
      <c r="B79" s="90"/>
      <c r="C79" s="90"/>
      <c r="D79" s="90"/>
      <c r="E79" s="90"/>
      <c r="F79" s="90"/>
      <c r="G79" s="90"/>
      <c r="H79" s="90"/>
      <c r="I79" s="90"/>
      <c r="J79" s="46"/>
    </row>
    <row r="80" spans="1:10" ht="12.75">
      <c r="A80" s="124"/>
      <c r="B80" s="90"/>
      <c r="C80" s="90"/>
      <c r="D80" s="90"/>
      <c r="E80" s="90"/>
      <c r="F80" s="90"/>
      <c r="G80" s="90"/>
      <c r="H80" s="90"/>
      <c r="I80" s="90"/>
      <c r="J80" s="46"/>
    </row>
    <row r="81" spans="1:10" ht="12.75">
      <c r="A81" s="124"/>
      <c r="B81" s="90"/>
      <c r="C81" s="90"/>
      <c r="D81" s="90"/>
      <c r="E81" s="90"/>
      <c r="F81" s="90"/>
      <c r="G81" s="90"/>
      <c r="H81" s="90"/>
      <c r="I81" s="90"/>
      <c r="J81" s="46"/>
    </row>
    <row r="82" spans="1:10" ht="12.75">
      <c r="A82" s="124"/>
      <c r="B82" s="90"/>
      <c r="C82" s="90"/>
      <c r="D82" s="90"/>
      <c r="E82" s="90"/>
      <c r="F82" s="90"/>
      <c r="G82" s="90"/>
      <c r="H82" s="90"/>
      <c r="I82" s="90"/>
      <c r="J82" s="46"/>
    </row>
    <row r="83" spans="1:10" ht="12.75">
      <c r="A83" s="124"/>
      <c r="B83" s="90"/>
      <c r="C83" s="90"/>
      <c r="D83" s="90"/>
      <c r="E83" s="90"/>
      <c r="F83" s="90"/>
      <c r="G83" s="90"/>
      <c r="H83" s="90"/>
      <c r="I83" s="90"/>
      <c r="J83" s="46"/>
    </row>
    <row r="84" spans="1:10" ht="12.75">
      <c r="A84" s="124"/>
      <c r="B84" s="90"/>
      <c r="C84" s="90"/>
      <c r="D84" s="90"/>
      <c r="E84" s="90"/>
      <c r="F84" s="90"/>
      <c r="G84" s="90"/>
      <c r="H84" s="90"/>
      <c r="I84" s="90"/>
      <c r="J84" s="46"/>
    </row>
    <row r="85" spans="1:10" ht="12.75">
      <c r="A85" s="124"/>
      <c r="B85" s="90"/>
      <c r="C85" s="90"/>
      <c r="D85" s="90"/>
      <c r="E85" s="90"/>
      <c r="F85" s="90"/>
      <c r="G85" s="90"/>
      <c r="H85" s="90"/>
      <c r="I85" s="90"/>
      <c r="J85" s="46"/>
    </row>
    <row r="86" spans="1:10" ht="12.75">
      <c r="A86" s="124"/>
      <c r="B86" s="90"/>
      <c r="C86" s="90"/>
      <c r="D86" s="90"/>
      <c r="E86" s="90"/>
      <c r="F86" s="90"/>
      <c r="G86" s="90"/>
      <c r="H86" s="90"/>
      <c r="I86" s="90"/>
      <c r="J86" s="46"/>
    </row>
    <row r="87" spans="1:10" ht="12.75">
      <c r="A87" s="124"/>
      <c r="B87" s="90"/>
      <c r="C87" s="90"/>
      <c r="D87" s="90"/>
      <c r="E87" s="90"/>
      <c r="F87" s="90"/>
      <c r="G87" s="90"/>
      <c r="H87" s="90"/>
      <c r="I87" s="90"/>
      <c r="J87" s="46"/>
    </row>
    <row r="88" spans="1:10" ht="12.75">
      <c r="A88" s="124"/>
      <c r="B88" s="90"/>
      <c r="C88" s="90"/>
      <c r="D88" s="90"/>
      <c r="E88" s="90"/>
      <c r="F88" s="90"/>
      <c r="G88" s="90"/>
      <c r="H88" s="90"/>
      <c r="I88" s="90"/>
      <c r="J88" s="46"/>
    </row>
    <row r="89" spans="1:10" ht="12.75">
      <c r="A89" s="124"/>
      <c r="B89" s="90"/>
      <c r="C89" s="90"/>
      <c r="D89" s="90"/>
      <c r="E89" s="90"/>
      <c r="F89" s="90"/>
      <c r="G89" s="90"/>
      <c r="H89" s="90"/>
      <c r="I89" s="90"/>
      <c r="J89" s="46"/>
    </row>
    <row r="90" spans="1:10" ht="12.75">
      <c r="A90" s="124"/>
      <c r="B90" s="90"/>
      <c r="C90" s="90"/>
      <c r="D90" s="90"/>
      <c r="E90" s="90"/>
      <c r="F90" s="90"/>
      <c r="G90" s="90"/>
      <c r="H90" s="90"/>
      <c r="I90" s="90"/>
      <c r="J90" s="46"/>
    </row>
    <row r="91" spans="1:10" ht="12.75">
      <c r="A91" s="124"/>
      <c r="B91" s="90"/>
      <c r="C91" s="90"/>
      <c r="D91" s="90"/>
      <c r="E91" s="90"/>
      <c r="F91" s="90"/>
      <c r="G91" s="90"/>
      <c r="H91" s="90"/>
      <c r="I91" s="90"/>
      <c r="J91" s="46"/>
    </row>
    <row r="92" spans="1:10" ht="12.75">
      <c r="A92" s="124"/>
      <c r="B92" s="90"/>
      <c r="C92" s="90"/>
      <c r="D92" s="90"/>
      <c r="E92" s="90"/>
      <c r="F92" s="90"/>
      <c r="G92" s="90"/>
      <c r="H92" s="90"/>
      <c r="I92" s="90"/>
      <c r="J92" s="46"/>
    </row>
    <row r="93" spans="1:10" ht="12.75">
      <c r="A93" s="124"/>
      <c r="B93" s="37"/>
      <c r="C93" s="37"/>
      <c r="D93" s="90"/>
      <c r="E93" s="90"/>
      <c r="F93" s="90"/>
      <c r="G93" s="90"/>
      <c r="H93" s="90"/>
      <c r="I93" s="90"/>
      <c r="J93" s="126"/>
    </row>
    <row r="94" spans="1:10" ht="12.75">
      <c r="A94" s="124"/>
      <c r="B94" s="90"/>
      <c r="C94" s="90"/>
      <c r="D94" s="90"/>
      <c r="E94" s="90"/>
      <c r="F94" s="90"/>
      <c r="G94" s="90"/>
      <c r="H94" s="90"/>
      <c r="I94" s="90"/>
      <c r="J94" s="46"/>
    </row>
    <row r="95" spans="1:10" ht="12.75">
      <c r="A95" s="124"/>
      <c r="B95" s="90"/>
      <c r="C95" s="90"/>
      <c r="D95" s="90"/>
      <c r="E95" s="90"/>
      <c r="F95" s="90"/>
      <c r="G95" s="90"/>
      <c r="H95" s="90"/>
      <c r="I95" s="90"/>
      <c r="J95" s="46"/>
    </row>
    <row r="96" spans="1:10" ht="12.75">
      <c r="A96" s="124"/>
      <c r="B96" s="90"/>
      <c r="C96" s="90"/>
      <c r="D96" s="90"/>
      <c r="E96" s="90"/>
      <c r="F96" s="90"/>
      <c r="G96" s="90"/>
      <c r="H96" s="90"/>
      <c r="I96" s="90"/>
      <c r="J96" s="46"/>
    </row>
    <row r="97" spans="1:10" ht="12.75">
      <c r="A97" s="124"/>
      <c r="B97" s="90"/>
      <c r="C97" s="90"/>
      <c r="D97" s="90"/>
      <c r="E97" s="90"/>
      <c r="F97" s="90"/>
      <c r="G97" s="90"/>
      <c r="H97" s="90"/>
      <c r="I97" s="90"/>
      <c r="J97" s="46"/>
    </row>
    <row r="98" spans="1:10" ht="12.75">
      <c r="A98" s="124"/>
      <c r="B98" s="90"/>
      <c r="C98" s="90"/>
      <c r="D98" s="90"/>
      <c r="E98" s="90"/>
      <c r="F98" s="90"/>
      <c r="G98" s="90"/>
      <c r="H98" s="90"/>
      <c r="I98" s="90"/>
      <c r="J98" s="46"/>
    </row>
    <row r="99" spans="1:10" ht="12.75">
      <c r="A99" s="124"/>
      <c r="B99" s="90"/>
      <c r="C99" s="90"/>
      <c r="D99" s="90"/>
      <c r="E99" s="90"/>
      <c r="F99" s="90"/>
      <c r="G99" s="90"/>
      <c r="H99" s="90"/>
      <c r="I99" s="90"/>
      <c r="J99" s="46"/>
    </row>
    <row r="100" spans="1:10" ht="12.75">
      <c r="A100" s="124"/>
      <c r="B100" s="90"/>
      <c r="C100" s="90"/>
      <c r="D100" s="90"/>
      <c r="E100" s="90"/>
      <c r="F100" s="90"/>
      <c r="G100" s="90"/>
      <c r="H100" s="90"/>
      <c r="I100" s="90"/>
      <c r="J100" s="46"/>
    </row>
    <row r="101" spans="1:10" ht="12.75">
      <c r="A101" s="124"/>
      <c r="B101" s="90"/>
      <c r="C101" s="90"/>
      <c r="D101" s="90"/>
      <c r="E101" s="90"/>
      <c r="F101" s="90"/>
      <c r="G101" s="90"/>
      <c r="H101" s="90"/>
      <c r="I101" s="90"/>
      <c r="J101" s="46"/>
    </row>
    <row r="102" spans="1:10" ht="12.75">
      <c r="A102" s="124"/>
      <c r="B102" s="90"/>
      <c r="C102" s="90"/>
      <c r="D102" s="90"/>
      <c r="E102" s="90"/>
      <c r="F102" s="90"/>
      <c r="G102" s="90"/>
      <c r="H102" s="90"/>
      <c r="I102" s="90"/>
      <c r="J102" s="46"/>
    </row>
    <row r="103" spans="1:10" ht="12.75">
      <c r="A103" s="124"/>
      <c r="B103" s="90"/>
      <c r="C103" s="90"/>
      <c r="D103" s="90"/>
      <c r="E103" s="90"/>
      <c r="F103" s="90"/>
      <c r="G103" s="90"/>
      <c r="H103" s="90"/>
      <c r="I103" s="90"/>
      <c r="J103" s="46"/>
    </row>
    <row r="104" spans="1:10" ht="12.75">
      <c r="A104" s="124"/>
      <c r="B104" s="90"/>
      <c r="C104" s="90"/>
      <c r="D104" s="90"/>
      <c r="E104" s="90"/>
      <c r="F104" s="90"/>
      <c r="G104" s="90"/>
      <c r="H104" s="90"/>
      <c r="I104" s="90"/>
      <c r="J104" s="46"/>
    </row>
    <row r="105" spans="1:10" ht="12.75">
      <c r="A105" s="124"/>
      <c r="B105" s="90"/>
      <c r="C105" s="90"/>
      <c r="D105" s="90"/>
      <c r="E105" s="90"/>
      <c r="F105" s="90"/>
      <c r="G105" s="90"/>
      <c r="H105" s="90"/>
      <c r="I105" s="90"/>
      <c r="J105" s="46"/>
    </row>
    <row r="106" spans="1:10" ht="12.75">
      <c r="A106" s="124"/>
      <c r="B106" s="90"/>
      <c r="C106" s="90"/>
      <c r="D106" s="90"/>
      <c r="E106" s="90"/>
      <c r="F106" s="90"/>
      <c r="G106" s="90"/>
      <c r="H106" s="90"/>
      <c r="I106" s="90"/>
      <c r="J106" s="46"/>
    </row>
    <row r="107" spans="1:10" ht="12.75">
      <c r="A107" s="124"/>
      <c r="B107" s="90"/>
      <c r="C107" s="90"/>
      <c r="D107" s="90"/>
      <c r="E107" s="90"/>
      <c r="F107" s="90"/>
      <c r="G107" s="90"/>
      <c r="H107" s="90"/>
      <c r="I107" s="90"/>
      <c r="J107" s="46"/>
    </row>
    <row r="108" spans="1:10" ht="12.75">
      <c r="A108" s="124"/>
      <c r="B108" s="90"/>
      <c r="C108" s="90"/>
      <c r="D108" s="90"/>
      <c r="E108" s="90"/>
      <c r="F108" s="90"/>
      <c r="G108" s="90"/>
      <c r="H108" s="90"/>
      <c r="I108" s="90"/>
      <c r="J108" s="46"/>
    </row>
    <row r="109" spans="1:10" ht="12.75">
      <c r="A109" s="124"/>
      <c r="B109" s="90"/>
      <c r="C109" s="90"/>
      <c r="D109" s="90"/>
      <c r="E109" s="90"/>
      <c r="F109" s="90"/>
      <c r="G109" s="90"/>
      <c r="H109" s="90"/>
      <c r="I109" s="90"/>
      <c r="J109" s="46"/>
    </row>
    <row r="110" spans="1:10" ht="12.75">
      <c r="A110" s="124"/>
      <c r="B110" s="90"/>
      <c r="C110" s="90"/>
      <c r="D110" s="90"/>
      <c r="E110" s="90"/>
      <c r="F110" s="90"/>
      <c r="G110" s="90"/>
      <c r="H110" s="90"/>
      <c r="I110" s="90"/>
      <c r="J110" s="46"/>
    </row>
    <row r="111" spans="1:10" ht="12.75">
      <c r="A111" s="124"/>
      <c r="B111" s="90"/>
      <c r="C111" s="90"/>
      <c r="D111" s="90"/>
      <c r="E111" s="90"/>
      <c r="F111" s="90"/>
      <c r="G111" s="90"/>
      <c r="H111" s="90"/>
      <c r="I111" s="90"/>
      <c r="J111" s="46"/>
    </row>
    <row r="112" spans="1:10" ht="12.75">
      <c r="A112" s="125"/>
      <c r="B112" s="127"/>
      <c r="C112" s="127"/>
      <c r="D112" s="127"/>
      <c r="E112" s="127"/>
      <c r="F112" s="127"/>
      <c r="G112" s="127"/>
      <c r="H112" s="127"/>
      <c r="I112" s="127"/>
      <c r="J112" s="128"/>
    </row>
  </sheetData>
  <sheetProtection sheet="1" objects="1" scenarios="1"/>
  <mergeCells count="1">
    <mergeCell ref="AB28:AB29"/>
  </mergeCells>
  <dataValidations count="9">
    <dataValidation allowBlank="1" showInputMessage="1" showErrorMessage="1" prompt="Program automatically extracts gage from tabular data for Vulcraft roof deck." sqref="D18"/>
    <dataValidation allowBlank="1" showInputMessage="1" showErrorMessage="1" prompt="Program automatically extracts positive moment of inertia (Ip) from tabular data for Vulcraft roof deck." sqref="D20"/>
    <dataValidation allowBlank="1" showInputMessage="1" showErrorMessage="1" prompt="Program automatically extracts positive section modulus (Sp) from tabular data for Vulcraft roof deck." sqref="D23"/>
    <dataValidation allowBlank="1" showInputMessage="1" showErrorMessage="1" prompt="Program automatically extracts negative section modulus (Sp) from tabular data for Vulcraft roof deck." sqref="D24"/>
    <dataValidation type="list" allowBlank="1" showInputMessage="1" showErrorMessage="1" sqref="D11">
      <formula1>$L$5:$L$7</formula1>
    </dataValidation>
    <dataValidation type="list" allowBlank="1" showInputMessage="1" showErrorMessage="1" sqref="D9">
      <formula1>$AB$8:$AB$25</formula1>
    </dataValidation>
    <dataValidation type="list" allowBlank="1" showInputMessage="1" showErrorMessage="1" prompt="For Vulcraft steel roof deck, typical value of steel yield strength, 'Fyd', is 33 ksi." sqref="D10">
      <formula1>$L$8:$L$12</formula1>
    </dataValidation>
    <dataValidation allowBlank="1" showInputMessage="1" showErrorMessage="1" prompt="Program automatically extracts negative moment of inertia (In) from tabular data for Vulcraft roof deck." sqref="D21"/>
    <dataValidation allowBlank="1" showInputMessage="1" showErrorMessage="1" prompt="Input either a uniformly distributed roof live loading or a uniformly distributed roof snow loading." sqref="D14"/>
  </dataValidations>
  <printOptions/>
  <pageMargins left="1" right="0.5" top="1" bottom="1" header="0.5" footer="0.5"/>
  <pageSetup horizontalDpi="600" verticalDpi="600" orientation="portrait" scale="91" r:id="rId4"/>
  <headerFooter alignWithMargins="0">
    <oddHeader>&amp;R"ROOFDECK.xls" Program
Version 1.0</oddHeader>
    <oddFooter>&amp;C&amp;P of &amp;N&amp;R&amp;D  &amp;T</oddFooter>
  </headerFooter>
  <rowBreaks count="1" manualBreakCount="1">
    <brk id="56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7" customWidth="1"/>
    <col min="2" max="2" width="9.140625" style="67" customWidth="1"/>
    <col min="3" max="3" width="10.00390625" style="67" bestFit="1" customWidth="1"/>
    <col min="4" max="9" width="9.140625" style="67" customWidth="1"/>
    <col min="10" max="10" width="8.140625" style="73" customWidth="1"/>
    <col min="11" max="13" width="9.140625" style="7" hidden="1" customWidth="1"/>
    <col min="14" max="15" width="9.140625" style="204" hidden="1" customWidth="1"/>
    <col min="16" max="16" width="11.7109375" style="204" hidden="1" customWidth="1"/>
    <col min="17" max="23" width="9.140625" style="204" hidden="1" customWidth="1"/>
    <col min="24" max="26" width="9.140625" style="63" hidden="1" customWidth="1"/>
    <col min="27" max="27" width="9.140625" style="12" customWidth="1"/>
    <col min="28" max="30" width="9.140625" style="7" customWidth="1"/>
    <col min="31" max="31" width="10.7109375" style="7" customWidth="1"/>
    <col min="32" max="32" width="9.140625" style="7" customWidth="1"/>
    <col min="33" max="33" width="11.140625" style="7" customWidth="1"/>
    <col min="34" max="35" width="9.140625" style="7" customWidth="1"/>
    <col min="36" max="36" width="12.7109375" style="7" customWidth="1"/>
    <col min="37" max="37" width="9.140625" style="7" customWidth="1"/>
    <col min="38" max="38" width="12.7109375" style="7" customWidth="1"/>
    <col min="39" max="40" width="9.140625" style="12" customWidth="1"/>
    <col min="41" max="16384" width="9.140625" style="1" customWidth="1"/>
  </cols>
  <sheetData>
    <row r="1" spans="1:39" ht="15.75">
      <c r="A1" s="3" t="s">
        <v>21</v>
      </c>
      <c r="B1" s="4"/>
      <c r="C1" s="5"/>
      <c r="D1" s="5"/>
      <c r="E1" s="5"/>
      <c r="F1" s="5"/>
      <c r="G1" s="4"/>
      <c r="H1" s="4"/>
      <c r="I1" s="4"/>
      <c r="J1" s="6"/>
      <c r="M1" s="9"/>
      <c r="AA1" s="203" t="s">
        <v>95</v>
      </c>
      <c r="AD1" s="9"/>
      <c r="AM1" s="10"/>
    </row>
    <row r="2" spans="1:40" ht="12.75">
      <c r="A2" s="13" t="s">
        <v>446</v>
      </c>
      <c r="B2" s="14"/>
      <c r="C2" s="15"/>
      <c r="D2" s="14"/>
      <c r="E2" s="14"/>
      <c r="F2" s="14"/>
      <c r="G2" s="16"/>
      <c r="H2" s="16"/>
      <c r="I2" s="16"/>
      <c r="J2" s="17"/>
      <c r="AN2" s="18"/>
    </row>
    <row r="3" spans="1:40" ht="12.75">
      <c r="A3" s="19" t="s">
        <v>366</v>
      </c>
      <c r="B3" s="20"/>
      <c r="C3" s="20"/>
      <c r="D3" s="20"/>
      <c r="E3" s="20"/>
      <c r="F3" s="20"/>
      <c r="G3" s="21"/>
      <c r="H3" s="21"/>
      <c r="I3" s="21"/>
      <c r="J3" s="22"/>
      <c r="N3" s="211" t="s">
        <v>182</v>
      </c>
      <c r="AB3" s="23"/>
      <c r="AC3" s="24"/>
      <c r="AD3" s="23"/>
      <c r="AE3" s="25"/>
      <c r="AF3" s="24"/>
      <c r="AG3" s="24"/>
      <c r="AH3" s="23"/>
      <c r="AI3" s="23"/>
      <c r="AJ3" s="23"/>
      <c r="AN3" s="26"/>
    </row>
    <row r="4" spans="1:40" ht="12.75">
      <c r="A4" s="27" t="s">
        <v>10</v>
      </c>
      <c r="B4" s="28"/>
      <c r="C4" s="29"/>
      <c r="D4" s="29"/>
      <c r="E4" s="29"/>
      <c r="F4" s="30" t="s">
        <v>11</v>
      </c>
      <c r="G4" s="31"/>
      <c r="H4" s="32"/>
      <c r="I4" s="32"/>
      <c r="J4" s="33"/>
      <c r="M4" s="34"/>
      <c r="AB4" s="134" t="s">
        <v>137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6"/>
    </row>
    <row r="5" spans="1:40" ht="12.75">
      <c r="A5" s="27" t="s">
        <v>12</v>
      </c>
      <c r="B5" s="88"/>
      <c r="C5" s="38"/>
      <c r="D5" s="38"/>
      <c r="E5" s="38"/>
      <c r="F5" s="39" t="s">
        <v>13</v>
      </c>
      <c r="G5" s="31"/>
      <c r="H5" s="40"/>
      <c r="I5" s="41" t="s">
        <v>14</v>
      </c>
      <c r="J5" s="33"/>
      <c r="L5" s="36" t="s">
        <v>1</v>
      </c>
      <c r="M5" s="34"/>
      <c r="N5" s="206" t="s">
        <v>144</v>
      </c>
      <c r="O5" s="116"/>
      <c r="P5" s="116"/>
      <c r="Q5" s="116"/>
      <c r="R5" s="116"/>
      <c r="S5" s="116"/>
      <c r="T5" s="116"/>
      <c r="U5" s="116"/>
      <c r="V5" s="116"/>
      <c r="AB5" s="137" t="s">
        <v>96</v>
      </c>
      <c r="AC5" s="138"/>
      <c r="AD5" s="138"/>
      <c r="AE5" s="137" t="s">
        <v>97</v>
      </c>
      <c r="AF5" s="139" t="s">
        <v>98</v>
      </c>
      <c r="AG5" s="139" t="s">
        <v>99</v>
      </c>
      <c r="AH5" s="140" t="s">
        <v>100</v>
      </c>
      <c r="AI5" s="137" t="s">
        <v>101</v>
      </c>
      <c r="AJ5" s="139" t="s">
        <v>102</v>
      </c>
      <c r="AK5" s="137" t="s">
        <v>101</v>
      </c>
      <c r="AL5" s="139" t="s">
        <v>102</v>
      </c>
      <c r="AM5" s="139" t="s">
        <v>103</v>
      </c>
      <c r="AN5" s="137" t="s">
        <v>104</v>
      </c>
    </row>
    <row r="6" spans="1:40" ht="12.75">
      <c r="A6" s="44"/>
      <c r="B6" s="37"/>
      <c r="C6" s="37"/>
      <c r="D6" s="37"/>
      <c r="E6" s="37"/>
      <c r="F6" s="37"/>
      <c r="G6" s="37"/>
      <c r="H6" s="37"/>
      <c r="I6" s="45"/>
      <c r="J6" s="46"/>
      <c r="L6" s="36" t="s">
        <v>2</v>
      </c>
      <c r="M6" s="34"/>
      <c r="N6" s="194" t="s">
        <v>183</v>
      </c>
      <c r="O6" s="92">
        <f>30</f>
        <v>30</v>
      </c>
      <c r="P6" s="116" t="s">
        <v>5</v>
      </c>
      <c r="Q6" s="116" t="s">
        <v>92</v>
      </c>
      <c r="R6" s="116"/>
      <c r="S6" s="116"/>
      <c r="V6" s="116"/>
      <c r="AB6" s="139" t="s">
        <v>105</v>
      </c>
      <c r="AC6" s="139" t="s">
        <v>106</v>
      </c>
      <c r="AD6" s="139" t="s">
        <v>107</v>
      </c>
      <c r="AE6" s="140" t="s">
        <v>108</v>
      </c>
      <c r="AF6" s="139" t="s">
        <v>109</v>
      </c>
      <c r="AG6" s="139" t="s">
        <v>110</v>
      </c>
      <c r="AH6" s="140" t="s">
        <v>111</v>
      </c>
      <c r="AI6" s="140" t="s">
        <v>126</v>
      </c>
      <c r="AJ6" s="140" t="s">
        <v>112</v>
      </c>
      <c r="AK6" s="140" t="s">
        <v>127</v>
      </c>
      <c r="AL6" s="140" t="s">
        <v>113</v>
      </c>
      <c r="AM6" s="140" t="s">
        <v>114</v>
      </c>
      <c r="AN6" s="139" t="s">
        <v>128</v>
      </c>
    </row>
    <row r="7" spans="1:40" ht="12.75">
      <c r="A7" s="47" t="s">
        <v>15</v>
      </c>
      <c r="B7" s="37"/>
      <c r="C7" s="37"/>
      <c r="D7" s="37"/>
      <c r="E7" s="37"/>
      <c r="F7" s="37"/>
      <c r="G7" s="37"/>
      <c r="H7" s="37"/>
      <c r="I7" s="48"/>
      <c r="J7" s="46"/>
      <c r="L7" s="36" t="s">
        <v>3</v>
      </c>
      <c r="M7" s="34"/>
      <c r="N7" s="206" t="s">
        <v>87</v>
      </c>
      <c r="O7" s="208"/>
      <c r="P7" s="116"/>
      <c r="Q7" s="116"/>
      <c r="R7" s="116"/>
      <c r="S7" s="116"/>
      <c r="T7" s="116"/>
      <c r="U7" s="116"/>
      <c r="V7" s="116"/>
      <c r="AB7" s="141"/>
      <c r="AC7" s="141"/>
      <c r="AD7" s="142" t="s">
        <v>115</v>
      </c>
      <c r="AE7" s="143" t="s">
        <v>116</v>
      </c>
      <c r="AF7" s="142" t="s">
        <v>115</v>
      </c>
      <c r="AG7" s="142" t="s">
        <v>115</v>
      </c>
      <c r="AH7" s="142" t="s">
        <v>115</v>
      </c>
      <c r="AI7" s="142" t="s">
        <v>117</v>
      </c>
      <c r="AJ7" s="142" t="s">
        <v>118</v>
      </c>
      <c r="AK7" s="142" t="s">
        <v>117</v>
      </c>
      <c r="AL7" s="142" t="s">
        <v>118</v>
      </c>
      <c r="AM7" s="142" t="s">
        <v>119</v>
      </c>
      <c r="AN7" s="142" t="s">
        <v>120</v>
      </c>
    </row>
    <row r="8" spans="1:40" ht="12.75">
      <c r="A8" s="53"/>
      <c r="B8" s="90"/>
      <c r="C8" s="90"/>
      <c r="D8" s="90"/>
      <c r="E8" s="90"/>
      <c r="F8" s="37"/>
      <c r="G8" s="37"/>
      <c r="H8" s="37"/>
      <c r="I8" s="37"/>
      <c r="J8" s="46"/>
      <c r="L8" s="86">
        <v>33</v>
      </c>
      <c r="M8" s="83"/>
      <c r="N8" s="212" t="s">
        <v>199</v>
      </c>
      <c r="O8" s="196">
        <f>IF($D$11="1-Span",0.125*(1.2*$D$19+1.4*$O$6)/1000*$D$12^2,IF($D$11="2-Span",0.07*(1.2*$D$19+1.4*$O$6)/1000*$D$12^2,IF($D$11="3-Span",0.08*(1.2*$D$19+1.4*$O$6)/1000*$D$12^2)))</f>
        <v>0.12711168</v>
      </c>
      <c r="P8" s="116" t="s">
        <v>6</v>
      </c>
      <c r="Q8" s="116" t="str">
        <f>IF($D$11="1-Span","+Mu = 0.125*(1.2*wd+1.4*wc)/1000*L^2",IF($D$11="2-Span","+Mu = 0.07*(1.2*wd+1.4*wc)/1000*L^2",IF($D$11="3-Span","+Mu = 0.08*(1.2*wd+1.4*wc)/1000*L^2")))</f>
        <v>+Mu = 0.08*(1.2*wd+1.4*wc)/1000*L^2</v>
      </c>
      <c r="R8" s="116"/>
      <c r="S8" s="116"/>
      <c r="V8" s="116"/>
      <c r="AB8" s="147" t="s">
        <v>125</v>
      </c>
      <c r="AC8" s="150">
        <v>22</v>
      </c>
      <c r="AD8" s="153">
        <v>0.0295</v>
      </c>
      <c r="AE8" s="156">
        <v>1.78</v>
      </c>
      <c r="AF8" s="150">
        <v>1.5</v>
      </c>
      <c r="AG8" s="150">
        <v>2.5</v>
      </c>
      <c r="AH8" s="150">
        <v>6</v>
      </c>
      <c r="AI8" s="144">
        <v>0.155</v>
      </c>
      <c r="AJ8" s="144">
        <v>0.186</v>
      </c>
      <c r="AK8" s="144">
        <v>0.183</v>
      </c>
      <c r="AL8" s="144">
        <v>0.192</v>
      </c>
      <c r="AM8" s="162">
        <v>33</v>
      </c>
      <c r="AN8" s="159">
        <v>1818</v>
      </c>
    </row>
    <row r="9" spans="1:40" ht="12.75">
      <c r="A9" s="76"/>
      <c r="B9" s="54"/>
      <c r="C9" s="2" t="s">
        <v>60</v>
      </c>
      <c r="D9" s="165" t="s">
        <v>125</v>
      </c>
      <c r="E9" s="93"/>
      <c r="F9" s="58"/>
      <c r="G9" s="58"/>
      <c r="H9" s="58"/>
      <c r="I9" s="132"/>
      <c r="J9" s="130"/>
      <c r="L9" s="86">
        <v>40</v>
      </c>
      <c r="M9" s="84"/>
      <c r="N9" s="212" t="s">
        <v>200</v>
      </c>
      <c r="O9" s="196">
        <f>IF($D$11="1-Span","N.A.",IF($D$11="2-Span",0.125*(1.2*$D$19+1.4*$O$6)/1000*$D$12^2,IF($D$11="3-Span",0.1*(1.2*$D$19+1.4*$O$6)/1000*$D$12^2)))</f>
        <v>0.15888960000000005</v>
      </c>
      <c r="P9" s="116" t="s">
        <v>6</v>
      </c>
      <c r="Q9" s="116" t="str">
        <f>IF($D$11="1-Span","-Mu = N.A. (for 1-Span condition)",IF($D$11="2-Span","-Mu = 0.125*(1.2*wd+1.4*wc)/1000*L^2",IF($D$11="3-Span","-Mu = 0.1*(1.2*wd+1.4*wc)/1000*L^2")))</f>
        <v>-Mu = 0.1*(1.2*wd+1.4*wc)/1000*L^2</v>
      </c>
      <c r="R9" s="116"/>
      <c r="S9" s="116"/>
      <c r="V9" s="116"/>
      <c r="AB9" s="148" t="s">
        <v>124</v>
      </c>
      <c r="AC9" s="151">
        <v>20</v>
      </c>
      <c r="AD9" s="154">
        <v>0.0358</v>
      </c>
      <c r="AE9" s="157">
        <v>2.14</v>
      </c>
      <c r="AF9" s="151">
        <v>1.5</v>
      </c>
      <c r="AG9" s="151">
        <v>2.5</v>
      </c>
      <c r="AH9" s="151">
        <v>6</v>
      </c>
      <c r="AI9" s="145">
        <v>0.201</v>
      </c>
      <c r="AJ9" s="145">
        <v>0.234</v>
      </c>
      <c r="AK9" s="145">
        <v>0.222</v>
      </c>
      <c r="AL9" s="145">
        <v>0.247</v>
      </c>
      <c r="AM9" s="163">
        <v>33</v>
      </c>
      <c r="AN9" s="160">
        <v>2193</v>
      </c>
    </row>
    <row r="10" spans="1:40" ht="12.75">
      <c r="A10" s="77"/>
      <c r="B10" s="56"/>
      <c r="C10" s="2" t="s">
        <v>19</v>
      </c>
      <c r="D10" s="79">
        <v>33</v>
      </c>
      <c r="E10" s="93" t="s">
        <v>7</v>
      </c>
      <c r="F10" s="58"/>
      <c r="G10" s="58"/>
      <c r="H10" s="58"/>
      <c r="I10" s="61"/>
      <c r="J10" s="131"/>
      <c r="L10" s="86">
        <v>50</v>
      </c>
      <c r="M10" s="85"/>
      <c r="N10" s="206" t="s">
        <v>88</v>
      </c>
      <c r="O10" s="194"/>
      <c r="P10" s="116"/>
      <c r="Q10" s="116"/>
      <c r="R10" s="116"/>
      <c r="S10" s="116"/>
      <c r="T10" s="116"/>
      <c r="U10" s="116"/>
      <c r="V10" s="116"/>
      <c r="AA10" s="55"/>
      <c r="AB10" s="148" t="s">
        <v>123</v>
      </c>
      <c r="AC10" s="151">
        <v>19</v>
      </c>
      <c r="AD10" s="154">
        <v>0.0418</v>
      </c>
      <c r="AE10" s="157">
        <v>2.49</v>
      </c>
      <c r="AF10" s="151">
        <v>1.5</v>
      </c>
      <c r="AG10" s="151">
        <v>2.5</v>
      </c>
      <c r="AH10" s="151">
        <v>6</v>
      </c>
      <c r="AI10" s="145">
        <v>0.246</v>
      </c>
      <c r="AJ10" s="145">
        <v>0.277</v>
      </c>
      <c r="AK10" s="145">
        <v>0.26</v>
      </c>
      <c r="AL10" s="145">
        <v>0.289</v>
      </c>
      <c r="AM10" s="163">
        <v>33</v>
      </c>
      <c r="AN10" s="160">
        <v>2546</v>
      </c>
    </row>
    <row r="11" spans="1:40" ht="12.75">
      <c r="A11" s="77"/>
      <c r="B11" s="54"/>
      <c r="C11" s="82" t="s">
        <v>20</v>
      </c>
      <c r="D11" s="79" t="s">
        <v>3</v>
      </c>
      <c r="E11" s="93"/>
      <c r="F11" s="58"/>
      <c r="G11" s="58"/>
      <c r="H11" s="58"/>
      <c r="I11" s="132"/>
      <c r="J11" s="130"/>
      <c r="L11" s="86">
        <v>60</v>
      </c>
      <c r="M11" s="85"/>
      <c r="N11" s="194" t="s">
        <v>206</v>
      </c>
      <c r="O11" s="92">
        <f>0.95*$D$10</f>
        <v>31.349999999999998</v>
      </c>
      <c r="P11" s="116" t="s">
        <v>7</v>
      </c>
      <c r="Q11" s="116" t="s">
        <v>210</v>
      </c>
      <c r="R11" s="116"/>
      <c r="S11" s="197"/>
      <c r="T11" s="116"/>
      <c r="AA11" s="57"/>
      <c r="AB11" s="148" t="s">
        <v>122</v>
      </c>
      <c r="AC11" s="151">
        <v>18</v>
      </c>
      <c r="AD11" s="154">
        <v>0.0474</v>
      </c>
      <c r="AE11" s="157">
        <v>2.82</v>
      </c>
      <c r="AF11" s="151">
        <v>1.5</v>
      </c>
      <c r="AG11" s="151">
        <v>2.5</v>
      </c>
      <c r="AH11" s="151">
        <v>6</v>
      </c>
      <c r="AI11" s="145">
        <v>0.289</v>
      </c>
      <c r="AJ11" s="145">
        <v>0.318</v>
      </c>
      <c r="AK11" s="145">
        <v>0.295</v>
      </c>
      <c r="AL11" s="145">
        <v>0.327</v>
      </c>
      <c r="AM11" s="163">
        <v>33</v>
      </c>
      <c r="AN11" s="160">
        <v>2870</v>
      </c>
    </row>
    <row r="12" spans="1:40" ht="12.75">
      <c r="A12" s="77"/>
      <c r="B12" s="49"/>
      <c r="C12" s="82" t="s">
        <v>0</v>
      </c>
      <c r="D12" s="80">
        <v>6</v>
      </c>
      <c r="E12" s="93" t="s">
        <v>4</v>
      </c>
      <c r="F12" s="58"/>
      <c r="G12" s="58"/>
      <c r="H12" s="58"/>
      <c r="I12" s="61"/>
      <c r="J12" s="131"/>
      <c r="L12" s="86">
        <v>80</v>
      </c>
      <c r="M12" s="85"/>
      <c r="N12" s="212" t="s">
        <v>207</v>
      </c>
      <c r="O12" s="92">
        <f>$O$8*12/$D$23</f>
        <v>8.200753548387096</v>
      </c>
      <c r="P12" s="116" t="s">
        <v>7</v>
      </c>
      <c r="Q12" s="209" t="s">
        <v>288</v>
      </c>
      <c r="R12" s="116"/>
      <c r="S12" s="198"/>
      <c r="T12" s="116"/>
      <c r="AA12" s="57"/>
      <c r="AB12" s="148" t="s">
        <v>121</v>
      </c>
      <c r="AC12" s="151">
        <v>16</v>
      </c>
      <c r="AD12" s="154">
        <v>0.0598</v>
      </c>
      <c r="AE12" s="157">
        <v>3.54</v>
      </c>
      <c r="AF12" s="151">
        <v>1.5</v>
      </c>
      <c r="AG12" s="151">
        <v>2.5</v>
      </c>
      <c r="AH12" s="151">
        <v>6</v>
      </c>
      <c r="AI12" s="145">
        <v>0.373</v>
      </c>
      <c r="AJ12" s="145">
        <v>0.408</v>
      </c>
      <c r="AK12" s="145">
        <v>0.373</v>
      </c>
      <c r="AL12" s="145">
        <v>0.411</v>
      </c>
      <c r="AM12" s="163">
        <v>33</v>
      </c>
      <c r="AN12" s="160">
        <v>3578</v>
      </c>
    </row>
    <row r="13" spans="1:40" ht="12.75">
      <c r="A13" s="76"/>
      <c r="B13" s="49"/>
      <c r="C13" s="82" t="s">
        <v>158</v>
      </c>
      <c r="D13" s="81">
        <v>5</v>
      </c>
      <c r="E13" s="93" t="s">
        <v>5</v>
      </c>
      <c r="F13" s="58"/>
      <c r="G13" s="58"/>
      <c r="H13" s="58"/>
      <c r="I13" s="132"/>
      <c r="J13" s="130"/>
      <c r="M13" s="85"/>
      <c r="N13" s="212" t="s">
        <v>208</v>
      </c>
      <c r="O13" s="92">
        <f>IF($D$11="1-Span","N.A.",$O$9*12/$D$24)</f>
        <v>9.930600000000002</v>
      </c>
      <c r="P13" s="116" t="s">
        <v>7</v>
      </c>
      <c r="Q13" s="209" t="s">
        <v>289</v>
      </c>
      <c r="R13" s="116"/>
      <c r="S13" s="197"/>
      <c r="T13" s="116"/>
      <c r="AA13" s="57"/>
      <c r="AB13" s="147" t="s">
        <v>132</v>
      </c>
      <c r="AC13" s="150">
        <v>22</v>
      </c>
      <c r="AD13" s="153">
        <v>0.0295</v>
      </c>
      <c r="AE13" s="156">
        <v>1.73</v>
      </c>
      <c r="AF13" s="150">
        <v>1.5</v>
      </c>
      <c r="AG13" s="150">
        <v>1.75</v>
      </c>
      <c r="AH13" s="150">
        <v>6</v>
      </c>
      <c r="AI13" s="144">
        <v>0.113</v>
      </c>
      <c r="AJ13" s="144">
        <v>0.112</v>
      </c>
      <c r="AK13" s="144">
        <v>0.129</v>
      </c>
      <c r="AL13" s="144">
        <v>0.121</v>
      </c>
      <c r="AM13" s="162">
        <v>33</v>
      </c>
      <c r="AN13" s="159">
        <v>1944</v>
      </c>
    </row>
    <row r="14" spans="1:40" ht="12.75">
      <c r="A14" s="53"/>
      <c r="B14" s="58"/>
      <c r="C14" s="82" t="s">
        <v>159</v>
      </c>
      <c r="D14" s="91">
        <v>30</v>
      </c>
      <c r="E14" s="93" t="s">
        <v>5</v>
      </c>
      <c r="F14" s="58"/>
      <c r="G14" s="58"/>
      <c r="H14" s="58"/>
      <c r="I14" s="61"/>
      <c r="J14" s="131"/>
      <c r="M14" s="85"/>
      <c r="N14" s="194" t="s">
        <v>209</v>
      </c>
      <c r="O14" s="92">
        <f>MAX($O$12,$O$13)</f>
        <v>9.930600000000002</v>
      </c>
      <c r="P14" s="116" t="s">
        <v>7</v>
      </c>
      <c r="Q14" s="116" t="s">
        <v>211</v>
      </c>
      <c r="R14" s="116"/>
      <c r="S14" s="197"/>
      <c r="T14" s="116"/>
      <c r="AA14" s="57"/>
      <c r="AB14" s="148" t="s">
        <v>131</v>
      </c>
      <c r="AC14" s="151">
        <v>20</v>
      </c>
      <c r="AD14" s="154">
        <v>0.0358</v>
      </c>
      <c r="AE14" s="157">
        <v>2.09</v>
      </c>
      <c r="AF14" s="151">
        <v>1.5</v>
      </c>
      <c r="AG14" s="151">
        <v>1.75</v>
      </c>
      <c r="AH14" s="151">
        <v>6</v>
      </c>
      <c r="AI14" s="145">
        <v>0.145</v>
      </c>
      <c r="AJ14" s="145">
        <v>0.139</v>
      </c>
      <c r="AK14" s="145">
        <v>0.157</v>
      </c>
      <c r="AL14" s="145">
        <v>0.148</v>
      </c>
      <c r="AM14" s="163">
        <v>33</v>
      </c>
      <c r="AN14" s="160">
        <v>2347</v>
      </c>
    </row>
    <row r="15" spans="1:40" ht="12.75">
      <c r="A15" s="53"/>
      <c r="B15" s="49"/>
      <c r="C15" s="58"/>
      <c r="D15" s="58"/>
      <c r="E15" s="58"/>
      <c r="F15" s="58"/>
      <c r="G15" s="58"/>
      <c r="H15" s="58"/>
      <c r="I15" s="132"/>
      <c r="J15" s="130"/>
      <c r="M15" s="85"/>
      <c r="N15" s="194" t="s">
        <v>189</v>
      </c>
      <c r="O15" s="196">
        <f>$O$14/$O$11</f>
        <v>0.31676555023923453</v>
      </c>
      <c r="P15" s="116"/>
      <c r="Q15" s="116" t="s">
        <v>295</v>
      </c>
      <c r="R15" s="116"/>
      <c r="S15" s="197"/>
      <c r="T15" s="116"/>
      <c r="AA15" s="57"/>
      <c r="AB15" s="148" t="s">
        <v>130</v>
      </c>
      <c r="AC15" s="151">
        <v>19</v>
      </c>
      <c r="AD15" s="154">
        <v>0.0418</v>
      </c>
      <c r="AE15" s="157">
        <v>2.42</v>
      </c>
      <c r="AF15" s="151">
        <v>1.5</v>
      </c>
      <c r="AG15" s="151">
        <v>1.75</v>
      </c>
      <c r="AH15" s="151">
        <v>6</v>
      </c>
      <c r="AI15" s="145">
        <v>0.177</v>
      </c>
      <c r="AJ15" s="145">
        <v>0.166</v>
      </c>
      <c r="AK15" s="145">
        <v>0.183</v>
      </c>
      <c r="AL15" s="145">
        <v>0.172</v>
      </c>
      <c r="AM15" s="163">
        <v>33</v>
      </c>
      <c r="AN15" s="160">
        <v>2726</v>
      </c>
    </row>
    <row r="16" spans="1:40" ht="12.75">
      <c r="A16" s="101" t="s">
        <v>143</v>
      </c>
      <c r="B16" s="49"/>
      <c r="C16" s="58"/>
      <c r="D16" s="58"/>
      <c r="E16" s="58"/>
      <c r="F16" s="58"/>
      <c r="G16" s="129"/>
      <c r="H16" s="103"/>
      <c r="I16" s="103"/>
      <c r="J16" s="102"/>
      <c r="L16" s="62"/>
      <c r="M16" s="85"/>
      <c r="N16" s="206" t="s">
        <v>145</v>
      </c>
      <c r="O16" s="197"/>
      <c r="P16" s="197"/>
      <c r="Q16" s="198"/>
      <c r="R16" s="197"/>
      <c r="S16" s="116"/>
      <c r="T16" s="197"/>
      <c r="U16" s="197"/>
      <c r="V16" s="116"/>
      <c r="AA16" s="57"/>
      <c r="AB16" s="149" t="s">
        <v>129</v>
      </c>
      <c r="AC16" s="152">
        <v>18</v>
      </c>
      <c r="AD16" s="155">
        <v>0.0474</v>
      </c>
      <c r="AE16" s="158">
        <v>2.74</v>
      </c>
      <c r="AF16" s="152">
        <v>1.5</v>
      </c>
      <c r="AG16" s="152">
        <v>1.75</v>
      </c>
      <c r="AH16" s="152">
        <v>6</v>
      </c>
      <c r="AI16" s="146">
        <v>0.206</v>
      </c>
      <c r="AJ16" s="146">
        <v>0.19</v>
      </c>
      <c r="AK16" s="146">
        <v>0.208</v>
      </c>
      <c r="AL16" s="146">
        <v>0.195</v>
      </c>
      <c r="AM16" s="164">
        <v>33</v>
      </c>
      <c r="AN16" s="161">
        <v>3077</v>
      </c>
    </row>
    <row r="17" spans="1:40" ht="12.75">
      <c r="A17" s="76"/>
      <c r="B17" s="58"/>
      <c r="C17" s="58"/>
      <c r="D17" s="58"/>
      <c r="E17" s="93"/>
      <c r="F17" s="58"/>
      <c r="G17" s="58"/>
      <c r="H17" s="58"/>
      <c r="I17" s="58"/>
      <c r="J17" s="133"/>
      <c r="L17" s="62"/>
      <c r="M17" s="85"/>
      <c r="N17" s="208" t="s">
        <v>192</v>
      </c>
      <c r="O17" s="205">
        <f>IF($D$11="1-Span",0.013*$O$6/12000*($D$12*12)^4/($D$25*$D$20),IF($D$11="2-Span",0.0054*$O$6/12000*($D$12*12)^4/($D$25*$D$22),IF($D$11="3-Span",0.0069*$O$6/12000*($D$12*12)^4/($D$25*$D$22))))</f>
        <v>0.09298445812857287</v>
      </c>
      <c r="P17" s="116" t="s">
        <v>71</v>
      </c>
      <c r="Q17" s="116" t="str">
        <f>IF($D$11="1-Span","Δ(max) = 0.013*wc/12000*(L*12)^4/(E*Ip)",IF($D$11="2-Span","Δ(max) = 0.0054*wc/12000*(L*12)^4/(E*Ip)",IF($D$11="3-Span","Δ(max) = 0.0069*wc/12000*(L*12)^4/(E*Ip)")))</f>
        <v>Δ(max) = 0.0069*wc/12000*(L*12)^4/(E*Ip)</v>
      </c>
      <c r="R17" s="116" t="str">
        <f>IF($D$11="1-Span","Δ(max) = 0.013*wc/12000*(L*12)^4/(E*Ip)",IF($D$11="2-Span","Δ(max) = 0.0054*wc/12000*(L*12)^4/(E*Ip)",IF($D$11="3-Span","Δ(max) = 0.0069*wc/12000*(L*12)^4/(E*Ip)")))</f>
        <v>Δ(max) = 0.0069*wc/12000*(L*12)^4/(E*Ip)</v>
      </c>
      <c r="S17" s="197"/>
      <c r="T17" s="116"/>
      <c r="AA17" s="57"/>
      <c r="AB17" s="147" t="s">
        <v>136</v>
      </c>
      <c r="AC17" s="150">
        <v>22</v>
      </c>
      <c r="AD17" s="153">
        <v>0.0295</v>
      </c>
      <c r="AE17" s="156">
        <v>1.8</v>
      </c>
      <c r="AF17" s="150">
        <v>1.5</v>
      </c>
      <c r="AG17" s="150">
        <v>1</v>
      </c>
      <c r="AH17" s="150">
        <v>6</v>
      </c>
      <c r="AI17" s="144">
        <v>0.104</v>
      </c>
      <c r="AJ17" s="144">
        <v>0.098</v>
      </c>
      <c r="AK17" s="144">
        <v>0.12</v>
      </c>
      <c r="AL17" s="144">
        <v>0.106</v>
      </c>
      <c r="AM17" s="162">
        <v>33</v>
      </c>
      <c r="AN17" s="159">
        <v>1700</v>
      </c>
    </row>
    <row r="18" spans="1:40" ht="12.75">
      <c r="A18" s="78"/>
      <c r="B18" s="58"/>
      <c r="C18" s="2" t="s">
        <v>9</v>
      </c>
      <c r="D18" s="166">
        <f>VLOOKUP($D$9,$AB$8:$AN$25,2,FALSE)</f>
        <v>22</v>
      </c>
      <c r="E18" s="58"/>
      <c r="F18" s="58"/>
      <c r="G18" s="58"/>
      <c r="H18" s="58"/>
      <c r="I18" s="58"/>
      <c r="J18" s="52"/>
      <c r="L18" s="62"/>
      <c r="M18" s="85"/>
      <c r="N18" s="208" t="s">
        <v>278</v>
      </c>
      <c r="O18" s="205">
        <f>MIN($D$12*12/240,1)</f>
        <v>0.3</v>
      </c>
      <c r="P18" s="116" t="s">
        <v>71</v>
      </c>
      <c r="Q18" s="210" t="s">
        <v>385</v>
      </c>
      <c r="R18" s="197"/>
      <c r="S18" s="72"/>
      <c r="T18" s="116"/>
      <c r="AA18" s="57"/>
      <c r="AB18" s="148" t="s">
        <v>135</v>
      </c>
      <c r="AC18" s="151">
        <v>20</v>
      </c>
      <c r="AD18" s="154">
        <v>0.0358</v>
      </c>
      <c r="AE18" s="157">
        <v>2.16</v>
      </c>
      <c r="AF18" s="151">
        <v>1.5</v>
      </c>
      <c r="AG18" s="151">
        <v>1</v>
      </c>
      <c r="AH18" s="151">
        <v>6</v>
      </c>
      <c r="AI18" s="145">
        <v>0.134</v>
      </c>
      <c r="AJ18" s="145">
        <v>0.122</v>
      </c>
      <c r="AK18" s="145">
        <v>0.145</v>
      </c>
      <c r="AL18" s="145">
        <v>0.13</v>
      </c>
      <c r="AM18" s="163">
        <v>33</v>
      </c>
      <c r="AN18" s="160">
        <v>2049</v>
      </c>
    </row>
    <row r="19" spans="1:40" ht="12.75">
      <c r="A19" s="53"/>
      <c r="B19" s="58"/>
      <c r="C19" s="49" t="s">
        <v>157</v>
      </c>
      <c r="D19" s="108">
        <f>VLOOKUP($D$9,$AB$8:$AN$25,4,FALSE)</f>
        <v>1.78</v>
      </c>
      <c r="E19" s="93" t="s">
        <v>5</v>
      </c>
      <c r="F19" s="58"/>
      <c r="G19" s="58"/>
      <c r="H19" s="58"/>
      <c r="I19" s="58"/>
      <c r="J19" s="102"/>
      <c r="L19" s="62"/>
      <c r="M19" s="85"/>
      <c r="N19" s="206" t="s">
        <v>84</v>
      </c>
      <c r="O19" s="10"/>
      <c r="P19" s="197"/>
      <c r="Q19" s="116"/>
      <c r="R19" s="116"/>
      <c r="S19" s="116"/>
      <c r="T19" s="116"/>
      <c r="U19" s="116"/>
      <c r="V19" s="116"/>
      <c r="AA19" s="57"/>
      <c r="AB19" s="148" t="s">
        <v>134</v>
      </c>
      <c r="AC19" s="151">
        <v>19</v>
      </c>
      <c r="AD19" s="154">
        <v>0.0418</v>
      </c>
      <c r="AE19" s="157">
        <v>2.51</v>
      </c>
      <c r="AF19" s="151">
        <v>1.5</v>
      </c>
      <c r="AG19" s="151">
        <v>1</v>
      </c>
      <c r="AH19" s="151">
        <v>6</v>
      </c>
      <c r="AI19" s="145">
        <v>0.163</v>
      </c>
      <c r="AJ19" s="145">
        <v>0.145</v>
      </c>
      <c r="AK19" s="145">
        <v>0.17</v>
      </c>
      <c r="AL19" s="145">
        <v>0.152</v>
      </c>
      <c r="AM19" s="163">
        <v>33</v>
      </c>
      <c r="AN19" s="160">
        <v>2377</v>
      </c>
    </row>
    <row r="20" spans="1:40" ht="12.75">
      <c r="A20" s="53"/>
      <c r="B20" s="58"/>
      <c r="C20" s="82" t="s">
        <v>73</v>
      </c>
      <c r="D20" s="167">
        <f>VLOOKUP($D$9,$AB$8:$AN$25,8,FALSE)</f>
        <v>0.155</v>
      </c>
      <c r="E20" s="93" t="s">
        <v>72</v>
      </c>
      <c r="F20" s="58" t="s">
        <v>417</v>
      </c>
      <c r="G20" s="58"/>
      <c r="H20" s="58"/>
      <c r="I20" s="58"/>
      <c r="J20" s="52"/>
      <c r="L20" s="62"/>
      <c r="M20" s="85"/>
      <c r="N20" s="207" t="s">
        <v>194</v>
      </c>
      <c r="O20" s="195">
        <f>200</f>
        <v>200</v>
      </c>
      <c r="P20" s="116" t="s">
        <v>77</v>
      </c>
      <c r="Q20" s="116" t="s">
        <v>94</v>
      </c>
      <c r="R20" s="116"/>
      <c r="S20" s="116"/>
      <c r="T20" s="116"/>
      <c r="V20" s="116"/>
      <c r="AA20" s="57"/>
      <c r="AB20" s="149" t="s">
        <v>133</v>
      </c>
      <c r="AC20" s="152">
        <v>18</v>
      </c>
      <c r="AD20" s="155">
        <v>0.0474</v>
      </c>
      <c r="AE20" s="158">
        <v>2.84</v>
      </c>
      <c r="AF20" s="152">
        <v>1.5</v>
      </c>
      <c r="AG20" s="152">
        <v>1</v>
      </c>
      <c r="AH20" s="152">
        <v>6</v>
      </c>
      <c r="AI20" s="146">
        <v>0.19</v>
      </c>
      <c r="AJ20" s="146">
        <v>0.167</v>
      </c>
      <c r="AK20" s="146">
        <v>0.193</v>
      </c>
      <c r="AL20" s="146">
        <v>0.172</v>
      </c>
      <c r="AM20" s="164">
        <v>33</v>
      </c>
      <c r="AN20" s="161">
        <v>2679</v>
      </c>
    </row>
    <row r="21" spans="1:40" ht="12.75">
      <c r="A21" s="53"/>
      <c r="B21" s="58"/>
      <c r="C21" s="82" t="s">
        <v>303</v>
      </c>
      <c r="D21" s="167">
        <f>VLOOKUP($D$9,$AB$8:$AN$25,10,FALSE)</f>
        <v>0.183</v>
      </c>
      <c r="E21" s="93" t="s">
        <v>72</v>
      </c>
      <c r="F21" s="58" t="s">
        <v>418</v>
      </c>
      <c r="G21" s="58"/>
      <c r="H21" s="58"/>
      <c r="I21" s="58"/>
      <c r="J21" s="52"/>
      <c r="L21" s="62"/>
      <c r="M21" s="85"/>
      <c r="N21" s="194" t="s">
        <v>193</v>
      </c>
      <c r="O21" s="92">
        <f>IF($D$11="1-Span",(($D$25*$D$20/(0.020833*$O$20/1000*240))^(1/2))/12,IF($D$11="2-Span",(($D$25*$D$22/(0.015012*$O$20/1000*240))^(1/2))/12,IF($D$11="3-Span",(($D$25*$D$22/(0.014627*$O$20/1000*240))^(1/2))/12)))</f>
        <v>7.022227008672192</v>
      </c>
      <c r="P21" s="116" t="s">
        <v>4</v>
      </c>
      <c r="Q21" s="197" t="str">
        <f>IF($D$11="1-Span","Lc(max) = ((E*Ip/(0.020833*Pc/1000*240))^(1/2))/12",IF($D$11="2-Span","Lc(max) = ((E*I/(0.015012*Pc/1000*240))^(1/2))/12",IF($D$11="3-Span","Lc(max) = ((E*I/(0.014627*Pc/1000*240))^(1/2))/12")))</f>
        <v>Lc(max) = ((E*I/(0.014627*Pc/1000*240))^(1/2))/12</v>
      </c>
      <c r="R21" s="197"/>
      <c r="S21" s="116"/>
      <c r="T21" s="116"/>
      <c r="AA21" s="57"/>
      <c r="AB21" s="147" t="s">
        <v>142</v>
      </c>
      <c r="AC21" s="150">
        <v>22</v>
      </c>
      <c r="AD21" s="153">
        <v>0.0295</v>
      </c>
      <c r="AE21" s="156">
        <v>2.26</v>
      </c>
      <c r="AF21" s="150">
        <v>3</v>
      </c>
      <c r="AG21" s="150">
        <v>2.625</v>
      </c>
      <c r="AH21" s="150">
        <v>8</v>
      </c>
      <c r="AI21" s="144">
        <v>0.659</v>
      </c>
      <c r="AJ21" s="144">
        <v>0.382</v>
      </c>
      <c r="AK21" s="144">
        <v>0.884</v>
      </c>
      <c r="AL21" s="144">
        <v>0.433</v>
      </c>
      <c r="AM21" s="162">
        <v>33</v>
      </c>
      <c r="AN21" s="159">
        <v>2232</v>
      </c>
    </row>
    <row r="22" spans="1:40" ht="12.75">
      <c r="A22" s="53"/>
      <c r="B22" s="58"/>
      <c r="C22" s="171" t="s">
        <v>280</v>
      </c>
      <c r="D22" s="167">
        <f>($D$20+$D$21)/2</f>
        <v>0.16899999999999998</v>
      </c>
      <c r="E22" s="93" t="s">
        <v>72</v>
      </c>
      <c r="F22" s="173" t="s">
        <v>161</v>
      </c>
      <c r="G22" s="58"/>
      <c r="H22" s="58"/>
      <c r="I22" s="58"/>
      <c r="J22" s="52"/>
      <c r="N22" s="206" t="s">
        <v>82</v>
      </c>
      <c r="O22" s="197"/>
      <c r="P22" s="207"/>
      <c r="Q22" s="195"/>
      <c r="R22" s="116"/>
      <c r="S22" s="116"/>
      <c r="T22" s="116"/>
      <c r="U22" s="116"/>
      <c r="AA22" s="57"/>
      <c r="AB22" s="148" t="s">
        <v>141</v>
      </c>
      <c r="AC22" s="151">
        <v>20</v>
      </c>
      <c r="AD22" s="154">
        <v>0.0358</v>
      </c>
      <c r="AE22" s="157">
        <v>2.71</v>
      </c>
      <c r="AF22" s="151">
        <v>3</v>
      </c>
      <c r="AG22" s="151">
        <v>2.625</v>
      </c>
      <c r="AH22" s="151">
        <v>8</v>
      </c>
      <c r="AI22" s="145">
        <v>0.848</v>
      </c>
      <c r="AJ22" s="145">
        <v>0.501</v>
      </c>
      <c r="AK22" s="145">
        <v>1.079</v>
      </c>
      <c r="AL22" s="145">
        <v>0.552</v>
      </c>
      <c r="AM22" s="163">
        <v>33</v>
      </c>
      <c r="AN22" s="160">
        <v>3287</v>
      </c>
    </row>
    <row r="23" spans="1:40" ht="12.75">
      <c r="A23" s="53"/>
      <c r="B23" s="58"/>
      <c r="C23" s="82" t="s">
        <v>17</v>
      </c>
      <c r="D23" s="167">
        <f>VLOOKUP($D$9,$AB$8:$AN$25,9,FALSE)</f>
        <v>0.186</v>
      </c>
      <c r="E23" s="93" t="s">
        <v>8</v>
      </c>
      <c r="F23" s="58" t="s">
        <v>419</v>
      </c>
      <c r="G23" s="58"/>
      <c r="H23" s="58"/>
      <c r="I23" s="58"/>
      <c r="J23" s="52"/>
      <c r="N23" s="208" t="s">
        <v>192</v>
      </c>
      <c r="O23" s="205">
        <f>IF($D$11="1-Span",0.020833*$O$20/1000*($D$12*12)^3/($D$25*$D$20),IF($D$11="2-Span",0.015012*$O$20/1000*($D$12*12)^3/($D$25*$D$22),IF($D$11="3-Span",0.014627*$O$20/1000*($D$12*12)^3/($D$25*$D$22))))</f>
        <v>0.21901508358238897</v>
      </c>
      <c r="P23" s="116" t="s">
        <v>71</v>
      </c>
      <c r="Q23" s="197" t="str">
        <f>IF($D$11="1-Span","Δ(max) = 0.020833*Pc/1000*(L*12)^3/(E*Ip)",IF($D$11="2-Span","Δ(max) = 0.015012*Pc/1000*(L*12)^3/(E*I)",IF($D$11="3-Span","Δ(max) = 0.014627*Pc/1000*(L*12)^3/(E*I)")))</f>
        <v>Δ(max) = 0.014627*Pc/1000*(L*12)^3/(E*I)</v>
      </c>
      <c r="R23" s="197"/>
      <c r="S23" s="197"/>
      <c r="V23" s="116"/>
      <c r="AA23" s="57"/>
      <c r="AB23" s="148" t="s">
        <v>140</v>
      </c>
      <c r="AC23" s="151">
        <v>19</v>
      </c>
      <c r="AD23" s="154">
        <v>0.0418</v>
      </c>
      <c r="AE23" s="157">
        <v>3.15</v>
      </c>
      <c r="AF23" s="151">
        <v>3</v>
      </c>
      <c r="AG23" s="151">
        <v>2.625</v>
      </c>
      <c r="AH23" s="151">
        <v>8</v>
      </c>
      <c r="AI23" s="145">
        <v>1.045</v>
      </c>
      <c r="AJ23" s="145">
        <v>0.597</v>
      </c>
      <c r="AK23" s="145">
        <v>1.26</v>
      </c>
      <c r="AL23" s="145">
        <v>0.659</v>
      </c>
      <c r="AM23" s="163">
        <v>33</v>
      </c>
      <c r="AN23" s="160">
        <v>4217</v>
      </c>
    </row>
    <row r="24" spans="1:40" ht="12.75">
      <c r="A24" s="53"/>
      <c r="B24" s="58"/>
      <c r="C24" s="82" t="s">
        <v>18</v>
      </c>
      <c r="D24" s="167">
        <f>VLOOKUP($D$9,$AB$8:$AN$25,11,FALSE)</f>
        <v>0.192</v>
      </c>
      <c r="E24" s="93" t="s">
        <v>8</v>
      </c>
      <c r="F24" s="58" t="s">
        <v>420</v>
      </c>
      <c r="G24" s="58"/>
      <c r="H24" s="58"/>
      <c r="I24" s="58"/>
      <c r="J24" s="52"/>
      <c r="N24" s="208" t="s">
        <v>278</v>
      </c>
      <c r="O24" s="205">
        <f>MIN($D$12*12/240,1)</f>
        <v>0.3</v>
      </c>
      <c r="P24" s="116" t="s">
        <v>71</v>
      </c>
      <c r="Q24" s="210" t="s">
        <v>385</v>
      </c>
      <c r="R24" s="197"/>
      <c r="S24" s="72"/>
      <c r="V24" s="116"/>
      <c r="AA24" s="57"/>
      <c r="AB24" s="148" t="s">
        <v>139</v>
      </c>
      <c r="AC24" s="151">
        <v>18</v>
      </c>
      <c r="AD24" s="154">
        <v>0.0474</v>
      </c>
      <c r="AE24" s="157">
        <v>3.56</v>
      </c>
      <c r="AF24" s="151">
        <v>3</v>
      </c>
      <c r="AG24" s="151">
        <v>2.625</v>
      </c>
      <c r="AH24" s="151">
        <v>8</v>
      </c>
      <c r="AI24" s="145">
        <v>1.238</v>
      </c>
      <c r="AJ24" s="145">
        <v>0.688</v>
      </c>
      <c r="AK24" s="145">
        <v>1.43</v>
      </c>
      <c r="AL24" s="145">
        <v>0.749</v>
      </c>
      <c r="AM24" s="163">
        <v>33</v>
      </c>
      <c r="AN24" s="160">
        <v>4771</v>
      </c>
    </row>
    <row r="25" spans="1:40" ht="12.75">
      <c r="A25" s="53"/>
      <c r="B25" s="58"/>
      <c r="C25" s="49" t="s">
        <v>83</v>
      </c>
      <c r="D25" s="115">
        <f>29500</f>
        <v>29500</v>
      </c>
      <c r="E25" s="93" t="s">
        <v>7</v>
      </c>
      <c r="F25" s="58" t="str">
        <f>"E = "&amp;$D$25&amp;" ksi for steel roof deck"</f>
        <v>E = 29500 ksi for steel roof deck</v>
      </c>
      <c r="G25" s="58"/>
      <c r="H25" s="58"/>
      <c r="I25" s="58"/>
      <c r="J25" s="52"/>
      <c r="N25" s="206" t="s">
        <v>90</v>
      </c>
      <c r="O25" s="116"/>
      <c r="P25" s="116"/>
      <c r="Q25" s="116"/>
      <c r="R25" s="116"/>
      <c r="S25" s="116"/>
      <c r="T25" s="116"/>
      <c r="U25" s="116"/>
      <c r="V25" s="10"/>
      <c r="AA25" s="57"/>
      <c r="AB25" s="149" t="s">
        <v>138</v>
      </c>
      <c r="AC25" s="152">
        <v>16</v>
      </c>
      <c r="AD25" s="155">
        <v>0.0598</v>
      </c>
      <c r="AE25" s="158">
        <v>4.46</v>
      </c>
      <c r="AF25" s="152">
        <v>3</v>
      </c>
      <c r="AG25" s="152">
        <v>2.625</v>
      </c>
      <c r="AH25" s="152">
        <v>8</v>
      </c>
      <c r="AI25" s="146">
        <v>1.683</v>
      </c>
      <c r="AJ25" s="146">
        <v>0.893</v>
      </c>
      <c r="AK25" s="146">
        <v>1.807</v>
      </c>
      <c r="AL25" s="146">
        <v>0.944</v>
      </c>
      <c r="AM25" s="164">
        <v>33</v>
      </c>
      <c r="AN25" s="161">
        <v>5988</v>
      </c>
    </row>
    <row r="26" spans="1:27" ht="12.75">
      <c r="A26" s="53"/>
      <c r="B26" s="58"/>
      <c r="C26" s="58"/>
      <c r="D26" s="58"/>
      <c r="E26" s="58"/>
      <c r="F26" s="58"/>
      <c r="G26" s="58"/>
      <c r="H26" s="58"/>
      <c r="I26" s="58"/>
      <c r="J26" s="52"/>
      <c r="N26" s="194" t="s">
        <v>201</v>
      </c>
      <c r="O26" s="92">
        <f>1.2*($D$19+$D$13)+1.6*$D$14</f>
        <v>56.135999999999996</v>
      </c>
      <c r="P26" s="116" t="s">
        <v>5</v>
      </c>
      <c r="Q26" s="116" t="s">
        <v>164</v>
      </c>
      <c r="R26" s="116"/>
      <c r="S26" s="116"/>
      <c r="T26" s="116"/>
      <c r="V26" s="10"/>
      <c r="AA26" s="57"/>
    </row>
    <row r="27" spans="1:27" ht="12.75">
      <c r="A27" s="47" t="s">
        <v>16</v>
      </c>
      <c r="B27" s="58"/>
      <c r="C27" s="58"/>
      <c r="D27" s="58"/>
      <c r="E27" s="58"/>
      <c r="F27" s="58"/>
      <c r="G27" s="58"/>
      <c r="H27" s="58"/>
      <c r="I27" s="58"/>
      <c r="J27" s="102"/>
      <c r="N27" s="206" t="s">
        <v>81</v>
      </c>
      <c r="O27" s="208"/>
      <c r="P27" s="116"/>
      <c r="Q27" s="116"/>
      <c r="R27" s="116"/>
      <c r="S27" s="116"/>
      <c r="T27" s="116"/>
      <c r="U27" s="116"/>
      <c r="V27" s="197"/>
      <c r="AA27" s="57"/>
    </row>
    <row r="28" spans="1:32" ht="12.75">
      <c r="A28" s="53"/>
      <c r="B28" s="58"/>
      <c r="C28" s="58"/>
      <c r="D28" s="58"/>
      <c r="E28" s="58"/>
      <c r="F28" s="58"/>
      <c r="G28" s="58"/>
      <c r="H28" s="58"/>
      <c r="I28" s="58"/>
      <c r="J28" s="52"/>
      <c r="N28" s="212" t="s">
        <v>199</v>
      </c>
      <c r="O28" s="196">
        <f>IF($D$11="1-Span",0.125*$O$26/1000*$D$12^2,IF($D$11="2-Span",0.07*$O$26/1000*$D$12^2,IF($D$11="3-Span",0.08*$O$26/1000*$D$12^2)))</f>
        <v>0.16167168</v>
      </c>
      <c r="P28" s="116" t="s">
        <v>6</v>
      </c>
      <c r="Q28" s="116" t="str">
        <f>IF($D$11="1-Span","+Mu = 0.125*wtu/1000*L^2",IF($D$11="2-Span","+Mu = 0.070*wtu/1000*L^2",IF($D$11="3-Span","+Mu = 0.080*wtu/1000*L^2")))</f>
        <v>+Mu = 0.080*wtu/1000*L^2</v>
      </c>
      <c r="R28" s="116"/>
      <c r="S28" s="116"/>
      <c r="V28" s="197"/>
      <c r="AA28" s="57"/>
      <c r="AB28" s="248" t="s">
        <v>106</v>
      </c>
      <c r="AC28" s="239" t="s">
        <v>387</v>
      </c>
      <c r="AD28" s="240"/>
      <c r="AE28" s="240"/>
      <c r="AF28" s="241"/>
    </row>
    <row r="29" spans="1:32" ht="12.75">
      <c r="A29" s="47" t="s">
        <v>144</v>
      </c>
      <c r="B29" s="58"/>
      <c r="C29" s="58"/>
      <c r="D29" s="58"/>
      <c r="E29" s="58"/>
      <c r="F29" s="58"/>
      <c r="G29" s="58"/>
      <c r="H29" s="58"/>
      <c r="I29" s="58"/>
      <c r="J29" s="102"/>
      <c r="N29" s="212" t="s">
        <v>200</v>
      </c>
      <c r="O29" s="196">
        <f>IF($D$11="1-Span","N.A.",IF($D$11="2-Span",0.125*$O$26/1000*$D$12^2,IF($D$11="3-Span",0.1*$O$26/1000*$D$12^2)))</f>
        <v>0.20208959999999998</v>
      </c>
      <c r="P29" s="116" t="s">
        <v>6</v>
      </c>
      <c r="Q29" s="116" t="str">
        <f>IF($D$11="1-Span","-Mu = N.A. (for 1-Span condition)",IF($D$11="2-Span","-Mu = 0.125*wtu/1000*L^2",IF($D$11="3-Span","-Mu = 0.100*wtu/1000*L^2")))</f>
        <v>-Mu = 0.100*wtu/1000*L^2</v>
      </c>
      <c r="R29" s="116"/>
      <c r="S29" s="116"/>
      <c r="V29" s="116"/>
      <c r="AA29" s="57"/>
      <c r="AB29" s="249"/>
      <c r="AC29" s="238" t="s">
        <v>367</v>
      </c>
      <c r="AD29" s="238" t="s">
        <v>368</v>
      </c>
      <c r="AE29" s="238" t="s">
        <v>369</v>
      </c>
      <c r="AF29" s="238" t="s">
        <v>370</v>
      </c>
    </row>
    <row r="30" spans="1:32" ht="12.75">
      <c r="A30" s="77"/>
      <c r="B30" s="59"/>
      <c r="C30" s="49" t="s">
        <v>91</v>
      </c>
      <c r="D30" s="104">
        <f>$O$6</f>
        <v>30</v>
      </c>
      <c r="E30" s="93" t="s">
        <v>5</v>
      </c>
      <c r="F30" s="58" t="str">
        <f>$Q$6</f>
        <v>wc = 30 psf (per ANSI/SDI-RD1.0 Section 2.4.A.6)</v>
      </c>
      <c r="G30" s="58"/>
      <c r="H30" s="58"/>
      <c r="I30" s="58"/>
      <c r="J30" s="102"/>
      <c r="N30" s="206" t="s">
        <v>85</v>
      </c>
      <c r="O30" s="194"/>
      <c r="P30" s="116"/>
      <c r="Q30" s="116"/>
      <c r="R30" s="116"/>
      <c r="S30" s="116"/>
      <c r="T30" s="116"/>
      <c r="U30" s="116"/>
      <c r="V30" s="116"/>
      <c r="AA30" s="57"/>
      <c r="AB30" s="235">
        <v>22</v>
      </c>
      <c r="AC30" s="228" t="s">
        <v>372</v>
      </c>
      <c r="AD30" s="228" t="s">
        <v>376</v>
      </c>
      <c r="AE30" s="228" t="s">
        <v>379</v>
      </c>
      <c r="AF30" s="232" t="s">
        <v>381</v>
      </c>
    </row>
    <row r="31" spans="1:32" ht="12.75">
      <c r="A31" s="77"/>
      <c r="B31" s="105"/>
      <c r="C31" s="58"/>
      <c r="D31" s="58"/>
      <c r="E31" s="58"/>
      <c r="F31" s="58"/>
      <c r="G31" s="58"/>
      <c r="H31" s="58"/>
      <c r="I31" s="58"/>
      <c r="J31" s="102"/>
      <c r="N31" s="194" t="s">
        <v>206</v>
      </c>
      <c r="O31" s="92">
        <f>0.95*$D$10</f>
        <v>31.349999999999998</v>
      </c>
      <c r="P31" s="116" t="s">
        <v>7</v>
      </c>
      <c r="Q31" s="116" t="s">
        <v>210</v>
      </c>
      <c r="R31" s="116"/>
      <c r="U31" s="197"/>
      <c r="AA31" s="57"/>
      <c r="AB31" s="236">
        <v>20</v>
      </c>
      <c r="AC31" s="229" t="s">
        <v>373</v>
      </c>
      <c r="AD31" s="229" t="s">
        <v>377</v>
      </c>
      <c r="AE31" s="229" t="s">
        <v>380</v>
      </c>
      <c r="AF31" s="233" t="s">
        <v>382</v>
      </c>
    </row>
    <row r="32" spans="1:32" ht="12.75">
      <c r="A32" s="47" t="s">
        <v>87</v>
      </c>
      <c r="B32" s="60"/>
      <c r="C32" s="58"/>
      <c r="D32" s="58"/>
      <c r="E32" s="58"/>
      <c r="F32" s="58"/>
      <c r="G32" s="58"/>
      <c r="H32" s="58"/>
      <c r="I32" s="58"/>
      <c r="J32" s="102"/>
      <c r="N32" s="212" t="s">
        <v>207</v>
      </c>
      <c r="O32" s="92">
        <f>$O$28*12/$D$23</f>
        <v>10.430430967741938</v>
      </c>
      <c r="P32" s="116" t="s">
        <v>7</v>
      </c>
      <c r="Q32" s="209" t="s">
        <v>288</v>
      </c>
      <c r="R32" s="116"/>
      <c r="U32" s="198"/>
      <c r="V32" s="116"/>
      <c r="AA32" s="57"/>
      <c r="AB32" s="236">
        <v>18</v>
      </c>
      <c r="AC32" s="229" t="s">
        <v>374</v>
      </c>
      <c r="AD32" s="229" t="s">
        <v>378</v>
      </c>
      <c r="AE32" s="229" t="s">
        <v>372</v>
      </c>
      <c r="AF32" s="233" t="s">
        <v>383</v>
      </c>
    </row>
    <row r="33" spans="1:32" ht="12.75">
      <c r="A33" s="77"/>
      <c r="B33" s="58"/>
      <c r="C33" s="49" t="s">
        <v>197</v>
      </c>
      <c r="D33" s="170">
        <f>$O$8</f>
        <v>0.12711168</v>
      </c>
      <c r="E33" s="93" t="s">
        <v>6</v>
      </c>
      <c r="F33" s="58" t="str">
        <f>$Q$8</f>
        <v>+Mu = 0.08*(1.2*wd+1.4*wc)/1000*L^2</v>
      </c>
      <c r="G33" s="58"/>
      <c r="H33" s="58"/>
      <c r="I33" s="58"/>
      <c r="J33" s="102"/>
      <c r="N33" s="212" t="s">
        <v>208</v>
      </c>
      <c r="O33" s="92">
        <f>IF($D$11="1-Span","N.A.",$O$29*12/$D$24)</f>
        <v>12.6306</v>
      </c>
      <c r="P33" s="116" t="s">
        <v>7</v>
      </c>
      <c r="Q33" s="209" t="s">
        <v>289</v>
      </c>
      <c r="R33" s="116"/>
      <c r="U33" s="197"/>
      <c r="V33" s="197"/>
      <c r="AA33" s="57"/>
      <c r="AB33" s="237">
        <v>16</v>
      </c>
      <c r="AC33" s="230" t="s">
        <v>375</v>
      </c>
      <c r="AD33" s="231" t="s">
        <v>371</v>
      </c>
      <c r="AE33" s="231" t="s">
        <v>371</v>
      </c>
      <c r="AF33" s="234" t="s">
        <v>384</v>
      </c>
    </row>
    <row r="34" spans="1:27" ht="12.75">
      <c r="A34" s="77"/>
      <c r="B34" s="58"/>
      <c r="C34" s="49" t="s">
        <v>198</v>
      </c>
      <c r="D34" s="111">
        <f>$O$9</f>
        <v>0.15888960000000005</v>
      </c>
      <c r="E34" s="93" t="s">
        <v>6</v>
      </c>
      <c r="F34" s="58" t="str">
        <f>$Q$9</f>
        <v>-Mu = 0.1*(1.2*wd+1.4*wc)/1000*L^2</v>
      </c>
      <c r="G34" s="58"/>
      <c r="H34" s="58"/>
      <c r="I34" s="58"/>
      <c r="J34" s="102"/>
      <c r="N34" s="194" t="s">
        <v>209</v>
      </c>
      <c r="O34" s="92">
        <f>MAX($O$32,$O$33)</f>
        <v>12.6306</v>
      </c>
      <c r="P34" s="116" t="s">
        <v>7</v>
      </c>
      <c r="Q34" s="116" t="s">
        <v>211</v>
      </c>
      <c r="R34" s="116"/>
      <c r="U34" s="197"/>
      <c r="V34" s="197"/>
      <c r="AA34" s="57"/>
    </row>
    <row r="35" spans="1:27" ht="12.75">
      <c r="A35" s="76"/>
      <c r="B35" s="58"/>
      <c r="C35" s="58"/>
      <c r="D35" s="58"/>
      <c r="E35" s="58"/>
      <c r="F35" s="58"/>
      <c r="G35" s="58"/>
      <c r="H35" s="58"/>
      <c r="I35" s="58"/>
      <c r="J35" s="102"/>
      <c r="N35" s="194" t="s">
        <v>189</v>
      </c>
      <c r="O35" s="196">
        <f>$O$34/$O$31</f>
        <v>0.4028899521531101</v>
      </c>
      <c r="P35" s="116"/>
      <c r="Q35" s="116" t="s">
        <v>295</v>
      </c>
      <c r="R35" s="116"/>
      <c r="U35" s="197"/>
      <c r="V35" s="197"/>
      <c r="AA35" s="57"/>
    </row>
    <row r="36" spans="1:28" ht="12.75">
      <c r="A36" s="47" t="s">
        <v>88</v>
      </c>
      <c r="B36" s="49"/>
      <c r="C36" s="58"/>
      <c r="D36" s="58"/>
      <c r="E36" s="58"/>
      <c r="F36" s="58"/>
      <c r="G36" s="58"/>
      <c r="H36" s="58"/>
      <c r="I36" s="58"/>
      <c r="J36" s="102"/>
      <c r="N36" s="206" t="s">
        <v>80</v>
      </c>
      <c r="O36" s="197"/>
      <c r="P36" s="197"/>
      <c r="Q36" s="198"/>
      <c r="R36" s="197"/>
      <c r="S36" s="116"/>
      <c r="T36" s="197"/>
      <c r="U36" s="197"/>
      <c r="V36" s="10"/>
      <c r="AA36" s="57"/>
      <c r="AB36" s="244" t="s">
        <v>388</v>
      </c>
    </row>
    <row r="37" spans="1:22" ht="12.75">
      <c r="A37" s="77"/>
      <c r="B37" s="59"/>
      <c r="C37" s="49" t="s">
        <v>202</v>
      </c>
      <c r="D37" s="107">
        <f>$O$11</f>
        <v>31.349999999999998</v>
      </c>
      <c r="E37" s="93" t="s">
        <v>7</v>
      </c>
      <c r="F37" s="58" t="str">
        <f>$Q$11</f>
        <v>Fbu = 0.95*Fyd</v>
      </c>
      <c r="G37" s="58"/>
      <c r="H37" s="51"/>
      <c r="I37" s="58"/>
      <c r="J37" s="102"/>
      <c r="N37" s="208" t="s">
        <v>192</v>
      </c>
      <c r="O37" s="205">
        <f>IF($D$11="1-Span",0.013*$D$14/12000*($D$12*12)^4/($D$25*$D$20),IF($D$11="2-Span",0.0054*$D$14/12000*($D$12*12)^4/($D$25*$D$22),IF($D$11="3-Span",0.0069*$D$14/12000*($D$12*12)^4/($D$25*$D$22))))</f>
        <v>0.09298445812857287</v>
      </c>
      <c r="P37" s="116" t="s">
        <v>71</v>
      </c>
      <c r="Q37" s="116" t="str">
        <f>IF($D$11="1-Span","Δ(max) = 0.013*wLL/12000*(L*12)^4/(E*Ip)",IF($D$11="2-Span","Δ(max) = 0.0054*wLL/12000*(L*12)^4/(E*I)",IF($D$11="3-Span","Δ(max) = 0.0069*wLL/12000*(L*12)^4/(E*I)")))</f>
        <v>Δ(max) = 0.0069*wLL/12000*(L*12)^4/(E*I)</v>
      </c>
      <c r="R37" s="116"/>
      <c r="S37" s="197"/>
      <c r="T37" s="197"/>
      <c r="U37" s="197"/>
      <c r="V37" s="10"/>
    </row>
    <row r="38" spans="1:22" ht="12.75" customHeight="1">
      <c r="A38" s="75"/>
      <c r="B38" s="51"/>
      <c r="C38" s="49" t="s">
        <v>203</v>
      </c>
      <c r="D38" s="108">
        <f>$O$12</f>
        <v>8.200753548387096</v>
      </c>
      <c r="E38" s="93" t="s">
        <v>7</v>
      </c>
      <c r="F38" s="109" t="str">
        <f>$Q$12</f>
        <v>+fbu = (+Mu)*12/Sp (between supports)</v>
      </c>
      <c r="G38" s="58"/>
      <c r="H38" s="64"/>
      <c r="I38" s="58"/>
      <c r="J38" s="102"/>
      <c r="N38" s="208" t="s">
        <v>278</v>
      </c>
      <c r="O38" s="205">
        <f>MIN($D$12*12/240,1)</f>
        <v>0.3</v>
      </c>
      <c r="P38" s="116" t="s">
        <v>71</v>
      </c>
      <c r="Q38" s="210" t="s">
        <v>385</v>
      </c>
      <c r="R38" s="197"/>
      <c r="S38" s="72"/>
      <c r="V38" s="10"/>
    </row>
    <row r="39" spans="1:10" ht="12.75">
      <c r="A39" s="77"/>
      <c r="B39" s="51"/>
      <c r="C39" s="49" t="s">
        <v>204</v>
      </c>
      <c r="D39" s="108">
        <f>$O$13</f>
        <v>9.930600000000002</v>
      </c>
      <c r="E39" s="93" t="s">
        <v>7</v>
      </c>
      <c r="F39" s="109" t="str">
        <f>$Q$13</f>
        <v>-fbu = (-Mu)*12/Sn (at supports)</v>
      </c>
      <c r="G39" s="58"/>
      <c r="H39" s="51"/>
      <c r="I39" s="58"/>
      <c r="J39" s="102"/>
    </row>
    <row r="40" spans="1:10" ht="12.75">
      <c r="A40" s="77"/>
      <c r="B40" s="26"/>
      <c r="C40" s="49" t="s">
        <v>205</v>
      </c>
      <c r="D40" s="108">
        <f>$O$14</f>
        <v>9.930600000000002</v>
      </c>
      <c r="E40" s="93" t="s">
        <v>7</v>
      </c>
      <c r="F40" s="58" t="s">
        <v>212</v>
      </c>
      <c r="G40" s="58"/>
      <c r="H40" s="51"/>
      <c r="I40" s="58"/>
      <c r="J40" s="102"/>
    </row>
    <row r="41" spans="1:10" ht="12.75">
      <c r="A41" s="77"/>
      <c r="B41" s="110"/>
      <c r="C41" s="49" t="s">
        <v>69</v>
      </c>
      <c r="D41" s="111">
        <f>$O$15</f>
        <v>0.31676555023923453</v>
      </c>
      <c r="E41" s="58"/>
      <c r="F41" s="58" t="s">
        <v>293</v>
      </c>
      <c r="G41" s="58"/>
      <c r="H41" s="51"/>
      <c r="I41" s="58"/>
      <c r="J41" s="174" t="str">
        <f>IF($D$41&lt;=1,"S.R. &lt;= 1.0, O.K.","S.R. &gt; 1.0")</f>
        <v>S.R. &lt;= 1.0, O.K.</v>
      </c>
    </row>
    <row r="42" spans="1:22" ht="12.75">
      <c r="A42" s="77"/>
      <c r="B42" s="68"/>
      <c r="C42" s="51"/>
      <c r="D42" s="112"/>
      <c r="E42" s="113"/>
      <c r="F42" s="51"/>
      <c r="G42" s="51"/>
      <c r="H42" s="51"/>
      <c r="I42" s="58"/>
      <c r="J42" s="102"/>
      <c r="L42" s="51"/>
      <c r="V42" s="10"/>
    </row>
    <row r="43" spans="1:22" ht="12.75">
      <c r="A43" s="47" t="s">
        <v>145</v>
      </c>
      <c r="B43" s="51"/>
      <c r="C43" s="51"/>
      <c r="D43" s="64"/>
      <c r="E43" s="113"/>
      <c r="F43" s="58"/>
      <c r="G43" s="51"/>
      <c r="H43" s="51"/>
      <c r="I43" s="58"/>
      <c r="J43" s="102"/>
      <c r="V43" s="10"/>
    </row>
    <row r="44" spans="1:36" ht="12.75">
      <c r="A44" s="77"/>
      <c r="B44" s="51"/>
      <c r="C44" s="59" t="s">
        <v>79</v>
      </c>
      <c r="D44" s="106">
        <f>$O$17</f>
        <v>0.09298445812857287</v>
      </c>
      <c r="E44" s="114" t="s">
        <v>71</v>
      </c>
      <c r="F44" s="58" t="str">
        <f>$Q$17</f>
        <v>Δ(max) = 0.0069*wc/12000*(L*12)^4/(E*Ip)</v>
      </c>
      <c r="G44" s="89"/>
      <c r="H44" s="51"/>
      <c r="I44" s="58"/>
      <c r="J44" s="102"/>
      <c r="V44" s="116"/>
      <c r="AG44" s="24"/>
      <c r="AH44" s="24"/>
      <c r="AI44" s="63"/>
      <c r="AJ44" s="63"/>
    </row>
    <row r="45" spans="1:36" ht="12.75">
      <c r="A45" s="75"/>
      <c r="B45" s="51"/>
      <c r="C45" s="59" t="s">
        <v>277</v>
      </c>
      <c r="D45" s="218">
        <f>$O$18</f>
        <v>0.3</v>
      </c>
      <c r="E45" s="114" t="s">
        <v>71</v>
      </c>
      <c r="F45" s="243" t="s">
        <v>386</v>
      </c>
      <c r="G45" s="51"/>
      <c r="H45" s="50"/>
      <c r="I45" s="58"/>
      <c r="J45" s="102"/>
      <c r="V45" s="10"/>
      <c r="AG45" s="35"/>
      <c r="AH45" s="35"/>
      <c r="AI45" s="63"/>
      <c r="AJ45" s="63"/>
    </row>
    <row r="46" spans="1:36" ht="12.75">
      <c r="A46" s="75"/>
      <c r="B46" s="51"/>
      <c r="C46" s="58"/>
      <c r="D46" s="58"/>
      <c r="E46" s="58"/>
      <c r="F46" s="58"/>
      <c r="G46" s="58"/>
      <c r="H46" s="58"/>
      <c r="I46" s="58"/>
      <c r="J46" s="174" t="str">
        <f>IF(ROUND($D$12*12/$D$44,0)&gt;=240,"Max. Deflect. &lt;= L/240, O.K.","Max. Deflect. &gt; L/240")</f>
        <v>Max. Deflect. &lt;= L/240, O.K.</v>
      </c>
      <c r="V46" s="197"/>
      <c r="AG46" s="62"/>
      <c r="AH46" s="62"/>
      <c r="AI46" s="63"/>
      <c r="AJ46" s="63"/>
    </row>
    <row r="47" spans="1:36" ht="12.75">
      <c r="A47" s="47" t="s">
        <v>84</v>
      </c>
      <c r="B47" s="26"/>
      <c r="C47" s="51"/>
      <c r="D47" s="58"/>
      <c r="E47" s="58"/>
      <c r="F47" s="58"/>
      <c r="G47" s="58"/>
      <c r="H47" s="116"/>
      <c r="I47" s="58"/>
      <c r="J47" s="102"/>
      <c r="AG47" s="62"/>
      <c r="AH47" s="62"/>
      <c r="AI47" s="63"/>
      <c r="AJ47" s="63"/>
    </row>
    <row r="48" spans="1:36" ht="12.75">
      <c r="A48" s="44"/>
      <c r="B48" s="51"/>
      <c r="C48" s="105" t="s">
        <v>86</v>
      </c>
      <c r="D48" s="94">
        <f>$O$20</f>
        <v>200</v>
      </c>
      <c r="E48" s="93" t="s">
        <v>77</v>
      </c>
      <c r="F48" s="58" t="str">
        <f>$Q$20</f>
        <v>Pc = 200 lbs. (per ANSI/SDI-RD1.0 Section 2.4.A.6)</v>
      </c>
      <c r="G48" s="89"/>
      <c r="H48" s="89"/>
      <c r="I48" s="58"/>
      <c r="J48" s="102"/>
      <c r="V48" s="116"/>
      <c r="AG48" s="69"/>
      <c r="AH48" s="69"/>
      <c r="AI48" s="63"/>
      <c r="AJ48" s="63"/>
    </row>
    <row r="49" spans="1:36" ht="12.75">
      <c r="A49" s="77"/>
      <c r="B49" s="110"/>
      <c r="C49" s="56" t="s">
        <v>76</v>
      </c>
      <c r="D49" s="117">
        <f>$O$21</f>
        <v>7.022227008672192</v>
      </c>
      <c r="E49" s="93" t="s">
        <v>4</v>
      </c>
      <c r="F49" s="51" t="str">
        <f>$Q$21</f>
        <v>Lc(max) = ((E*I/(0.014627*Pc/1000*240))^(1/2))/12</v>
      </c>
      <c r="G49" s="51"/>
      <c r="H49" s="89"/>
      <c r="I49" s="58"/>
      <c r="J49" s="102"/>
      <c r="V49" s="197"/>
      <c r="AG49" s="69"/>
      <c r="AH49" s="69"/>
      <c r="AI49" s="63"/>
      <c r="AJ49" s="63"/>
    </row>
    <row r="50" spans="1:36" ht="12.75">
      <c r="A50" s="53"/>
      <c r="B50" s="68"/>
      <c r="C50" s="58"/>
      <c r="D50" s="58"/>
      <c r="E50" s="58"/>
      <c r="F50" s="58"/>
      <c r="G50" s="58"/>
      <c r="H50" s="118"/>
      <c r="I50" s="58"/>
      <c r="J50" s="174" t="str">
        <f>IF($D$12&lt;=ROUND($D$49,2),"L &lt;= Lc(max), O.K.","L &gt; Lc(max)")</f>
        <v>L &lt;= Lc(max), O.K.</v>
      </c>
      <c r="AG50" s="63"/>
      <c r="AH50" s="63"/>
      <c r="AI50" s="63"/>
      <c r="AJ50" s="63"/>
    </row>
    <row r="51" spans="1:36" ht="12.75">
      <c r="A51" s="47" t="s">
        <v>82</v>
      </c>
      <c r="B51" s="51"/>
      <c r="C51" s="105"/>
      <c r="D51" s="100"/>
      <c r="E51" s="93"/>
      <c r="F51" s="58"/>
      <c r="G51" s="58"/>
      <c r="H51" s="58"/>
      <c r="I51" s="58"/>
      <c r="J51" s="119"/>
      <c r="AG51" s="63"/>
      <c r="AH51" s="63"/>
      <c r="AI51" s="63"/>
      <c r="AJ51" s="63"/>
    </row>
    <row r="52" spans="1:36" ht="12.75">
      <c r="A52" s="77"/>
      <c r="B52" s="51"/>
      <c r="C52" s="59" t="s">
        <v>79</v>
      </c>
      <c r="D52" s="106">
        <f>$O$23</f>
        <v>0.21901508358238897</v>
      </c>
      <c r="E52" s="114" t="s">
        <v>71</v>
      </c>
      <c r="F52" s="57" t="str">
        <f>$Q$23</f>
        <v>Δ(max) = 0.014627*Pc/1000*(L*12)^3/(E*I)</v>
      </c>
      <c r="G52" s="51"/>
      <c r="H52" s="51"/>
      <c r="I52" s="61"/>
      <c r="J52" s="119"/>
      <c r="AG52" s="63"/>
      <c r="AH52" s="63"/>
      <c r="AI52" s="63"/>
      <c r="AJ52" s="63"/>
    </row>
    <row r="53" spans="1:36" ht="12.75">
      <c r="A53" s="77"/>
      <c r="B53" s="26"/>
      <c r="C53" s="59" t="s">
        <v>277</v>
      </c>
      <c r="D53" s="219">
        <f>$O$24</f>
        <v>0.3</v>
      </c>
      <c r="E53" s="114" t="s">
        <v>71</v>
      </c>
      <c r="F53" s="243" t="s">
        <v>386</v>
      </c>
      <c r="G53" s="51"/>
      <c r="H53" s="50"/>
      <c r="I53" s="61"/>
      <c r="J53" s="119"/>
      <c r="AG53" s="63"/>
      <c r="AH53" s="63"/>
      <c r="AI53" s="63"/>
      <c r="AJ53" s="63"/>
    </row>
    <row r="54" spans="1:36" ht="12.75">
      <c r="A54" s="77"/>
      <c r="B54" s="110"/>
      <c r="C54" s="56"/>
      <c r="D54" s="92"/>
      <c r="E54" s="93"/>
      <c r="F54" s="58"/>
      <c r="G54" s="51"/>
      <c r="H54" s="58"/>
      <c r="I54" s="51"/>
      <c r="J54" s="174" t="str">
        <f>IF(ROUND($D$12*12/$D$52,0)&gt;=240,"Max. Deflect. &lt;= L/240 O.K.","Max. Deflect. &gt; L/240")</f>
        <v>Max. Deflect. &lt;= L/240 O.K.</v>
      </c>
      <c r="AG54" s="63"/>
      <c r="AH54" s="63"/>
      <c r="AI54" s="63"/>
      <c r="AJ54" s="63"/>
    </row>
    <row r="55" spans="1:36" ht="12.75">
      <c r="A55" s="77"/>
      <c r="B55" s="110"/>
      <c r="C55" s="56"/>
      <c r="D55" s="92"/>
      <c r="E55" s="93"/>
      <c r="F55" s="58"/>
      <c r="G55" s="51"/>
      <c r="H55" s="58"/>
      <c r="I55" s="51"/>
      <c r="J55" s="174"/>
      <c r="AG55" s="63"/>
      <c r="AH55" s="63"/>
      <c r="AI55" s="63"/>
      <c r="AJ55" s="63"/>
    </row>
    <row r="56" spans="1:36" ht="12.75">
      <c r="A56" s="99"/>
      <c r="B56" s="96"/>
      <c r="C56" s="96"/>
      <c r="D56" s="120"/>
      <c r="E56" s="121"/>
      <c r="F56" s="172"/>
      <c r="G56" s="96"/>
      <c r="H56" s="96"/>
      <c r="I56" s="96"/>
      <c r="J56" s="122"/>
      <c r="AG56" s="63"/>
      <c r="AH56" s="63"/>
      <c r="AI56" s="63"/>
      <c r="AJ56" s="63"/>
    </row>
    <row r="57" spans="1:36" ht="12.75">
      <c r="A57" s="97"/>
      <c r="B57" s="98"/>
      <c r="C57" s="98"/>
      <c r="D57" s="98"/>
      <c r="E57" s="98"/>
      <c r="F57" s="98"/>
      <c r="G57" s="98"/>
      <c r="H57" s="98"/>
      <c r="I57" s="98"/>
      <c r="J57" s="123"/>
      <c r="AG57" s="63"/>
      <c r="AH57" s="63"/>
      <c r="AI57" s="63"/>
      <c r="AJ57" s="63"/>
    </row>
    <row r="58" spans="1:10" ht="12.75">
      <c r="A58" s="47" t="s">
        <v>90</v>
      </c>
      <c r="B58" s="58"/>
      <c r="C58" s="58"/>
      <c r="D58" s="58"/>
      <c r="E58" s="58"/>
      <c r="F58" s="58"/>
      <c r="G58" s="58"/>
      <c r="H58" s="58"/>
      <c r="I58" s="58"/>
      <c r="J58" s="102"/>
    </row>
    <row r="59" spans="1:10" ht="12.75">
      <c r="A59" s="77"/>
      <c r="B59" s="59"/>
      <c r="C59" s="49" t="s">
        <v>163</v>
      </c>
      <c r="D59" s="104">
        <f>$O$26</f>
        <v>56.135999999999996</v>
      </c>
      <c r="E59" s="93" t="s">
        <v>5</v>
      </c>
      <c r="F59" s="58" t="str">
        <f>$Q$26</f>
        <v>wtu = 1.2*(wd+wDL)+1.6*wLL</v>
      </c>
      <c r="G59" s="58"/>
      <c r="H59" s="58"/>
      <c r="I59" s="58"/>
      <c r="J59" s="102"/>
    </row>
    <row r="60" spans="1:10" ht="12.75">
      <c r="A60" s="77"/>
      <c r="B60" s="105"/>
      <c r="C60" s="58"/>
      <c r="D60" s="58"/>
      <c r="E60" s="58"/>
      <c r="F60" s="58"/>
      <c r="G60" s="58"/>
      <c r="H60" s="58"/>
      <c r="I60" s="58"/>
      <c r="J60" s="102"/>
    </row>
    <row r="61" spans="1:10" ht="12.75">
      <c r="A61" s="47" t="s">
        <v>81</v>
      </c>
      <c r="B61" s="60"/>
      <c r="C61" s="58"/>
      <c r="D61" s="58"/>
      <c r="E61" s="58"/>
      <c r="F61" s="58"/>
      <c r="G61" s="58"/>
      <c r="H61" s="58"/>
      <c r="I61" s="58"/>
      <c r="J61" s="102"/>
    </row>
    <row r="62" spans="1:10" ht="12.75">
      <c r="A62" s="77"/>
      <c r="B62" s="58"/>
      <c r="C62" s="49" t="s">
        <v>197</v>
      </c>
      <c r="D62" s="170">
        <f>$O$28</f>
        <v>0.16167168</v>
      </c>
      <c r="E62" s="93" t="s">
        <v>6</v>
      </c>
      <c r="F62" s="58" t="str">
        <f>$Q$28</f>
        <v>+Mu = 0.080*wtu/1000*L^2</v>
      </c>
      <c r="G62" s="58"/>
      <c r="H62" s="58"/>
      <c r="I62" s="51"/>
      <c r="J62" s="102"/>
    </row>
    <row r="63" spans="1:10" ht="12.75">
      <c r="A63" s="77"/>
      <c r="B63" s="58"/>
      <c r="C63" s="49" t="s">
        <v>198</v>
      </c>
      <c r="D63" s="111">
        <f>$O$29</f>
        <v>0.20208959999999998</v>
      </c>
      <c r="E63" s="93" t="s">
        <v>6</v>
      </c>
      <c r="F63" s="58" t="str">
        <f>$Q$29</f>
        <v>-Mu = 0.100*wtu/1000*L^2</v>
      </c>
      <c r="G63" s="58"/>
      <c r="H63" s="58"/>
      <c r="I63" s="51"/>
      <c r="J63" s="102"/>
    </row>
    <row r="64" spans="1:10" ht="12.75">
      <c r="A64" s="76"/>
      <c r="B64" s="58"/>
      <c r="C64" s="58"/>
      <c r="D64" s="58"/>
      <c r="E64" s="58"/>
      <c r="F64" s="58"/>
      <c r="G64" s="58"/>
      <c r="H64" s="58"/>
      <c r="I64" s="51"/>
      <c r="J64" s="102"/>
    </row>
    <row r="65" spans="1:10" ht="12.75">
      <c r="A65" s="47" t="s">
        <v>85</v>
      </c>
      <c r="B65" s="49"/>
      <c r="C65" s="58"/>
      <c r="D65" s="58"/>
      <c r="E65" s="58"/>
      <c r="F65" s="58"/>
      <c r="G65" s="58"/>
      <c r="H65" s="58"/>
      <c r="I65" s="61"/>
      <c r="J65" s="102"/>
    </row>
    <row r="66" spans="1:10" ht="12.75">
      <c r="A66" s="77"/>
      <c r="B66" s="59"/>
      <c r="C66" s="49" t="s">
        <v>202</v>
      </c>
      <c r="D66" s="107">
        <f>$O$31</f>
        <v>31.349999999999998</v>
      </c>
      <c r="E66" s="93" t="s">
        <v>7</v>
      </c>
      <c r="F66" s="58" t="str">
        <f>$Q$31</f>
        <v>Fbu = 0.95*Fyd</v>
      </c>
      <c r="G66" s="58"/>
      <c r="H66" s="51"/>
      <c r="I66" s="61"/>
      <c r="J66" s="102"/>
    </row>
    <row r="67" spans="1:10" ht="12.75">
      <c r="A67" s="75"/>
      <c r="B67" s="51"/>
      <c r="C67" s="49" t="s">
        <v>203</v>
      </c>
      <c r="D67" s="108">
        <f>$O$32</f>
        <v>10.430430967741938</v>
      </c>
      <c r="E67" s="93" t="s">
        <v>7</v>
      </c>
      <c r="F67" s="109" t="str">
        <f>$Q$32</f>
        <v>+fbu = (+Mu)*12/Sp (between supports)</v>
      </c>
      <c r="G67" s="58"/>
      <c r="H67" s="64"/>
      <c r="I67" s="61"/>
      <c r="J67" s="119"/>
    </row>
    <row r="68" spans="1:10" ht="12.75">
      <c r="A68" s="77"/>
      <c r="B68" s="51"/>
      <c r="C68" s="49" t="s">
        <v>204</v>
      </c>
      <c r="D68" s="108">
        <f>$O$33</f>
        <v>12.6306</v>
      </c>
      <c r="E68" s="93" t="s">
        <v>7</v>
      </c>
      <c r="F68" s="109" t="str">
        <f>$Q$33</f>
        <v>-fbu = (-Mu)*12/Sn (at supports)</v>
      </c>
      <c r="G68" s="58"/>
      <c r="H68" s="51"/>
      <c r="I68" s="61"/>
      <c r="J68" s="119"/>
    </row>
    <row r="69" spans="1:10" ht="12.75">
      <c r="A69" s="77"/>
      <c r="B69" s="26"/>
      <c r="C69" s="49" t="s">
        <v>205</v>
      </c>
      <c r="D69" s="108">
        <f>$O$34</f>
        <v>12.6306</v>
      </c>
      <c r="E69" s="93" t="s">
        <v>7</v>
      </c>
      <c r="F69" s="58" t="s">
        <v>212</v>
      </c>
      <c r="G69" s="58"/>
      <c r="H69" s="51"/>
      <c r="I69" s="61"/>
      <c r="J69" s="119"/>
    </row>
    <row r="70" spans="1:10" ht="12.75">
      <c r="A70" s="77"/>
      <c r="B70" s="110"/>
      <c r="C70" s="49" t="s">
        <v>69</v>
      </c>
      <c r="D70" s="111">
        <f>$O$35</f>
        <v>0.4028899521531101</v>
      </c>
      <c r="E70" s="58"/>
      <c r="F70" s="58" t="s">
        <v>294</v>
      </c>
      <c r="G70" s="58"/>
      <c r="H70" s="51"/>
      <c r="I70" s="58"/>
      <c r="J70" s="174" t="str">
        <f>IF($D$70&lt;=1,"S.R. &lt;= 1.0, O.K.","S.R. &gt; 1.0")</f>
        <v>S.R. &lt;= 1.0, O.K.</v>
      </c>
    </row>
    <row r="71" spans="1:10" ht="12.75">
      <c r="A71" s="77"/>
      <c r="B71" s="68"/>
      <c r="C71" s="51"/>
      <c r="D71" s="112"/>
      <c r="E71" s="113"/>
      <c r="F71" s="51"/>
      <c r="G71" s="51"/>
      <c r="H71" s="51"/>
      <c r="I71" s="61"/>
      <c r="J71" s="119"/>
    </row>
    <row r="72" spans="1:10" ht="12.75">
      <c r="A72" s="47" t="s">
        <v>80</v>
      </c>
      <c r="B72" s="51"/>
      <c r="C72" s="51"/>
      <c r="D72" s="64"/>
      <c r="E72" s="113"/>
      <c r="F72" s="58"/>
      <c r="G72" s="51"/>
      <c r="H72" s="51"/>
      <c r="I72" s="51"/>
      <c r="J72" s="119"/>
    </row>
    <row r="73" spans="1:10" ht="12.75">
      <c r="A73" s="53"/>
      <c r="B73" s="58"/>
      <c r="C73" s="59" t="s">
        <v>79</v>
      </c>
      <c r="D73" s="106">
        <f>$O$37</f>
        <v>0.09298445812857287</v>
      </c>
      <c r="E73" s="114" t="s">
        <v>71</v>
      </c>
      <c r="F73" s="57" t="str">
        <f>$Q$37</f>
        <v>Δ(max) = 0.0069*wLL/12000*(L*12)^4/(E*I)</v>
      </c>
      <c r="G73" s="89"/>
      <c r="H73" s="51"/>
      <c r="I73" s="58"/>
      <c r="J73" s="102"/>
    </row>
    <row r="74" spans="1:10" ht="12.75">
      <c r="A74" s="77"/>
      <c r="B74" s="51"/>
      <c r="C74" s="59" t="s">
        <v>277</v>
      </c>
      <c r="D74" s="218">
        <f>$O$38</f>
        <v>0.3</v>
      </c>
      <c r="E74" s="114" t="s">
        <v>71</v>
      </c>
      <c r="F74" s="243" t="s">
        <v>386</v>
      </c>
      <c r="G74" s="51"/>
      <c r="H74" s="50"/>
      <c r="I74" s="51"/>
      <c r="J74" s="119"/>
    </row>
    <row r="75" spans="1:10" ht="12.75">
      <c r="A75" s="75"/>
      <c r="B75" s="51"/>
      <c r="C75" s="58"/>
      <c r="D75" s="58"/>
      <c r="E75" s="58"/>
      <c r="F75" s="58"/>
      <c r="G75" s="58"/>
      <c r="H75" s="58"/>
      <c r="I75" s="61"/>
      <c r="J75" s="174" t="str">
        <f>IF(ROUND($D$12*12/$D$73,0)&gt;=240,"Δ(max) &lt;= Δ(allow), O.K.","Δ(max) &gt; Δ(allow)")</f>
        <v>Δ(max) &lt;= Δ(allow), O.K.</v>
      </c>
    </row>
    <row r="76" spans="1:10" ht="12.75">
      <c r="A76" s="75"/>
      <c r="B76" s="51"/>
      <c r="C76" s="58"/>
      <c r="D76" s="58"/>
      <c r="E76" s="58"/>
      <c r="F76" s="58"/>
      <c r="G76" s="58"/>
      <c r="H76" s="58"/>
      <c r="I76" s="61"/>
      <c r="J76" s="119"/>
    </row>
    <row r="77" spans="1:10" ht="12.75">
      <c r="A77" s="53"/>
      <c r="B77" s="58"/>
      <c r="C77" s="58"/>
      <c r="D77" s="58"/>
      <c r="E77" s="58"/>
      <c r="F77" s="58"/>
      <c r="G77" s="58"/>
      <c r="H77" s="58"/>
      <c r="I77" s="58"/>
      <c r="J77" s="102"/>
    </row>
    <row r="78" spans="1:10" ht="12.75">
      <c r="A78" s="101" t="s">
        <v>89</v>
      </c>
      <c r="B78" s="37"/>
      <c r="C78" s="37"/>
      <c r="D78" s="90"/>
      <c r="E78" s="90"/>
      <c r="F78" s="90"/>
      <c r="G78" s="90"/>
      <c r="H78" s="90"/>
      <c r="I78" s="90"/>
      <c r="J78" s="126"/>
    </row>
    <row r="79" spans="1:10" ht="12.75">
      <c r="A79" s="124"/>
      <c r="B79" s="90"/>
      <c r="C79" s="90"/>
      <c r="D79" s="90"/>
      <c r="E79" s="90"/>
      <c r="F79" s="90"/>
      <c r="G79" s="90"/>
      <c r="H79" s="90"/>
      <c r="I79" s="90"/>
      <c r="J79" s="46"/>
    </row>
    <row r="80" spans="1:10" ht="12.75">
      <c r="A80" s="124"/>
      <c r="B80" s="90"/>
      <c r="C80" s="90"/>
      <c r="D80" s="90"/>
      <c r="E80" s="90"/>
      <c r="F80" s="90"/>
      <c r="G80" s="90"/>
      <c r="H80" s="90"/>
      <c r="I80" s="90"/>
      <c r="J80" s="46"/>
    </row>
    <row r="81" spans="1:10" ht="12.75">
      <c r="A81" s="124"/>
      <c r="B81" s="90"/>
      <c r="C81" s="90"/>
      <c r="D81" s="90"/>
      <c r="E81" s="90"/>
      <c r="F81" s="90"/>
      <c r="G81" s="90"/>
      <c r="H81" s="90"/>
      <c r="I81" s="90"/>
      <c r="J81" s="46"/>
    </row>
    <row r="82" spans="1:10" ht="12.75">
      <c r="A82" s="124"/>
      <c r="B82" s="90"/>
      <c r="C82" s="90"/>
      <c r="D82" s="90"/>
      <c r="E82" s="90"/>
      <c r="F82" s="90"/>
      <c r="G82" s="90"/>
      <c r="H82" s="90"/>
      <c r="I82" s="90"/>
      <c r="J82" s="46"/>
    </row>
    <row r="83" spans="1:10" ht="12.75">
      <c r="A83" s="124"/>
      <c r="B83" s="90"/>
      <c r="C83" s="90"/>
      <c r="D83" s="90"/>
      <c r="E83" s="90"/>
      <c r="F83" s="90"/>
      <c r="G83" s="90"/>
      <c r="H83" s="90"/>
      <c r="I83" s="90"/>
      <c r="J83" s="46"/>
    </row>
    <row r="84" spans="1:10" ht="12.75">
      <c r="A84" s="124"/>
      <c r="B84" s="90"/>
      <c r="C84" s="90"/>
      <c r="D84" s="90"/>
      <c r="E84" s="90"/>
      <c r="F84" s="90"/>
      <c r="G84" s="90"/>
      <c r="H84" s="90"/>
      <c r="I84" s="90"/>
      <c r="J84" s="46"/>
    </row>
    <row r="85" spans="1:10" ht="12.75">
      <c r="A85" s="124"/>
      <c r="B85" s="90"/>
      <c r="C85" s="90"/>
      <c r="D85" s="90"/>
      <c r="E85" s="90"/>
      <c r="F85" s="90"/>
      <c r="G85" s="90"/>
      <c r="H85" s="90"/>
      <c r="I85" s="90"/>
      <c r="J85" s="46"/>
    </row>
    <row r="86" spans="1:10" ht="12.75">
      <c r="A86" s="124"/>
      <c r="B86" s="90"/>
      <c r="C86" s="90"/>
      <c r="D86" s="90"/>
      <c r="E86" s="90"/>
      <c r="F86" s="90"/>
      <c r="G86" s="90"/>
      <c r="H86" s="90"/>
      <c r="I86" s="90"/>
      <c r="J86" s="46"/>
    </row>
    <row r="87" spans="1:10" ht="12.75">
      <c r="A87" s="124"/>
      <c r="B87" s="90"/>
      <c r="C87" s="90"/>
      <c r="D87" s="90"/>
      <c r="E87" s="90"/>
      <c r="F87" s="90"/>
      <c r="G87" s="90"/>
      <c r="H87" s="90"/>
      <c r="I87" s="90"/>
      <c r="J87" s="46"/>
    </row>
    <row r="88" spans="1:10" ht="12.75">
      <c r="A88" s="124"/>
      <c r="B88" s="90"/>
      <c r="C88" s="90"/>
      <c r="D88" s="90"/>
      <c r="E88" s="90"/>
      <c r="F88" s="90"/>
      <c r="G88" s="90"/>
      <c r="H88" s="90"/>
      <c r="I88" s="90"/>
      <c r="J88" s="46"/>
    </row>
    <row r="89" spans="1:10" ht="12.75">
      <c r="A89" s="124"/>
      <c r="B89" s="90"/>
      <c r="C89" s="90"/>
      <c r="D89" s="90"/>
      <c r="E89" s="90"/>
      <c r="F89" s="90"/>
      <c r="G89" s="90"/>
      <c r="H89" s="90"/>
      <c r="I89" s="90"/>
      <c r="J89" s="46"/>
    </row>
    <row r="90" spans="1:10" ht="12.75">
      <c r="A90" s="124"/>
      <c r="B90" s="90"/>
      <c r="C90" s="90"/>
      <c r="D90" s="90"/>
      <c r="E90" s="90"/>
      <c r="F90" s="90"/>
      <c r="G90" s="90"/>
      <c r="H90" s="90"/>
      <c r="I90" s="90"/>
      <c r="J90" s="46"/>
    </row>
    <row r="91" spans="1:10" ht="12.75">
      <c r="A91" s="124"/>
      <c r="B91" s="90"/>
      <c r="C91" s="90"/>
      <c r="D91" s="90"/>
      <c r="E91" s="90"/>
      <c r="F91" s="90"/>
      <c r="G91" s="90"/>
      <c r="H91" s="90"/>
      <c r="I91" s="90"/>
      <c r="J91" s="46"/>
    </row>
    <row r="92" spans="1:10" ht="12.75">
      <c r="A92" s="124"/>
      <c r="B92" s="90"/>
      <c r="C92" s="90"/>
      <c r="D92" s="90"/>
      <c r="E92" s="90"/>
      <c r="F92" s="90"/>
      <c r="G92" s="90"/>
      <c r="H92" s="90"/>
      <c r="I92" s="90"/>
      <c r="J92" s="46"/>
    </row>
    <row r="93" spans="1:10" ht="12.75">
      <c r="A93" s="124"/>
      <c r="B93" s="37"/>
      <c r="C93" s="37"/>
      <c r="D93" s="90"/>
      <c r="E93" s="90"/>
      <c r="F93" s="90"/>
      <c r="G93" s="90"/>
      <c r="H93" s="90"/>
      <c r="I93" s="90"/>
      <c r="J93" s="126"/>
    </row>
    <row r="94" spans="1:10" ht="12.75">
      <c r="A94" s="124"/>
      <c r="B94" s="90"/>
      <c r="C94" s="90"/>
      <c r="D94" s="90"/>
      <c r="E94" s="90"/>
      <c r="F94" s="90"/>
      <c r="G94" s="90"/>
      <c r="H94" s="90"/>
      <c r="I94" s="90"/>
      <c r="J94" s="46"/>
    </row>
    <row r="95" spans="1:10" ht="12.75">
      <c r="A95" s="124"/>
      <c r="B95" s="90"/>
      <c r="C95" s="90"/>
      <c r="D95" s="90"/>
      <c r="E95" s="90"/>
      <c r="F95" s="90"/>
      <c r="G95" s="90"/>
      <c r="H95" s="90"/>
      <c r="I95" s="90"/>
      <c r="J95" s="46"/>
    </row>
    <row r="96" spans="1:10" ht="12.75">
      <c r="A96" s="124"/>
      <c r="B96" s="90"/>
      <c r="C96" s="90"/>
      <c r="D96" s="90"/>
      <c r="E96" s="90"/>
      <c r="F96" s="90"/>
      <c r="G96" s="90"/>
      <c r="H96" s="90"/>
      <c r="I96" s="90"/>
      <c r="J96" s="46"/>
    </row>
    <row r="97" spans="1:10" ht="12.75">
      <c r="A97" s="124"/>
      <c r="B97" s="90"/>
      <c r="C97" s="90"/>
      <c r="D97" s="90"/>
      <c r="E97" s="90"/>
      <c r="F97" s="90"/>
      <c r="G97" s="90"/>
      <c r="H97" s="90"/>
      <c r="I97" s="90"/>
      <c r="J97" s="46"/>
    </row>
    <row r="98" spans="1:10" ht="12.75">
      <c r="A98" s="124"/>
      <c r="B98" s="90"/>
      <c r="C98" s="90"/>
      <c r="D98" s="90"/>
      <c r="E98" s="90"/>
      <c r="F98" s="90"/>
      <c r="G98" s="90"/>
      <c r="H98" s="90"/>
      <c r="I98" s="90"/>
      <c r="J98" s="46"/>
    </row>
    <row r="99" spans="1:10" ht="12.75">
      <c r="A99" s="124"/>
      <c r="B99" s="90"/>
      <c r="C99" s="90"/>
      <c r="D99" s="90"/>
      <c r="E99" s="90"/>
      <c r="F99" s="90"/>
      <c r="G99" s="90"/>
      <c r="H99" s="90"/>
      <c r="I99" s="90"/>
      <c r="J99" s="46"/>
    </row>
    <row r="100" spans="1:10" ht="12.75">
      <c r="A100" s="124"/>
      <c r="B100" s="90"/>
      <c r="C100" s="90"/>
      <c r="D100" s="90"/>
      <c r="E100" s="90"/>
      <c r="F100" s="90"/>
      <c r="G100" s="90"/>
      <c r="H100" s="90"/>
      <c r="I100" s="90"/>
      <c r="J100" s="46"/>
    </row>
    <row r="101" spans="1:10" ht="12.75">
      <c r="A101" s="124"/>
      <c r="B101" s="90"/>
      <c r="C101" s="90"/>
      <c r="D101" s="90"/>
      <c r="E101" s="90"/>
      <c r="F101" s="90"/>
      <c r="G101" s="90"/>
      <c r="H101" s="90"/>
      <c r="I101" s="90"/>
      <c r="J101" s="46"/>
    </row>
    <row r="102" spans="1:10" ht="12.75">
      <c r="A102" s="124"/>
      <c r="B102" s="90"/>
      <c r="C102" s="90"/>
      <c r="D102" s="90"/>
      <c r="E102" s="90"/>
      <c r="F102" s="90"/>
      <c r="G102" s="90"/>
      <c r="H102" s="90"/>
      <c r="I102" s="90"/>
      <c r="J102" s="46"/>
    </row>
    <row r="103" spans="1:10" ht="12.75">
      <c r="A103" s="124"/>
      <c r="B103" s="90"/>
      <c r="C103" s="90"/>
      <c r="D103" s="90"/>
      <c r="E103" s="90"/>
      <c r="F103" s="90"/>
      <c r="G103" s="90"/>
      <c r="H103" s="90"/>
      <c r="I103" s="90"/>
      <c r="J103" s="46"/>
    </row>
    <row r="104" spans="1:10" ht="12.75">
      <c r="A104" s="124"/>
      <c r="B104" s="90"/>
      <c r="C104" s="90"/>
      <c r="D104" s="90"/>
      <c r="E104" s="90"/>
      <c r="F104" s="90"/>
      <c r="G104" s="90"/>
      <c r="H104" s="90"/>
      <c r="I104" s="90"/>
      <c r="J104" s="46"/>
    </row>
    <row r="105" spans="1:10" ht="12.75">
      <c r="A105" s="124"/>
      <c r="B105" s="200"/>
      <c r="C105" s="200"/>
      <c r="D105" s="200"/>
      <c r="E105" s="200"/>
      <c r="F105" s="200"/>
      <c r="G105" s="200"/>
      <c r="H105" s="200"/>
      <c r="I105" s="200"/>
      <c r="J105" s="224"/>
    </row>
    <row r="106" spans="1:10" ht="12.75">
      <c r="A106" s="124"/>
      <c r="B106" s="200"/>
      <c r="C106" s="200"/>
      <c r="D106" s="200"/>
      <c r="E106" s="200"/>
      <c r="F106" s="200"/>
      <c r="G106" s="200"/>
      <c r="H106" s="200"/>
      <c r="I106" s="200"/>
      <c r="J106" s="224"/>
    </row>
    <row r="107" spans="1:10" ht="12.75">
      <c r="A107" s="124"/>
      <c r="B107" s="200"/>
      <c r="C107" s="200"/>
      <c r="D107" s="200"/>
      <c r="E107" s="200"/>
      <c r="F107" s="200"/>
      <c r="G107" s="200"/>
      <c r="H107" s="200"/>
      <c r="I107" s="200"/>
      <c r="J107" s="224"/>
    </row>
    <row r="108" spans="1:10" ht="12.75">
      <c r="A108" s="124"/>
      <c r="B108" s="200"/>
      <c r="C108" s="200"/>
      <c r="D108" s="200"/>
      <c r="E108" s="200"/>
      <c r="F108" s="200"/>
      <c r="G108" s="200"/>
      <c r="H108" s="200"/>
      <c r="I108" s="200"/>
      <c r="J108" s="224"/>
    </row>
    <row r="109" spans="1:10" ht="12.75">
      <c r="A109" s="124"/>
      <c r="B109" s="200"/>
      <c r="C109" s="200"/>
      <c r="D109" s="200"/>
      <c r="E109" s="200"/>
      <c r="F109" s="200"/>
      <c r="G109" s="200"/>
      <c r="H109" s="200"/>
      <c r="I109" s="200"/>
      <c r="J109" s="224"/>
    </row>
    <row r="110" spans="1:10" ht="12.75">
      <c r="A110" s="124"/>
      <c r="B110" s="200"/>
      <c r="C110" s="200"/>
      <c r="D110" s="200"/>
      <c r="E110" s="200"/>
      <c r="F110" s="200"/>
      <c r="G110" s="200"/>
      <c r="H110" s="200"/>
      <c r="I110" s="200"/>
      <c r="J110" s="224"/>
    </row>
    <row r="111" spans="1:10" ht="12.75">
      <c r="A111" s="124"/>
      <c r="B111" s="200"/>
      <c r="C111" s="200"/>
      <c r="D111" s="200"/>
      <c r="E111" s="200"/>
      <c r="F111" s="200"/>
      <c r="G111" s="200"/>
      <c r="H111" s="200"/>
      <c r="I111" s="200"/>
      <c r="J111" s="224"/>
    </row>
    <row r="112" spans="1:10" ht="12.75">
      <c r="A112" s="125"/>
      <c r="B112" s="225"/>
      <c r="C112" s="225"/>
      <c r="D112" s="225"/>
      <c r="E112" s="225"/>
      <c r="F112" s="225"/>
      <c r="G112" s="225"/>
      <c r="H112" s="225"/>
      <c r="I112" s="225"/>
      <c r="J112" s="226"/>
    </row>
  </sheetData>
  <sheetProtection sheet="1" objects="1" scenarios="1"/>
  <mergeCells count="1">
    <mergeCell ref="AB28:AB29"/>
  </mergeCells>
  <dataValidations count="9">
    <dataValidation allowBlank="1" showInputMessage="1" showErrorMessage="1" prompt="Program automatically extracts gage from tabular data for Vulcraft roof deck." sqref="D18"/>
    <dataValidation allowBlank="1" showInputMessage="1" showErrorMessage="1" prompt="Program automatically extracts positive moment of inertia (Ip) from tabular data for Vulcraft roof deck." sqref="D20"/>
    <dataValidation allowBlank="1" showInputMessage="1" showErrorMessage="1" prompt="Program automatically extracts positive section modulus (Sp) from tabular data for Vulcraft roof deck." sqref="D23"/>
    <dataValidation allowBlank="1" showInputMessage="1" showErrorMessage="1" prompt="Program automatically extracts negative section modulus (Sp) from tabular data for Vulcraft roof deck." sqref="D24"/>
    <dataValidation type="list" allowBlank="1" showInputMessage="1" showErrorMessage="1" sqref="D11">
      <formula1>$L$5:$L$7</formula1>
    </dataValidation>
    <dataValidation type="list" allowBlank="1" showInputMessage="1" showErrorMessage="1" sqref="D9">
      <formula1>$AB$8:$AB$25</formula1>
    </dataValidation>
    <dataValidation type="list" allowBlank="1" showInputMessage="1" showErrorMessage="1" prompt="For Vulcraft steel roof deck, typical value of steel yield strength, 'Fyd', is 33 ksi." sqref="D10">
      <formula1>$L$8:$L$12</formula1>
    </dataValidation>
    <dataValidation allowBlank="1" showInputMessage="1" showErrorMessage="1" prompt="Program automatically extracts negative moment of inertia (In) from tabular data for Vulcraft roof deck." sqref="D21"/>
    <dataValidation allowBlank="1" showInputMessage="1" showErrorMessage="1" prompt="Input either a uniformly distributed roof live loading or a uniformly distributed roof snow loading." sqref="D14"/>
  </dataValidations>
  <printOptions/>
  <pageMargins left="1" right="0.5" top="1" bottom="1" header="0.5" footer="0.5"/>
  <pageSetup horizontalDpi="600" verticalDpi="600" orientation="portrait" scale="91" r:id="rId4"/>
  <headerFooter alignWithMargins="0">
    <oddHeader>&amp;R"ROOFDECK.xls" Program
Version 1.0</oddHeader>
    <oddFooter>&amp;C&amp;P of &amp;N&amp;R&amp;D  &amp;T</oddFooter>
  </headerFooter>
  <rowBreaks count="1" manualBreakCount="1">
    <brk id="5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7" customWidth="1"/>
    <col min="2" max="2" width="9.140625" style="67" customWidth="1"/>
    <col min="3" max="3" width="10.00390625" style="67" bestFit="1" customWidth="1"/>
    <col min="4" max="9" width="9.140625" style="67" customWidth="1"/>
    <col min="10" max="10" width="8.140625" style="73" customWidth="1"/>
    <col min="11" max="13" width="9.140625" style="7" hidden="1" customWidth="1"/>
    <col min="14" max="23" width="9.140625" style="204" hidden="1" customWidth="1"/>
    <col min="24" max="26" width="9.140625" style="63" hidden="1" customWidth="1"/>
    <col min="27" max="27" width="9.140625" style="11" customWidth="1"/>
    <col min="28" max="30" width="9.140625" style="7" customWidth="1"/>
    <col min="31" max="31" width="10.7109375" style="7" customWidth="1"/>
    <col min="32" max="32" width="9.140625" style="7" customWidth="1"/>
    <col min="33" max="33" width="11.140625" style="7" customWidth="1"/>
    <col min="34" max="35" width="9.140625" style="7" customWidth="1"/>
    <col min="36" max="36" width="12.7109375" style="7" customWidth="1"/>
    <col min="37" max="37" width="9.140625" style="7" customWidth="1"/>
    <col min="38" max="38" width="12.7109375" style="7" customWidth="1"/>
    <col min="39" max="39" width="9.140625" style="7" customWidth="1"/>
    <col min="40" max="40" width="9.140625" style="12" customWidth="1"/>
    <col min="41" max="16384" width="9.140625" style="1" customWidth="1"/>
  </cols>
  <sheetData>
    <row r="1" spans="1:40" ht="15.75">
      <c r="A1" s="3" t="s">
        <v>21</v>
      </c>
      <c r="B1" s="4"/>
      <c r="C1" s="5"/>
      <c r="D1" s="5"/>
      <c r="E1" s="5"/>
      <c r="F1" s="5"/>
      <c r="G1" s="4"/>
      <c r="H1" s="4"/>
      <c r="I1" s="4"/>
      <c r="J1" s="6"/>
      <c r="M1" s="9"/>
      <c r="AA1" s="203" t="s">
        <v>95</v>
      </c>
      <c r="AD1" s="9"/>
      <c r="AN1" s="10"/>
    </row>
    <row r="2" spans="1:27" ht="12.75">
      <c r="A2" s="13" t="s">
        <v>62</v>
      </c>
      <c r="B2" s="14"/>
      <c r="C2" s="15"/>
      <c r="D2" s="14"/>
      <c r="E2" s="14"/>
      <c r="F2" s="14"/>
      <c r="G2" s="16"/>
      <c r="H2" s="16"/>
      <c r="I2" s="16"/>
      <c r="J2" s="17"/>
      <c r="AA2" s="18"/>
    </row>
    <row r="3" spans="1:36" ht="12.75">
      <c r="A3" s="19" t="s">
        <v>366</v>
      </c>
      <c r="B3" s="20"/>
      <c r="C3" s="20"/>
      <c r="D3" s="20"/>
      <c r="E3" s="20"/>
      <c r="F3" s="20"/>
      <c r="G3" s="21"/>
      <c r="H3" s="21"/>
      <c r="I3" s="21"/>
      <c r="J3" s="22"/>
      <c r="N3" s="211" t="s">
        <v>182</v>
      </c>
      <c r="AA3" s="26"/>
      <c r="AB3" s="23"/>
      <c r="AC3" s="24"/>
      <c r="AD3" s="23"/>
      <c r="AE3" s="25"/>
      <c r="AF3" s="24"/>
      <c r="AG3" s="23"/>
      <c r="AH3" s="24"/>
      <c r="AI3" s="23"/>
      <c r="AJ3" s="23"/>
    </row>
    <row r="4" spans="1:40" ht="12.75">
      <c r="A4" s="27" t="s">
        <v>10</v>
      </c>
      <c r="B4" s="28"/>
      <c r="C4" s="29"/>
      <c r="D4" s="29"/>
      <c r="E4" s="29"/>
      <c r="F4" s="30" t="s">
        <v>11</v>
      </c>
      <c r="G4" s="31"/>
      <c r="H4" s="32"/>
      <c r="I4" s="32"/>
      <c r="J4" s="33"/>
      <c r="M4" s="34"/>
      <c r="AA4" s="37"/>
      <c r="AB4" s="134" t="s">
        <v>137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6"/>
    </row>
    <row r="5" spans="1:40" ht="12.75">
      <c r="A5" s="27" t="s">
        <v>12</v>
      </c>
      <c r="B5" s="88"/>
      <c r="C5" s="38"/>
      <c r="D5" s="38"/>
      <c r="E5" s="38"/>
      <c r="F5" s="39" t="s">
        <v>13</v>
      </c>
      <c r="G5" s="31"/>
      <c r="H5" s="40"/>
      <c r="I5" s="41" t="s">
        <v>14</v>
      </c>
      <c r="J5" s="33"/>
      <c r="L5" s="36" t="s">
        <v>1</v>
      </c>
      <c r="M5" s="34"/>
      <c r="N5" s="206" t="s">
        <v>305</v>
      </c>
      <c r="O5" s="116"/>
      <c r="P5" s="116"/>
      <c r="Q5" s="116"/>
      <c r="R5" s="116"/>
      <c r="S5" s="116"/>
      <c r="T5" s="116"/>
      <c r="AB5" s="137" t="s">
        <v>96</v>
      </c>
      <c r="AC5" s="138"/>
      <c r="AD5" s="138"/>
      <c r="AE5" s="137" t="s">
        <v>97</v>
      </c>
      <c r="AF5" s="139" t="s">
        <v>98</v>
      </c>
      <c r="AG5" s="139" t="s">
        <v>99</v>
      </c>
      <c r="AH5" s="140" t="s">
        <v>100</v>
      </c>
      <c r="AI5" s="137" t="s">
        <v>101</v>
      </c>
      <c r="AJ5" s="139" t="s">
        <v>102</v>
      </c>
      <c r="AK5" s="137" t="s">
        <v>101</v>
      </c>
      <c r="AL5" s="139" t="s">
        <v>102</v>
      </c>
      <c r="AM5" s="139" t="s">
        <v>103</v>
      </c>
      <c r="AN5" s="137" t="s">
        <v>104</v>
      </c>
    </row>
    <row r="6" spans="1:40" ht="12.75">
      <c r="A6" s="44"/>
      <c r="B6" s="37"/>
      <c r="C6" s="37"/>
      <c r="D6" s="37"/>
      <c r="E6" s="37"/>
      <c r="F6" s="37"/>
      <c r="G6" s="37"/>
      <c r="H6" s="37"/>
      <c r="I6" s="45"/>
      <c r="J6" s="46"/>
      <c r="L6" s="36" t="s">
        <v>2</v>
      </c>
      <c r="M6" s="34"/>
      <c r="N6" s="213" t="s">
        <v>260</v>
      </c>
      <c r="O6" s="92">
        <f>$D$14-0.6*($D$15+$D$35)</f>
        <v>22.932000000000002</v>
      </c>
      <c r="P6" s="204" t="s">
        <v>5</v>
      </c>
      <c r="Q6" s="204" t="s">
        <v>335</v>
      </c>
      <c r="AB6" s="139" t="s">
        <v>105</v>
      </c>
      <c r="AC6" s="139" t="s">
        <v>106</v>
      </c>
      <c r="AD6" s="139" t="s">
        <v>107</v>
      </c>
      <c r="AE6" s="140" t="s">
        <v>108</v>
      </c>
      <c r="AF6" s="139" t="s">
        <v>109</v>
      </c>
      <c r="AG6" s="139" t="s">
        <v>110</v>
      </c>
      <c r="AH6" s="140" t="s">
        <v>111</v>
      </c>
      <c r="AI6" s="140" t="s">
        <v>126</v>
      </c>
      <c r="AJ6" s="140" t="s">
        <v>112</v>
      </c>
      <c r="AK6" s="140" t="s">
        <v>127</v>
      </c>
      <c r="AL6" s="140" t="s">
        <v>113</v>
      </c>
      <c r="AM6" s="140" t="s">
        <v>114</v>
      </c>
      <c r="AN6" s="139" t="s">
        <v>128</v>
      </c>
    </row>
    <row r="7" spans="1:40" ht="12.75">
      <c r="A7" s="47" t="s">
        <v>15</v>
      </c>
      <c r="B7" s="37"/>
      <c r="C7" s="37"/>
      <c r="D7" s="37"/>
      <c r="E7" s="37"/>
      <c r="F7" s="37"/>
      <c r="G7" s="37"/>
      <c r="H7" s="37"/>
      <c r="I7" s="48"/>
      <c r="J7" s="46"/>
      <c r="L7" s="36" t="s">
        <v>3</v>
      </c>
      <c r="M7" s="34"/>
      <c r="N7" s="215" t="s">
        <v>213</v>
      </c>
      <c r="O7" s="196">
        <f>IF($D$12="1-Span",0.125*$O$6/1000*$D$13^2,IF($D$12="2-Span",0.07*$O$6/1000*$D$13^2,IF($D$12="3-Span",0.08*$O$6/1000*$D$13^2)))</f>
        <v>0.06604416</v>
      </c>
      <c r="P7" s="204" t="s">
        <v>6</v>
      </c>
      <c r="Q7" s="204" t="str">
        <f>IF($D$12="1-Span","+M1 = 0.125*pd1/1000*L1^2",IF($D$12="2-Span","+M1 = 0.07*pd1/1000*L1^2",IF($D$12="3-Span","+M1 = 0.08*pd1/1000*L1^2")))</f>
        <v>+M1 = 0.08*pd1/1000*L1^2</v>
      </c>
      <c r="AB7" s="141"/>
      <c r="AC7" s="141"/>
      <c r="AD7" s="142" t="s">
        <v>115</v>
      </c>
      <c r="AE7" s="143" t="s">
        <v>116</v>
      </c>
      <c r="AF7" s="142" t="s">
        <v>115</v>
      </c>
      <c r="AG7" s="142" t="s">
        <v>115</v>
      </c>
      <c r="AH7" s="142" t="s">
        <v>115</v>
      </c>
      <c r="AI7" s="142" t="s">
        <v>117</v>
      </c>
      <c r="AJ7" s="142" t="s">
        <v>118</v>
      </c>
      <c r="AK7" s="142" t="s">
        <v>117</v>
      </c>
      <c r="AL7" s="142" t="s">
        <v>118</v>
      </c>
      <c r="AM7" s="142" t="s">
        <v>119</v>
      </c>
      <c r="AN7" s="142" t="s">
        <v>120</v>
      </c>
    </row>
    <row r="8" spans="1:40" ht="12.75">
      <c r="A8" s="53"/>
      <c r="B8" s="90"/>
      <c r="C8" s="90"/>
      <c r="D8" s="90"/>
      <c r="E8" s="90"/>
      <c r="F8" s="90"/>
      <c r="G8" s="90"/>
      <c r="H8" s="90"/>
      <c r="I8" s="90"/>
      <c r="J8" s="46"/>
      <c r="L8" s="86">
        <v>33</v>
      </c>
      <c r="M8" s="83"/>
      <c r="N8" s="215" t="s">
        <v>214</v>
      </c>
      <c r="O8" s="196">
        <f>IF($D$12="1-Span","N.A.",IF($D$12="2-Span",0.125*$O$6/1000*$D$13^2,IF($D$12="3-Span",0.1*$O$6/1000*$D$13^2)))</f>
        <v>0.0825552</v>
      </c>
      <c r="P8" s="204" t="s">
        <v>6</v>
      </c>
      <c r="Q8" s="204" t="str">
        <f>IF($D$12="1-Span","-M1 = N.A. (for 1-Span condition)",IF($D$12="2-Span","-M1 = 0.125*pd1/1000*L1^2",IF($D$12="3-Span","-M1 = 0.1*pd1/1000*L1^2")))</f>
        <v>-M1 = 0.1*pd1/1000*L1^2</v>
      </c>
      <c r="AB8" s="147" t="s">
        <v>125</v>
      </c>
      <c r="AC8" s="150">
        <v>22</v>
      </c>
      <c r="AD8" s="153">
        <v>0.0295</v>
      </c>
      <c r="AE8" s="156">
        <v>1.78</v>
      </c>
      <c r="AF8" s="150">
        <v>1.5</v>
      </c>
      <c r="AG8" s="150">
        <v>2.5</v>
      </c>
      <c r="AH8" s="150">
        <v>6</v>
      </c>
      <c r="AI8" s="144">
        <v>0.155</v>
      </c>
      <c r="AJ8" s="144">
        <v>0.186</v>
      </c>
      <c r="AK8" s="144">
        <v>0.183</v>
      </c>
      <c r="AL8" s="144">
        <v>0.192</v>
      </c>
      <c r="AM8" s="162">
        <v>33</v>
      </c>
      <c r="AN8" s="159">
        <v>1818</v>
      </c>
    </row>
    <row r="9" spans="1:40" ht="12.75">
      <c r="A9" s="221" t="s">
        <v>61</v>
      </c>
      <c r="B9" s="10"/>
      <c r="C9" s="58"/>
      <c r="D9" s="58"/>
      <c r="E9" s="58"/>
      <c r="F9" s="58"/>
      <c r="G9" s="58"/>
      <c r="H9" s="58"/>
      <c r="I9" s="222"/>
      <c r="J9" s="130"/>
      <c r="L9" s="86">
        <v>40</v>
      </c>
      <c r="M9" s="84"/>
      <c r="N9" s="213" t="s">
        <v>215</v>
      </c>
      <c r="O9" s="92">
        <f>MIN(0.6*$D$11,36)</f>
        <v>19.8</v>
      </c>
      <c r="P9" s="204" t="s">
        <v>7</v>
      </c>
      <c r="Q9" s="116" t="s">
        <v>328</v>
      </c>
      <c r="V9" s="197"/>
      <c r="AB9" s="148" t="s">
        <v>124</v>
      </c>
      <c r="AC9" s="151">
        <v>20</v>
      </c>
      <c r="AD9" s="154">
        <v>0.0358</v>
      </c>
      <c r="AE9" s="157">
        <v>2.14</v>
      </c>
      <c r="AF9" s="151">
        <v>1.5</v>
      </c>
      <c r="AG9" s="151">
        <v>2.5</v>
      </c>
      <c r="AH9" s="151">
        <v>6</v>
      </c>
      <c r="AI9" s="145">
        <v>0.201</v>
      </c>
      <c r="AJ9" s="145">
        <v>0.234</v>
      </c>
      <c r="AK9" s="145">
        <v>0.222</v>
      </c>
      <c r="AL9" s="145">
        <v>0.247</v>
      </c>
      <c r="AM9" s="163">
        <v>33</v>
      </c>
      <c r="AN9" s="160">
        <v>2193</v>
      </c>
    </row>
    <row r="10" spans="1:40" ht="12.75">
      <c r="A10" s="75"/>
      <c r="B10" s="49"/>
      <c r="C10" s="2" t="s">
        <v>60</v>
      </c>
      <c r="D10" s="165" t="s">
        <v>125</v>
      </c>
      <c r="E10" s="223"/>
      <c r="F10" s="58"/>
      <c r="G10" s="58"/>
      <c r="H10" s="58"/>
      <c r="I10" s="61"/>
      <c r="J10" s="131"/>
      <c r="L10" s="86">
        <v>50</v>
      </c>
      <c r="M10" s="85"/>
      <c r="N10" s="215" t="s">
        <v>216</v>
      </c>
      <c r="O10" s="92">
        <f>$O$7*12/$D$40</f>
        <v>4.12776</v>
      </c>
      <c r="P10" s="204" t="s">
        <v>7</v>
      </c>
      <c r="Q10" s="214" t="s">
        <v>336</v>
      </c>
      <c r="V10" s="197"/>
      <c r="AB10" s="148" t="s">
        <v>123</v>
      </c>
      <c r="AC10" s="151">
        <v>19</v>
      </c>
      <c r="AD10" s="154">
        <v>0.0418</v>
      </c>
      <c r="AE10" s="157">
        <v>2.49</v>
      </c>
      <c r="AF10" s="151">
        <v>1.5</v>
      </c>
      <c r="AG10" s="151">
        <v>2.5</v>
      </c>
      <c r="AH10" s="151">
        <v>6</v>
      </c>
      <c r="AI10" s="145">
        <v>0.246</v>
      </c>
      <c r="AJ10" s="145">
        <v>0.277</v>
      </c>
      <c r="AK10" s="145">
        <v>0.26</v>
      </c>
      <c r="AL10" s="145">
        <v>0.289</v>
      </c>
      <c r="AM10" s="163">
        <v>33</v>
      </c>
      <c r="AN10" s="160">
        <v>2546</v>
      </c>
    </row>
    <row r="11" spans="1:40" ht="12.75">
      <c r="A11" s="76"/>
      <c r="B11" s="105"/>
      <c r="C11" s="2" t="s">
        <v>325</v>
      </c>
      <c r="D11" s="79">
        <v>33</v>
      </c>
      <c r="E11" s="93" t="s">
        <v>7</v>
      </c>
      <c r="F11" s="58"/>
      <c r="G11" s="58"/>
      <c r="H11" s="58"/>
      <c r="I11" s="222"/>
      <c r="J11" s="130"/>
      <c r="L11" s="86">
        <v>60</v>
      </c>
      <c r="M11" s="85"/>
      <c r="N11" s="215" t="s">
        <v>217</v>
      </c>
      <c r="O11" s="92">
        <f>IF($D$12="1-Span","N.A.",$O$8*12/$D$39)</f>
        <v>5.326141935483871</v>
      </c>
      <c r="P11" s="204" t="s">
        <v>7</v>
      </c>
      <c r="Q11" s="214" t="s">
        <v>337</v>
      </c>
      <c r="V11" s="197"/>
      <c r="AB11" s="148" t="s">
        <v>122</v>
      </c>
      <c r="AC11" s="151">
        <v>18</v>
      </c>
      <c r="AD11" s="154">
        <v>0.0474</v>
      </c>
      <c r="AE11" s="157">
        <v>2.82</v>
      </c>
      <c r="AF11" s="151">
        <v>1.5</v>
      </c>
      <c r="AG11" s="151">
        <v>2.5</v>
      </c>
      <c r="AH11" s="151">
        <v>6</v>
      </c>
      <c r="AI11" s="145">
        <v>0.289</v>
      </c>
      <c r="AJ11" s="145">
        <v>0.318</v>
      </c>
      <c r="AK11" s="145">
        <v>0.295</v>
      </c>
      <c r="AL11" s="145">
        <v>0.327</v>
      </c>
      <c r="AM11" s="163">
        <v>33</v>
      </c>
      <c r="AN11" s="160">
        <v>2870</v>
      </c>
    </row>
    <row r="12" spans="1:40" ht="12.75">
      <c r="A12" s="77"/>
      <c r="B12" s="56"/>
      <c r="C12" s="49" t="s">
        <v>20</v>
      </c>
      <c r="D12" s="79" t="s">
        <v>3</v>
      </c>
      <c r="E12" s="93"/>
      <c r="F12" s="58"/>
      <c r="G12" s="58"/>
      <c r="H12" s="58"/>
      <c r="I12" s="61"/>
      <c r="J12" s="131"/>
      <c r="L12" s="86">
        <v>80</v>
      </c>
      <c r="M12" s="85"/>
      <c r="N12" s="213" t="s">
        <v>218</v>
      </c>
      <c r="O12" s="92">
        <f>MAX($O$10,$O$11)</f>
        <v>5.326141935483871</v>
      </c>
      <c r="P12" s="204" t="s">
        <v>7</v>
      </c>
      <c r="Q12" s="204" t="s">
        <v>28</v>
      </c>
      <c r="V12" s="10"/>
      <c r="AB12" s="148" t="s">
        <v>121</v>
      </c>
      <c r="AC12" s="151">
        <v>16</v>
      </c>
      <c r="AD12" s="154">
        <v>0.0598</v>
      </c>
      <c r="AE12" s="157">
        <v>3.54</v>
      </c>
      <c r="AF12" s="151">
        <v>1.5</v>
      </c>
      <c r="AG12" s="151">
        <v>2.5</v>
      </c>
      <c r="AH12" s="151">
        <v>6</v>
      </c>
      <c r="AI12" s="145">
        <v>0.373</v>
      </c>
      <c r="AJ12" s="145">
        <v>0.408</v>
      </c>
      <c r="AK12" s="145">
        <v>0.373</v>
      </c>
      <c r="AL12" s="145">
        <v>0.411</v>
      </c>
      <c r="AM12" s="163">
        <v>33</v>
      </c>
      <c r="AN12" s="160">
        <v>3578</v>
      </c>
    </row>
    <row r="13" spans="1:40" ht="12.75">
      <c r="A13" s="77"/>
      <c r="B13" s="105"/>
      <c r="C13" s="49" t="s">
        <v>313</v>
      </c>
      <c r="D13" s="80">
        <v>6</v>
      </c>
      <c r="E13" s="93" t="s">
        <v>4</v>
      </c>
      <c r="F13" s="58"/>
      <c r="G13" s="58"/>
      <c r="H13" s="58"/>
      <c r="I13" s="222"/>
      <c r="J13" s="130"/>
      <c r="L13" s="62"/>
      <c r="M13" s="85"/>
      <c r="N13" s="213" t="s">
        <v>219</v>
      </c>
      <c r="O13" s="196">
        <f>$O$12/$O$9</f>
        <v>0.26899706744868035</v>
      </c>
      <c r="Q13" s="204" t="str">
        <f>"SR1 = fb1(max)/Fb1"</f>
        <v>SR1 = fb1(max)/Fb1</v>
      </c>
      <c r="S13" s="197"/>
      <c r="V13" s="116"/>
      <c r="AB13" s="147" t="s">
        <v>132</v>
      </c>
      <c r="AC13" s="150">
        <v>22</v>
      </c>
      <c r="AD13" s="153">
        <v>0.0295</v>
      </c>
      <c r="AE13" s="156">
        <v>1.73</v>
      </c>
      <c r="AF13" s="150">
        <v>1.5</v>
      </c>
      <c r="AG13" s="150">
        <v>1.75</v>
      </c>
      <c r="AH13" s="150">
        <v>6</v>
      </c>
      <c r="AI13" s="144">
        <v>0.113</v>
      </c>
      <c r="AJ13" s="144">
        <v>0.112</v>
      </c>
      <c r="AK13" s="144">
        <v>0.129</v>
      </c>
      <c r="AL13" s="144">
        <v>0.121</v>
      </c>
      <c r="AM13" s="162">
        <v>33</v>
      </c>
      <c r="AN13" s="159">
        <v>1944</v>
      </c>
    </row>
    <row r="14" spans="1:40" ht="12.75">
      <c r="A14" s="77"/>
      <c r="B14" s="49"/>
      <c r="C14" s="49" t="s">
        <v>258</v>
      </c>
      <c r="D14" s="81">
        <v>27</v>
      </c>
      <c r="E14" s="93" t="s">
        <v>5</v>
      </c>
      <c r="F14" s="58"/>
      <c r="G14" s="58"/>
      <c r="H14" s="58"/>
      <c r="I14" s="61"/>
      <c r="J14" s="131"/>
      <c r="L14" s="62"/>
      <c r="M14" s="85"/>
      <c r="N14" s="213"/>
      <c r="O14" s="92"/>
      <c r="AB14" s="148" t="s">
        <v>131</v>
      </c>
      <c r="AC14" s="151">
        <v>20</v>
      </c>
      <c r="AD14" s="154">
        <v>0.0358</v>
      </c>
      <c r="AE14" s="157">
        <v>2.09</v>
      </c>
      <c r="AF14" s="151">
        <v>1.5</v>
      </c>
      <c r="AG14" s="151">
        <v>1.75</v>
      </c>
      <c r="AH14" s="151">
        <v>6</v>
      </c>
      <c r="AI14" s="145">
        <v>0.145</v>
      </c>
      <c r="AJ14" s="145">
        <v>0.139</v>
      </c>
      <c r="AK14" s="145">
        <v>0.157</v>
      </c>
      <c r="AL14" s="145">
        <v>0.148</v>
      </c>
      <c r="AM14" s="163">
        <v>33</v>
      </c>
      <c r="AN14" s="160">
        <v>2347</v>
      </c>
    </row>
    <row r="15" spans="1:40" ht="12.75">
      <c r="A15" s="76"/>
      <c r="B15" s="49"/>
      <c r="C15" s="49" t="s">
        <v>322</v>
      </c>
      <c r="D15" s="91">
        <v>5</v>
      </c>
      <c r="E15" s="93" t="s">
        <v>5</v>
      </c>
      <c r="F15" s="58"/>
      <c r="G15" s="58"/>
      <c r="H15" s="58"/>
      <c r="I15" s="222"/>
      <c r="J15" s="130"/>
      <c r="L15" s="62"/>
      <c r="M15" s="85"/>
      <c r="N15" s="247" t="s">
        <v>397</v>
      </c>
      <c r="AB15" s="148" t="s">
        <v>130</v>
      </c>
      <c r="AC15" s="151">
        <v>19</v>
      </c>
      <c r="AD15" s="154">
        <v>0.0418</v>
      </c>
      <c r="AE15" s="157">
        <v>2.42</v>
      </c>
      <c r="AF15" s="151">
        <v>1.5</v>
      </c>
      <c r="AG15" s="151">
        <v>1.75</v>
      </c>
      <c r="AH15" s="151">
        <v>6</v>
      </c>
      <c r="AI15" s="145">
        <v>0.177</v>
      </c>
      <c r="AJ15" s="145">
        <v>0.166</v>
      </c>
      <c r="AK15" s="145">
        <v>0.183</v>
      </c>
      <c r="AL15" s="145">
        <v>0.172</v>
      </c>
      <c r="AM15" s="163">
        <v>33</v>
      </c>
      <c r="AN15" s="160">
        <v>2726</v>
      </c>
    </row>
    <row r="16" spans="1:40" ht="12.75">
      <c r="A16" s="221" t="s">
        <v>58</v>
      </c>
      <c r="B16" s="10"/>
      <c r="C16" s="58"/>
      <c r="D16" s="58"/>
      <c r="E16" s="58"/>
      <c r="F16" s="58"/>
      <c r="G16" s="129"/>
      <c r="H16" s="103"/>
      <c r="I16" s="103"/>
      <c r="J16" s="102"/>
      <c r="L16" s="62"/>
      <c r="M16" s="85"/>
      <c r="N16" s="208" t="s">
        <v>399</v>
      </c>
      <c r="O16" s="205">
        <f>IF($D$12="1-Span",0.013*$D$14/12000*($D$13*12)^4/(29500*$D$37),IF($D$12="2-Span",0.0054*$D$14/12000*($D$13*12)^4/(29500*$D$38),IF($D$12="3-Span",0.0069*$D$14/12000*($D$13*12)^4/(29500*$D$38))))</f>
        <v>0.08368601231571558</v>
      </c>
      <c r="P16" s="116" t="s">
        <v>71</v>
      </c>
      <c r="Q16" s="116" t="str">
        <f>IF($D$12="1-Span","Δ1(max) = 0.013*p1/12000*(L1*12)^4/(E*In1)",IF($D$12="2-Span","Δ1(max) = 0.0054*p1/12000*(L1*12)^4/(E*I1)",IF($D$12="3-Span","Δ1(max) = 0.0069*p1/12000*(L1*12)^4/(E*I1)")))</f>
        <v>Δ1(max) = 0.0069*p1/12000*(L1*12)^4/(E*I1)</v>
      </c>
      <c r="AB16" s="149" t="s">
        <v>129</v>
      </c>
      <c r="AC16" s="152">
        <v>18</v>
      </c>
      <c r="AD16" s="155">
        <v>0.0474</v>
      </c>
      <c r="AE16" s="158">
        <v>2.74</v>
      </c>
      <c r="AF16" s="152">
        <v>1.5</v>
      </c>
      <c r="AG16" s="152">
        <v>1.75</v>
      </c>
      <c r="AH16" s="152">
        <v>6</v>
      </c>
      <c r="AI16" s="146">
        <v>0.206</v>
      </c>
      <c r="AJ16" s="146">
        <v>0.19</v>
      </c>
      <c r="AK16" s="146">
        <v>0.208</v>
      </c>
      <c r="AL16" s="146">
        <v>0.195</v>
      </c>
      <c r="AM16" s="164">
        <v>33</v>
      </c>
      <c r="AN16" s="161">
        <v>3077</v>
      </c>
    </row>
    <row r="17" spans="1:40" ht="12.75">
      <c r="A17" s="75"/>
      <c r="B17" s="49"/>
      <c r="C17" s="2" t="s">
        <v>60</v>
      </c>
      <c r="D17" s="165" t="s">
        <v>125</v>
      </c>
      <c r="E17" s="223"/>
      <c r="F17" s="58"/>
      <c r="G17" s="58"/>
      <c r="H17" s="58"/>
      <c r="I17" s="58"/>
      <c r="J17" s="102"/>
      <c r="L17" s="62"/>
      <c r="M17" s="85"/>
      <c r="N17" s="208" t="s">
        <v>400</v>
      </c>
      <c r="O17" s="205">
        <f>MIN($D$13*12/240,1)</f>
        <v>0.3</v>
      </c>
      <c r="P17" s="116" t="s">
        <v>71</v>
      </c>
      <c r="Q17" s="210" t="s">
        <v>404</v>
      </c>
      <c r="AB17" s="147" t="s">
        <v>136</v>
      </c>
      <c r="AC17" s="150">
        <v>22</v>
      </c>
      <c r="AD17" s="153">
        <v>0.0295</v>
      </c>
      <c r="AE17" s="156">
        <v>1.8</v>
      </c>
      <c r="AF17" s="150">
        <v>1.5</v>
      </c>
      <c r="AG17" s="150">
        <v>1</v>
      </c>
      <c r="AH17" s="150">
        <v>6</v>
      </c>
      <c r="AI17" s="144">
        <v>0.104</v>
      </c>
      <c r="AJ17" s="144">
        <v>0.098</v>
      </c>
      <c r="AK17" s="144">
        <v>0.12</v>
      </c>
      <c r="AL17" s="144">
        <v>0.106</v>
      </c>
      <c r="AM17" s="162">
        <v>33</v>
      </c>
      <c r="AN17" s="159">
        <v>1700</v>
      </c>
    </row>
    <row r="18" spans="1:40" ht="12.75">
      <c r="A18" s="76"/>
      <c r="B18" s="105"/>
      <c r="C18" s="2" t="s">
        <v>326</v>
      </c>
      <c r="D18" s="79">
        <v>33</v>
      </c>
      <c r="E18" s="93" t="s">
        <v>7</v>
      </c>
      <c r="F18" s="58"/>
      <c r="G18" s="58"/>
      <c r="H18" s="58"/>
      <c r="I18" s="58"/>
      <c r="J18" s="102"/>
      <c r="L18" s="62"/>
      <c r="M18" s="85"/>
      <c r="AB18" s="148" t="s">
        <v>135</v>
      </c>
      <c r="AC18" s="151">
        <v>20</v>
      </c>
      <c r="AD18" s="154">
        <v>0.0358</v>
      </c>
      <c r="AE18" s="157">
        <v>2.16</v>
      </c>
      <c r="AF18" s="151">
        <v>1.5</v>
      </c>
      <c r="AG18" s="151">
        <v>1</v>
      </c>
      <c r="AH18" s="151">
        <v>6</v>
      </c>
      <c r="AI18" s="145">
        <v>0.134</v>
      </c>
      <c r="AJ18" s="145">
        <v>0.122</v>
      </c>
      <c r="AK18" s="145">
        <v>0.145</v>
      </c>
      <c r="AL18" s="145">
        <v>0.13</v>
      </c>
      <c r="AM18" s="163">
        <v>33</v>
      </c>
      <c r="AN18" s="160">
        <v>2049</v>
      </c>
    </row>
    <row r="19" spans="1:40" ht="12.75">
      <c r="A19" s="77"/>
      <c r="B19" s="56"/>
      <c r="C19" s="49" t="s">
        <v>20</v>
      </c>
      <c r="D19" s="79" t="s">
        <v>3</v>
      </c>
      <c r="E19" s="93"/>
      <c r="F19" s="58"/>
      <c r="G19" s="58"/>
      <c r="H19" s="58"/>
      <c r="I19" s="58"/>
      <c r="J19" s="102"/>
      <c r="L19" s="62"/>
      <c r="M19" s="85"/>
      <c r="N19" s="206" t="s">
        <v>307</v>
      </c>
      <c r="O19" s="116"/>
      <c r="P19" s="116"/>
      <c r="Q19" s="116"/>
      <c r="R19" s="116"/>
      <c r="S19" s="116"/>
      <c r="T19" s="116"/>
      <c r="V19" s="10"/>
      <c r="AB19" s="148" t="s">
        <v>134</v>
      </c>
      <c r="AC19" s="151">
        <v>19</v>
      </c>
      <c r="AD19" s="154">
        <v>0.0418</v>
      </c>
      <c r="AE19" s="157">
        <v>2.51</v>
      </c>
      <c r="AF19" s="151">
        <v>1.5</v>
      </c>
      <c r="AG19" s="151">
        <v>1</v>
      </c>
      <c r="AH19" s="151">
        <v>6</v>
      </c>
      <c r="AI19" s="145">
        <v>0.163</v>
      </c>
      <c r="AJ19" s="145">
        <v>0.145</v>
      </c>
      <c r="AK19" s="145">
        <v>0.17</v>
      </c>
      <c r="AL19" s="145">
        <v>0.152</v>
      </c>
      <c r="AM19" s="163">
        <v>33</v>
      </c>
      <c r="AN19" s="160">
        <v>2377</v>
      </c>
    </row>
    <row r="20" spans="1:40" ht="12.75">
      <c r="A20" s="77"/>
      <c r="B20" s="105"/>
      <c r="C20" s="49" t="s">
        <v>314</v>
      </c>
      <c r="D20" s="80">
        <v>6</v>
      </c>
      <c r="E20" s="93" t="s">
        <v>4</v>
      </c>
      <c r="F20" s="58"/>
      <c r="G20" s="58"/>
      <c r="H20" s="58"/>
      <c r="I20" s="58"/>
      <c r="J20" s="102"/>
      <c r="L20" s="62"/>
      <c r="M20" s="85"/>
      <c r="N20" s="213" t="s">
        <v>261</v>
      </c>
      <c r="O20" s="92">
        <f>$D$21-0.6*($D$22+$D$60)</f>
        <v>41.932</v>
      </c>
      <c r="P20" s="204" t="s">
        <v>5</v>
      </c>
      <c r="Q20" s="204" t="s">
        <v>338</v>
      </c>
      <c r="V20" s="116"/>
      <c r="AB20" s="149" t="s">
        <v>133</v>
      </c>
      <c r="AC20" s="152">
        <v>18</v>
      </c>
      <c r="AD20" s="155">
        <v>0.0474</v>
      </c>
      <c r="AE20" s="158">
        <v>2.84</v>
      </c>
      <c r="AF20" s="152">
        <v>1.5</v>
      </c>
      <c r="AG20" s="152">
        <v>1</v>
      </c>
      <c r="AH20" s="152">
        <v>6</v>
      </c>
      <c r="AI20" s="146">
        <v>0.19</v>
      </c>
      <c r="AJ20" s="146">
        <v>0.167</v>
      </c>
      <c r="AK20" s="146">
        <v>0.193</v>
      </c>
      <c r="AL20" s="146">
        <v>0.172</v>
      </c>
      <c r="AM20" s="164">
        <v>33</v>
      </c>
      <c r="AN20" s="161">
        <v>2679</v>
      </c>
    </row>
    <row r="21" spans="1:40" ht="12.75">
      <c r="A21" s="77"/>
      <c r="B21" s="49"/>
      <c r="C21" s="49" t="s">
        <v>259</v>
      </c>
      <c r="D21" s="81">
        <v>46</v>
      </c>
      <c r="E21" s="93" t="s">
        <v>5</v>
      </c>
      <c r="F21" s="58"/>
      <c r="G21" s="58"/>
      <c r="H21" s="58"/>
      <c r="I21" s="58"/>
      <c r="J21" s="102"/>
      <c r="L21" s="62"/>
      <c r="M21" s="85"/>
      <c r="N21" s="215" t="s">
        <v>220</v>
      </c>
      <c r="O21" s="196">
        <f>IF($D$19="1-Span",0.125*$O$20/1000*$D$20^2,IF($D$19="2-Span",0.07*$O$20/1000*$D$20^2,IF($D$19="3-Span",0.08*$O$20/1000*$D$20^2)))</f>
        <v>0.12076416000000001</v>
      </c>
      <c r="P21" s="204" t="s">
        <v>6</v>
      </c>
      <c r="Q21" s="204" t="str">
        <f>IF($D$19="1-Span","+M2 = 0.125*pd2/1000*L2^2",IF($D$19="2-Span","+M2 = 0.07*pd2/1000*L2^2",IF($D$19="3-Span","+M2 = 0.08*pd2/1000*L2^2")))</f>
        <v>+M2 = 0.08*pd2/1000*L2^2</v>
      </c>
      <c r="V21" s="116"/>
      <c r="AB21" s="147" t="s">
        <v>142</v>
      </c>
      <c r="AC21" s="150">
        <v>22</v>
      </c>
      <c r="AD21" s="153">
        <v>0.0295</v>
      </c>
      <c r="AE21" s="156">
        <v>2.26</v>
      </c>
      <c r="AF21" s="150">
        <v>3</v>
      </c>
      <c r="AG21" s="150">
        <v>2.625</v>
      </c>
      <c r="AH21" s="150">
        <v>8</v>
      </c>
      <c r="AI21" s="144">
        <v>0.659</v>
      </c>
      <c r="AJ21" s="144">
        <v>0.382</v>
      </c>
      <c r="AK21" s="144">
        <v>0.884</v>
      </c>
      <c r="AL21" s="144">
        <v>0.433</v>
      </c>
      <c r="AM21" s="162">
        <v>33</v>
      </c>
      <c r="AN21" s="159">
        <v>2232</v>
      </c>
    </row>
    <row r="22" spans="1:40" ht="12.75">
      <c r="A22" s="53"/>
      <c r="B22" s="58"/>
      <c r="C22" s="49" t="s">
        <v>323</v>
      </c>
      <c r="D22" s="91">
        <v>5</v>
      </c>
      <c r="E22" s="93" t="s">
        <v>5</v>
      </c>
      <c r="F22" s="58"/>
      <c r="G22" s="58"/>
      <c r="H22" s="58"/>
      <c r="I22" s="58"/>
      <c r="J22" s="102"/>
      <c r="L22" s="62"/>
      <c r="M22" s="85"/>
      <c r="N22" s="215" t="s">
        <v>221</v>
      </c>
      <c r="O22" s="196">
        <f>IF($D$19="1-Span","N.A.",IF($D$19="2-Span",0.125*$O$20/1000*$D$20^2,IF($D$19="3-Span",0.1*$O$20/1000*$D$20^2)))</f>
        <v>0.1509552</v>
      </c>
      <c r="P22" s="204" t="s">
        <v>6</v>
      </c>
      <c r="Q22" s="204" t="str">
        <f>IF($D$19="1-Span","-M2 = N.A. (for 1-Span condition)",IF($D$19="2-Span","-M2 = 0.125*pd2/1000*L2^2",IF($D$19="3-Span","-M2 = 0.1*pd2/1000*L2^2")))</f>
        <v>-M2 = 0.1*pd2/1000*L2^2</v>
      </c>
      <c r="V22" s="10"/>
      <c r="AB22" s="148" t="s">
        <v>141</v>
      </c>
      <c r="AC22" s="151">
        <v>20</v>
      </c>
      <c r="AD22" s="154">
        <v>0.0358</v>
      </c>
      <c r="AE22" s="157">
        <v>2.71</v>
      </c>
      <c r="AF22" s="151">
        <v>3</v>
      </c>
      <c r="AG22" s="151">
        <v>2.625</v>
      </c>
      <c r="AH22" s="151">
        <v>8</v>
      </c>
      <c r="AI22" s="145">
        <v>0.848</v>
      </c>
      <c r="AJ22" s="145">
        <v>0.501</v>
      </c>
      <c r="AK22" s="145">
        <v>1.079</v>
      </c>
      <c r="AL22" s="145">
        <v>0.552</v>
      </c>
      <c r="AM22" s="163">
        <v>33</v>
      </c>
      <c r="AN22" s="160">
        <v>3287</v>
      </c>
    </row>
    <row r="23" spans="1:40" ht="12.75">
      <c r="A23" s="221" t="s">
        <v>59</v>
      </c>
      <c r="B23" s="10"/>
      <c r="C23" s="58"/>
      <c r="D23" s="58"/>
      <c r="E23" s="58"/>
      <c r="F23" s="58"/>
      <c r="G23" s="58"/>
      <c r="H23" s="58"/>
      <c r="I23" s="58"/>
      <c r="J23" s="102"/>
      <c r="L23" s="62"/>
      <c r="M23" s="85"/>
      <c r="N23" s="213" t="s">
        <v>222</v>
      </c>
      <c r="O23" s="92">
        <f>MIN(0.6*$D$18,36)</f>
        <v>19.8</v>
      </c>
      <c r="P23" s="204" t="s">
        <v>7</v>
      </c>
      <c r="Q23" s="116" t="s">
        <v>329</v>
      </c>
      <c r="V23" s="10"/>
      <c r="AB23" s="148" t="s">
        <v>140</v>
      </c>
      <c r="AC23" s="151">
        <v>19</v>
      </c>
      <c r="AD23" s="154">
        <v>0.0418</v>
      </c>
      <c r="AE23" s="157">
        <v>3.15</v>
      </c>
      <c r="AF23" s="151">
        <v>3</v>
      </c>
      <c r="AG23" s="151">
        <v>2.625</v>
      </c>
      <c r="AH23" s="151">
        <v>8</v>
      </c>
      <c r="AI23" s="145">
        <v>1.045</v>
      </c>
      <c r="AJ23" s="145">
        <v>0.597</v>
      </c>
      <c r="AK23" s="145">
        <v>1.26</v>
      </c>
      <c r="AL23" s="145">
        <v>0.659</v>
      </c>
      <c r="AM23" s="163">
        <v>33</v>
      </c>
      <c r="AN23" s="160">
        <v>4217</v>
      </c>
    </row>
    <row r="24" spans="1:40" ht="12.75">
      <c r="A24" s="75"/>
      <c r="B24" s="49"/>
      <c r="C24" s="2" t="s">
        <v>60</v>
      </c>
      <c r="D24" s="165" t="s">
        <v>125</v>
      </c>
      <c r="E24" s="223"/>
      <c r="F24" s="58"/>
      <c r="G24" s="58"/>
      <c r="H24" s="58"/>
      <c r="I24" s="58"/>
      <c r="J24" s="102"/>
      <c r="L24" s="62"/>
      <c r="M24" s="85"/>
      <c r="N24" s="215" t="s">
        <v>223</v>
      </c>
      <c r="O24" s="92">
        <f>$O$21*12/$D$65</f>
        <v>7.54776</v>
      </c>
      <c r="P24" s="204" t="s">
        <v>7</v>
      </c>
      <c r="Q24" s="214" t="s">
        <v>339</v>
      </c>
      <c r="V24" s="10"/>
      <c r="AB24" s="148" t="s">
        <v>139</v>
      </c>
      <c r="AC24" s="151">
        <v>18</v>
      </c>
      <c r="AD24" s="154">
        <v>0.0474</v>
      </c>
      <c r="AE24" s="157">
        <v>3.56</v>
      </c>
      <c r="AF24" s="151">
        <v>3</v>
      </c>
      <c r="AG24" s="151">
        <v>2.625</v>
      </c>
      <c r="AH24" s="151">
        <v>8</v>
      </c>
      <c r="AI24" s="145">
        <v>1.238</v>
      </c>
      <c r="AJ24" s="145">
        <v>0.688</v>
      </c>
      <c r="AK24" s="145">
        <v>1.43</v>
      </c>
      <c r="AL24" s="145">
        <v>0.749</v>
      </c>
      <c r="AM24" s="163">
        <v>33</v>
      </c>
      <c r="AN24" s="160">
        <v>4771</v>
      </c>
    </row>
    <row r="25" spans="1:40" ht="12.75">
      <c r="A25" s="76"/>
      <c r="B25" s="105"/>
      <c r="C25" s="2" t="s">
        <v>327</v>
      </c>
      <c r="D25" s="79">
        <v>33</v>
      </c>
      <c r="E25" s="93" t="s">
        <v>7</v>
      </c>
      <c r="F25" s="58"/>
      <c r="G25" s="58"/>
      <c r="H25" s="58"/>
      <c r="I25" s="58"/>
      <c r="J25" s="102"/>
      <c r="L25" s="62"/>
      <c r="M25" s="85"/>
      <c r="N25" s="215" t="s">
        <v>224</v>
      </c>
      <c r="O25" s="92">
        <f>IF($D$19="1-Span","N.A.",$O$22*12/$D$64)</f>
        <v>9.739045161290324</v>
      </c>
      <c r="P25" s="204" t="s">
        <v>7</v>
      </c>
      <c r="Q25" s="214" t="s">
        <v>340</v>
      </c>
      <c r="V25" s="10"/>
      <c r="AB25" s="149" t="s">
        <v>138</v>
      </c>
      <c r="AC25" s="152">
        <v>16</v>
      </c>
      <c r="AD25" s="155">
        <v>0.0598</v>
      </c>
      <c r="AE25" s="158">
        <v>4.46</v>
      </c>
      <c r="AF25" s="152">
        <v>3</v>
      </c>
      <c r="AG25" s="152">
        <v>2.625</v>
      </c>
      <c r="AH25" s="152">
        <v>8</v>
      </c>
      <c r="AI25" s="146">
        <v>1.683</v>
      </c>
      <c r="AJ25" s="146">
        <v>0.893</v>
      </c>
      <c r="AK25" s="146">
        <v>1.807</v>
      </c>
      <c r="AL25" s="146">
        <v>0.944</v>
      </c>
      <c r="AM25" s="164">
        <v>33</v>
      </c>
      <c r="AN25" s="161">
        <v>5988</v>
      </c>
    </row>
    <row r="26" spans="1:22" ht="12.75">
      <c r="A26" s="77"/>
      <c r="B26" s="56"/>
      <c r="C26" s="49" t="s">
        <v>20</v>
      </c>
      <c r="D26" s="79" t="s">
        <v>3</v>
      </c>
      <c r="E26" s="93"/>
      <c r="F26" s="58"/>
      <c r="G26" s="58"/>
      <c r="H26" s="58"/>
      <c r="I26" s="58"/>
      <c r="J26" s="102"/>
      <c r="L26" s="62"/>
      <c r="M26" s="86"/>
      <c r="N26" s="213" t="s">
        <v>225</v>
      </c>
      <c r="O26" s="92">
        <f>MAX($O$24,$O$25)</f>
        <v>9.739045161290324</v>
      </c>
      <c r="P26" s="204" t="s">
        <v>7</v>
      </c>
      <c r="Q26" s="204" t="s">
        <v>35</v>
      </c>
      <c r="V26" s="197"/>
    </row>
    <row r="27" spans="1:22" ht="12.75">
      <c r="A27" s="77"/>
      <c r="B27" s="105"/>
      <c r="C27" s="49" t="s">
        <v>315</v>
      </c>
      <c r="D27" s="80">
        <v>6</v>
      </c>
      <c r="E27" s="93" t="s">
        <v>4</v>
      </c>
      <c r="F27" s="58"/>
      <c r="G27" s="58"/>
      <c r="H27" s="58"/>
      <c r="I27" s="58"/>
      <c r="J27" s="102"/>
      <c r="L27" s="62"/>
      <c r="M27" s="86"/>
      <c r="N27" s="213" t="s">
        <v>226</v>
      </c>
      <c r="O27" s="196">
        <f>$O$26/$O$23</f>
        <v>0.49187096774193556</v>
      </c>
      <c r="Q27" s="204" t="str">
        <f>"SR2 = fb2(max)/Fb2"</f>
        <v>SR2 = fb2(max)/Fb2</v>
      </c>
      <c r="S27" s="197"/>
      <c r="U27" s="197"/>
      <c r="V27" s="197"/>
    </row>
    <row r="28" spans="1:32" ht="12.75">
      <c r="A28" s="77"/>
      <c r="B28" s="49"/>
      <c r="C28" s="49" t="s">
        <v>310</v>
      </c>
      <c r="D28" s="81">
        <v>69</v>
      </c>
      <c r="E28" s="93" t="s">
        <v>5</v>
      </c>
      <c r="F28" s="58"/>
      <c r="G28" s="58"/>
      <c r="H28" s="58"/>
      <c r="I28" s="58"/>
      <c r="J28" s="102"/>
      <c r="L28" s="62"/>
      <c r="M28" s="86"/>
      <c r="V28" s="10"/>
      <c r="AB28" s="248" t="s">
        <v>106</v>
      </c>
      <c r="AC28" s="239" t="s">
        <v>387</v>
      </c>
      <c r="AD28" s="240"/>
      <c r="AE28" s="240"/>
      <c r="AF28" s="241"/>
    </row>
    <row r="29" spans="1:32" ht="12.75">
      <c r="A29" s="53"/>
      <c r="B29" s="58"/>
      <c r="C29" s="49" t="s">
        <v>324</v>
      </c>
      <c r="D29" s="91">
        <v>5</v>
      </c>
      <c r="E29" s="93" t="s">
        <v>5</v>
      </c>
      <c r="F29" s="58"/>
      <c r="G29" s="58"/>
      <c r="H29" s="58"/>
      <c r="I29" s="58"/>
      <c r="J29" s="102"/>
      <c r="L29" s="62"/>
      <c r="M29" s="86"/>
      <c r="N29" s="247" t="s">
        <v>396</v>
      </c>
      <c r="V29" s="10"/>
      <c r="AB29" s="250"/>
      <c r="AC29" s="238" t="s">
        <v>367</v>
      </c>
      <c r="AD29" s="238" t="s">
        <v>368</v>
      </c>
      <c r="AE29" s="238" t="s">
        <v>369</v>
      </c>
      <c r="AF29" s="238" t="s">
        <v>370</v>
      </c>
    </row>
    <row r="30" spans="1:32" ht="12.75">
      <c r="A30" s="53"/>
      <c r="B30" s="58"/>
      <c r="C30" s="58"/>
      <c r="D30" s="58"/>
      <c r="E30" s="58"/>
      <c r="F30" s="58"/>
      <c r="G30" s="58"/>
      <c r="H30" s="58"/>
      <c r="I30" s="58"/>
      <c r="J30" s="102"/>
      <c r="L30" s="62"/>
      <c r="M30" s="86"/>
      <c r="N30" s="208" t="s">
        <v>445</v>
      </c>
      <c r="O30" s="205">
        <f>IF($D$19="1-Span",0.013*$D$21/12000*($D$20*12)^4/(29500*$D$62),IF($D$19="2-Span",0.0054*$D$21/12000*($D$20*12)^4/(29500*$D$63),IF($D$19="3-Span",0.0069*$D$21/12000*($D$20*12)^4/(29500*$D$63))))</f>
        <v>0.1425761691304784</v>
      </c>
      <c r="P30" s="116" t="s">
        <v>71</v>
      </c>
      <c r="Q30" s="116" t="str">
        <f>IF($D$19="1-Span","Δ2(max) = 0.013*p2/12000*(L2*12)^4/(E*Ip2)",IF($D$19="2-Span","Δ2(max) = 0.0054*p2/12000*(L2*12)^4/(E*I2)",IF($D$19="3-Span","Δ2(max) = 0.0069*p2/12000*(L2*12)^4/(E*I2)")))</f>
        <v>Δ2(max) = 0.0069*p2/12000*(L2*12)^4/(E*I2)</v>
      </c>
      <c r="V30" s="116"/>
      <c r="AB30" s="235">
        <v>22</v>
      </c>
      <c r="AC30" s="228" t="s">
        <v>372</v>
      </c>
      <c r="AD30" s="228" t="s">
        <v>376</v>
      </c>
      <c r="AE30" s="228" t="s">
        <v>379</v>
      </c>
      <c r="AF30" s="232" t="s">
        <v>381</v>
      </c>
    </row>
    <row r="31" spans="1:39" ht="12.75">
      <c r="A31" s="47" t="s">
        <v>16</v>
      </c>
      <c r="B31" s="58"/>
      <c r="C31" s="58"/>
      <c r="D31" s="58"/>
      <c r="E31" s="58"/>
      <c r="F31" s="58" t="s">
        <v>416</v>
      </c>
      <c r="G31" s="58"/>
      <c r="H31" s="58"/>
      <c r="I31" s="58"/>
      <c r="J31" s="102"/>
      <c r="L31" s="62"/>
      <c r="M31" s="86"/>
      <c r="N31" s="208" t="s">
        <v>401</v>
      </c>
      <c r="O31" s="205">
        <f>MIN($D$20*12/240,1)</f>
        <v>0.3</v>
      </c>
      <c r="P31" s="116" t="s">
        <v>71</v>
      </c>
      <c r="Q31" s="210" t="s">
        <v>405</v>
      </c>
      <c r="AB31" s="236">
        <v>20</v>
      </c>
      <c r="AC31" s="229" t="s">
        <v>373</v>
      </c>
      <c r="AD31" s="229" t="s">
        <v>377</v>
      </c>
      <c r="AE31" s="229" t="s">
        <v>380</v>
      </c>
      <c r="AF31" s="233" t="s">
        <v>382</v>
      </c>
      <c r="AM31" s="12"/>
    </row>
    <row r="32" spans="1:39" ht="12.75">
      <c r="A32" s="53"/>
      <c r="B32" s="58"/>
      <c r="C32" s="58"/>
      <c r="D32" s="58"/>
      <c r="E32" s="58"/>
      <c r="F32" s="58"/>
      <c r="G32" s="58"/>
      <c r="H32" s="58"/>
      <c r="I32" s="58"/>
      <c r="J32" s="102"/>
      <c r="L32" s="62"/>
      <c r="M32" s="86"/>
      <c r="V32" s="116"/>
      <c r="AB32" s="236">
        <v>18</v>
      </c>
      <c r="AC32" s="229" t="s">
        <v>374</v>
      </c>
      <c r="AD32" s="229" t="s">
        <v>378</v>
      </c>
      <c r="AE32" s="229" t="s">
        <v>372</v>
      </c>
      <c r="AF32" s="233" t="s">
        <v>383</v>
      </c>
      <c r="AM32" s="12"/>
    </row>
    <row r="33" spans="1:36" ht="12.75">
      <c r="A33" s="101" t="s">
        <v>304</v>
      </c>
      <c r="B33" s="49"/>
      <c r="C33" s="58"/>
      <c r="D33" s="58"/>
      <c r="E33" s="58"/>
      <c r="F33" s="89"/>
      <c r="G33" s="58"/>
      <c r="H33" s="58"/>
      <c r="I33" s="58"/>
      <c r="J33" s="102"/>
      <c r="L33" s="62"/>
      <c r="M33" s="86"/>
      <c r="N33" s="216" t="s">
        <v>309</v>
      </c>
      <c r="O33" s="116"/>
      <c r="P33" s="116"/>
      <c r="Q33" s="116"/>
      <c r="R33" s="116"/>
      <c r="S33" s="116"/>
      <c r="T33" s="116"/>
      <c r="V33" s="197"/>
      <c r="AB33" s="237">
        <v>16</v>
      </c>
      <c r="AC33" s="230" t="s">
        <v>375</v>
      </c>
      <c r="AD33" s="231" t="s">
        <v>371</v>
      </c>
      <c r="AE33" s="231" t="s">
        <v>371</v>
      </c>
      <c r="AF33" s="234" t="s">
        <v>384</v>
      </c>
      <c r="AG33" s="66"/>
      <c r="AH33" s="66"/>
      <c r="AI33" s="66"/>
      <c r="AJ33" s="63"/>
    </row>
    <row r="34" spans="1:36" ht="12.75">
      <c r="A34" s="76"/>
      <c r="B34" s="58"/>
      <c r="C34" s="2" t="s">
        <v>9</v>
      </c>
      <c r="D34" s="94">
        <f>VLOOKUP($D$10,$AB$8:$AN$25,2,FALSE)</f>
        <v>22</v>
      </c>
      <c r="E34" s="58"/>
      <c r="F34" s="89"/>
      <c r="G34" s="58"/>
      <c r="H34" s="58"/>
      <c r="I34" s="58"/>
      <c r="J34" s="102"/>
      <c r="L34" s="62"/>
      <c r="M34" s="86"/>
      <c r="N34" s="213" t="s">
        <v>262</v>
      </c>
      <c r="O34" s="92">
        <f>$D$28-0.6*($D$29+$D$83)</f>
        <v>64.932</v>
      </c>
      <c r="P34" s="204" t="s">
        <v>5</v>
      </c>
      <c r="Q34" s="204" t="s">
        <v>341</v>
      </c>
      <c r="V34" s="116"/>
      <c r="AG34" s="66"/>
      <c r="AH34" s="66"/>
      <c r="AI34" s="66"/>
      <c r="AJ34" s="63"/>
    </row>
    <row r="35" spans="1:36" ht="12.75">
      <c r="A35" s="53"/>
      <c r="B35" s="58"/>
      <c r="C35" s="49" t="s">
        <v>331</v>
      </c>
      <c r="D35" s="108">
        <f>VLOOKUP($D$10,$AB$8:$AN$25,4,FALSE)</f>
        <v>1.78</v>
      </c>
      <c r="E35" s="93" t="s">
        <v>5</v>
      </c>
      <c r="F35" s="58" t="s">
        <v>334</v>
      </c>
      <c r="G35" s="58"/>
      <c r="H35" s="58"/>
      <c r="I35" s="58"/>
      <c r="J35" s="102"/>
      <c r="L35" s="62"/>
      <c r="M35" s="86"/>
      <c r="N35" s="215" t="s">
        <v>233</v>
      </c>
      <c r="O35" s="196">
        <f>IF($D$26="1-Span",0.125*$O$34/1000*$D$27^2,IF($D$26="2-Span",0.07*$O$34/1000*$D$27^2,IF($D$26="3-Span",0.08*$O$34/1000*$D$27^2)))</f>
        <v>0.18700416</v>
      </c>
      <c r="P35" s="204" t="s">
        <v>6</v>
      </c>
      <c r="Q35" s="204" t="str">
        <f>IF($D$26="1-Span","+M3 = 0.125*pd3/1000*L3^2",IF($D$26="2-Span","+M3 = 0.07*pd3/1000*L3^2",IF($D$26="3-Span","+M3 = 0.08*pd3/1000*L3^2")))</f>
        <v>+M3 = 0.08*pd3/1000*L3^2</v>
      </c>
      <c r="V35" s="10"/>
      <c r="AB35" s="86"/>
      <c r="AC35" s="86"/>
      <c r="AE35" s="35"/>
      <c r="AF35" s="62"/>
      <c r="AG35" s="62"/>
      <c r="AH35" s="62"/>
      <c r="AI35" s="62"/>
      <c r="AJ35" s="63"/>
    </row>
    <row r="36" spans="1:36" ht="12.75">
      <c r="A36" s="53"/>
      <c r="B36" s="58"/>
      <c r="C36" s="49" t="s">
        <v>423</v>
      </c>
      <c r="D36" s="167">
        <f>VLOOKUP($D$10,$AB$8:$AN$25,8,FALSE)</f>
        <v>0.155</v>
      </c>
      <c r="E36" s="93" t="s">
        <v>72</v>
      </c>
      <c r="F36" s="58" t="s">
        <v>425</v>
      </c>
      <c r="G36" s="58"/>
      <c r="H36" s="58"/>
      <c r="I36" s="58"/>
      <c r="J36" s="102"/>
      <c r="L36" s="62"/>
      <c r="M36" s="86"/>
      <c r="N36" s="215" t="s">
        <v>232</v>
      </c>
      <c r="O36" s="196">
        <f>IF($D$26="1-Span","N.A.",IF($D$26="2-Span",0.125*$O$34/1000*$D$27^2,IF($D$26="3-Span",0.1*$O$34/1000*$D$27^2)))</f>
        <v>0.23375520000000005</v>
      </c>
      <c r="P36" s="204" t="s">
        <v>6</v>
      </c>
      <c r="Q36" s="204" t="str">
        <f>IF($D$26="1-Span","-M3 = N.A. (for 1-Span condition)",IF($D$26="2-Span","-M3 = 0.125*pd3/1000*L3^2",IF($D$26="3-Span","-M3 = 0.1*pd3/1000*L3^2")))</f>
        <v>-M3 = 0.1*pd3/1000*L3^2</v>
      </c>
      <c r="AB36" s="86"/>
      <c r="AC36" s="86"/>
      <c r="AE36" s="35"/>
      <c r="AF36" s="62"/>
      <c r="AG36" s="62"/>
      <c r="AH36" s="62"/>
      <c r="AI36" s="62"/>
      <c r="AJ36" s="63"/>
    </row>
    <row r="37" spans="1:36" ht="12.75">
      <c r="A37" s="53"/>
      <c r="B37" s="58"/>
      <c r="C37" s="49" t="s">
        <v>424</v>
      </c>
      <c r="D37" s="167">
        <f>VLOOKUP($D$10,$AB$8:$AN$25,10,FALSE)</f>
        <v>0.183</v>
      </c>
      <c r="E37" s="93" t="s">
        <v>72</v>
      </c>
      <c r="F37" s="58" t="s">
        <v>426</v>
      </c>
      <c r="G37" s="58"/>
      <c r="H37" s="58"/>
      <c r="I37" s="58"/>
      <c r="J37" s="102"/>
      <c r="L37" s="62"/>
      <c r="M37" s="86"/>
      <c r="N37" s="213" t="s">
        <v>231</v>
      </c>
      <c r="O37" s="92">
        <f>MIN(0.6*$D$25,36)</f>
        <v>19.8</v>
      </c>
      <c r="P37" s="204" t="s">
        <v>7</v>
      </c>
      <c r="Q37" s="116" t="s">
        <v>330</v>
      </c>
      <c r="U37" s="194"/>
      <c r="AB37" s="86"/>
      <c r="AC37" s="86"/>
      <c r="AE37" s="35"/>
      <c r="AF37" s="62"/>
      <c r="AG37" s="62"/>
      <c r="AH37" s="62"/>
      <c r="AI37" s="62"/>
      <c r="AJ37" s="63"/>
    </row>
    <row r="38" spans="1:36" ht="12.75" customHeight="1">
      <c r="A38" s="53"/>
      <c r="B38" s="58"/>
      <c r="C38" s="171" t="s">
        <v>427</v>
      </c>
      <c r="D38" s="167">
        <f>($D$36+$D$37)/2</f>
        <v>0.16899999999999998</v>
      </c>
      <c r="E38" s="93" t="s">
        <v>72</v>
      </c>
      <c r="F38" s="173" t="s">
        <v>428</v>
      </c>
      <c r="G38" s="58"/>
      <c r="H38" s="58"/>
      <c r="I38" s="58"/>
      <c r="J38" s="102"/>
      <c r="L38" s="62"/>
      <c r="M38" s="86"/>
      <c r="N38" s="215" t="s">
        <v>230</v>
      </c>
      <c r="O38" s="92">
        <f>$O$35*12/$D$88</f>
        <v>11.68776</v>
      </c>
      <c r="P38" s="204" t="s">
        <v>7</v>
      </c>
      <c r="Q38" s="214" t="s">
        <v>342</v>
      </c>
      <c r="U38" s="116"/>
      <c r="AB38" s="86"/>
      <c r="AC38" s="86"/>
      <c r="AE38" s="35"/>
      <c r="AF38" s="62"/>
      <c r="AG38" s="62"/>
      <c r="AH38" s="62"/>
      <c r="AI38" s="62"/>
      <c r="AJ38" s="63"/>
    </row>
    <row r="39" spans="1:36" ht="12.75">
      <c r="A39" s="78"/>
      <c r="B39" s="58"/>
      <c r="C39" s="49" t="s">
        <v>332</v>
      </c>
      <c r="D39" s="168">
        <f>VLOOKUP($D$10,$AB$8:$AN$25,9,FALSE)</f>
        <v>0.186</v>
      </c>
      <c r="E39" s="93" t="s">
        <v>8</v>
      </c>
      <c r="F39" s="58" t="s">
        <v>421</v>
      </c>
      <c r="G39" s="58"/>
      <c r="H39" s="58"/>
      <c r="I39" s="58"/>
      <c r="J39" s="102"/>
      <c r="L39" s="62"/>
      <c r="M39" s="86"/>
      <c r="N39" s="215" t="s">
        <v>229</v>
      </c>
      <c r="O39" s="92">
        <f>IF($D$26="1-Span","N.A.",$O$36*12/$D$87)</f>
        <v>15.080980645161294</v>
      </c>
      <c r="P39" s="204" t="s">
        <v>7</v>
      </c>
      <c r="Q39" s="214" t="s">
        <v>343</v>
      </c>
      <c r="U39" s="116"/>
      <c r="AB39" s="86"/>
      <c r="AC39" s="86"/>
      <c r="AE39" s="8"/>
      <c r="AF39" s="69"/>
      <c r="AG39" s="62"/>
      <c r="AH39" s="69"/>
      <c r="AI39" s="69"/>
      <c r="AJ39" s="63"/>
    </row>
    <row r="40" spans="1:36" ht="12.75">
      <c r="A40" s="53"/>
      <c r="B40" s="58"/>
      <c r="C40" s="49" t="s">
        <v>333</v>
      </c>
      <c r="D40" s="115">
        <f>VLOOKUP($D$10,$AB$8:$AN$25,11,FALSE)</f>
        <v>0.192</v>
      </c>
      <c r="E40" s="93" t="s">
        <v>8</v>
      </c>
      <c r="F40" s="58" t="s">
        <v>422</v>
      </c>
      <c r="G40" s="58"/>
      <c r="H40" s="58"/>
      <c r="I40" s="58"/>
      <c r="J40" s="102"/>
      <c r="L40" s="62"/>
      <c r="M40" s="86"/>
      <c r="N40" s="213" t="s">
        <v>228</v>
      </c>
      <c r="O40" s="92">
        <f>MAX($O$38,$O$39)</f>
        <v>15.080980645161294</v>
      </c>
      <c r="P40" s="204" t="s">
        <v>7</v>
      </c>
      <c r="Q40" s="204" t="s">
        <v>42</v>
      </c>
      <c r="AB40" s="86"/>
      <c r="AC40" s="86"/>
      <c r="AE40" s="8"/>
      <c r="AF40" s="69"/>
      <c r="AG40" s="62"/>
      <c r="AH40" s="69"/>
      <c r="AI40" s="69"/>
      <c r="AJ40" s="63"/>
    </row>
    <row r="41" spans="1:36" ht="12.75">
      <c r="A41" s="53"/>
      <c r="B41" s="58"/>
      <c r="C41" s="49"/>
      <c r="D41" s="195"/>
      <c r="E41" s="93"/>
      <c r="F41" s="58"/>
      <c r="G41" s="58"/>
      <c r="H41" s="58"/>
      <c r="I41" s="58"/>
      <c r="J41" s="102"/>
      <c r="L41" s="62"/>
      <c r="M41" s="86"/>
      <c r="N41" s="213" t="s">
        <v>227</v>
      </c>
      <c r="O41" s="196">
        <f>$O$40/$O$37</f>
        <v>0.7616656891495602</v>
      </c>
      <c r="Q41" s="204" t="str">
        <f>"SR3 = fb3(max)/Fb3"</f>
        <v>SR3 = fb3(max)/Fb3</v>
      </c>
      <c r="S41" s="197"/>
      <c r="AB41" s="86"/>
      <c r="AC41" s="86"/>
      <c r="AE41" s="63"/>
      <c r="AF41" s="63"/>
      <c r="AG41" s="63"/>
      <c r="AH41" s="63"/>
      <c r="AI41" s="63"/>
      <c r="AJ41" s="63"/>
    </row>
    <row r="42" spans="1:36" ht="12.75">
      <c r="A42" s="47" t="s">
        <v>305</v>
      </c>
      <c r="B42" s="58"/>
      <c r="C42" s="58"/>
      <c r="D42" s="58"/>
      <c r="E42" s="58"/>
      <c r="F42" s="58"/>
      <c r="G42" s="58"/>
      <c r="H42" s="58"/>
      <c r="I42" s="58"/>
      <c r="J42" s="102"/>
      <c r="L42" s="62"/>
      <c r="M42" s="86"/>
      <c r="AB42" s="86"/>
      <c r="AC42" s="86"/>
      <c r="AE42" s="70"/>
      <c r="AG42" s="63"/>
      <c r="AH42" s="63"/>
      <c r="AI42" s="63"/>
      <c r="AJ42" s="63"/>
    </row>
    <row r="43" spans="1:36" ht="12.75">
      <c r="A43" s="77"/>
      <c r="B43" s="59"/>
      <c r="C43" s="49" t="s">
        <v>263</v>
      </c>
      <c r="D43" s="107">
        <f>$O$6</f>
        <v>22.932000000000002</v>
      </c>
      <c r="E43" s="93" t="s">
        <v>5</v>
      </c>
      <c r="F43" s="58" t="str">
        <f>$Q$6</f>
        <v>pd1 = p1-0.6*(wDL1+wd1)</v>
      </c>
      <c r="G43" s="58"/>
      <c r="H43" s="58"/>
      <c r="I43" s="58"/>
      <c r="J43" s="102"/>
      <c r="K43" s="71"/>
      <c r="L43" s="62"/>
      <c r="M43" s="86"/>
      <c r="N43" s="247" t="s">
        <v>398</v>
      </c>
      <c r="AB43" s="86"/>
      <c r="AC43" s="86"/>
      <c r="AE43" s="65"/>
      <c r="AF43" s="62"/>
      <c r="AG43" s="63"/>
      <c r="AH43" s="63"/>
      <c r="AI43" s="63"/>
      <c r="AJ43" s="63"/>
    </row>
    <row r="44" spans="1:36" ht="12.75">
      <c r="A44" s="77"/>
      <c r="B44" s="105"/>
      <c r="C44" s="49" t="s">
        <v>22</v>
      </c>
      <c r="D44" s="167">
        <f>$O$7</f>
        <v>0.06604416</v>
      </c>
      <c r="E44" s="93" t="s">
        <v>6</v>
      </c>
      <c r="F44" s="58" t="str">
        <f>$Q$7</f>
        <v>+M1 = 0.08*pd1/1000*L1^2</v>
      </c>
      <c r="G44" s="58"/>
      <c r="H44" s="58"/>
      <c r="I44" s="58"/>
      <c r="J44" s="102"/>
      <c r="L44" s="62"/>
      <c r="M44" s="86"/>
      <c r="N44" s="208" t="s">
        <v>402</v>
      </c>
      <c r="O44" s="205">
        <f>IF($D$26="1-Span",0.013*$D$28/12000*($D$27*12)^4/(29500*$D$85),IF($D$26="2-Span",0.0054*$D$28/12000*($D$27*12)^4/(29500*$D$86),IF($D$26="3-Span",0.0069*$D$28/12000*($D$27*12)^4/(29500*$D$86))))</f>
        <v>0.2138642536957176</v>
      </c>
      <c r="P44" s="116" t="s">
        <v>71</v>
      </c>
      <c r="Q44" s="116" t="str">
        <f>IF($D$26="1-Span","Δ3(max) = 0.013*p3/12000*(L3*12)^4/(E*Ip3)",IF($D$26="2-Span","Δ3(max) = 0.0054*p3/12000*(L3*12)^4/(E*I3)",IF($D$26="3-Span","Δ3(max) = 0.0069*p3/12000*(L3*12)^4/(E*I3)")))</f>
        <v>Δ3(max) = 0.0069*p3/12000*(L3*12)^4/(E*I3)</v>
      </c>
      <c r="AB44" s="86"/>
      <c r="AC44" s="86"/>
      <c r="AE44" s="65"/>
      <c r="AF44" s="62"/>
      <c r="AG44" s="63"/>
      <c r="AH44" s="63"/>
      <c r="AI44" s="63"/>
      <c r="AJ44" s="63"/>
    </row>
    <row r="45" spans="1:36" ht="12.75">
      <c r="A45" s="77"/>
      <c r="B45" s="60"/>
      <c r="C45" s="49" t="s">
        <v>23</v>
      </c>
      <c r="D45" s="167">
        <f>$O$8</f>
        <v>0.0825552</v>
      </c>
      <c r="E45" s="93" t="s">
        <v>6</v>
      </c>
      <c r="F45" s="58" t="str">
        <f>$Q$8</f>
        <v>-M1 = 0.1*pd1/1000*L1^2</v>
      </c>
      <c r="G45" s="58"/>
      <c r="H45" s="58"/>
      <c r="I45" s="58"/>
      <c r="J45" s="102"/>
      <c r="K45" s="73"/>
      <c r="L45" s="62"/>
      <c r="M45" s="86"/>
      <c r="N45" s="208" t="s">
        <v>403</v>
      </c>
      <c r="O45" s="205">
        <f>MIN($D$27*12/240,1)</f>
        <v>0.3</v>
      </c>
      <c r="P45" s="116" t="s">
        <v>71</v>
      </c>
      <c r="Q45" s="210" t="s">
        <v>406</v>
      </c>
      <c r="AB45" s="86"/>
      <c r="AC45" s="86"/>
      <c r="AE45" s="65"/>
      <c r="AF45" s="62"/>
      <c r="AG45" s="63"/>
      <c r="AH45" s="63"/>
      <c r="AI45" s="63"/>
      <c r="AJ45" s="63"/>
    </row>
    <row r="46" spans="1:36" ht="12.75">
      <c r="A46" s="77"/>
      <c r="B46" s="58"/>
      <c r="C46" s="49" t="s">
        <v>24</v>
      </c>
      <c r="D46" s="108">
        <f>$O$9</f>
        <v>19.8</v>
      </c>
      <c r="E46" s="93" t="s">
        <v>7</v>
      </c>
      <c r="F46" s="58" t="str">
        <f>$Q$9</f>
        <v>Fb1 = 0.60*Fyd1 &lt;= 0.60*60 = 36</v>
      </c>
      <c r="G46" s="58"/>
      <c r="H46" s="58"/>
      <c r="I46" s="51"/>
      <c r="J46" s="102"/>
      <c r="K46" s="73"/>
      <c r="L46" s="87"/>
      <c r="M46" s="87"/>
      <c r="AB46" s="87"/>
      <c r="AC46" s="87"/>
      <c r="AE46" s="65"/>
      <c r="AF46" s="43"/>
      <c r="AG46" s="63"/>
      <c r="AH46" s="63"/>
      <c r="AI46" s="63"/>
      <c r="AJ46" s="63"/>
    </row>
    <row r="47" spans="1:36" ht="12.75">
      <c r="A47" s="77"/>
      <c r="B47" s="58"/>
      <c r="C47" s="49" t="s">
        <v>25</v>
      </c>
      <c r="D47" s="108">
        <f>$O$10</f>
        <v>4.12776</v>
      </c>
      <c r="E47" s="93" t="s">
        <v>7</v>
      </c>
      <c r="F47" s="109" t="str">
        <f>$Q$10</f>
        <v>+fb1 = (+M1)*12/Sn1 (between supports)</v>
      </c>
      <c r="G47" s="58"/>
      <c r="H47" s="58"/>
      <c r="I47" s="51"/>
      <c r="J47" s="102"/>
      <c r="K47" s="73"/>
      <c r="L47" s="62"/>
      <c r="M47" s="35"/>
      <c r="AB47" s="35"/>
      <c r="AC47" s="35"/>
      <c r="AE47" s="65"/>
      <c r="AF47" s="43"/>
      <c r="AG47" s="63"/>
      <c r="AH47" s="63"/>
      <c r="AI47" s="63"/>
      <c r="AJ47" s="63"/>
    </row>
    <row r="48" spans="1:36" ht="12.75">
      <c r="A48" s="76"/>
      <c r="B48" s="58"/>
      <c r="C48" s="49" t="s">
        <v>26</v>
      </c>
      <c r="D48" s="108">
        <f>$O$11</f>
        <v>5.326141935483871</v>
      </c>
      <c r="E48" s="93" t="s">
        <v>7</v>
      </c>
      <c r="F48" s="109" t="str">
        <f>$Q$11</f>
        <v>-fb1 = (-M1)*12/Sp1 (at supports)</v>
      </c>
      <c r="G48" s="58"/>
      <c r="H48" s="58"/>
      <c r="I48" s="51"/>
      <c r="J48" s="102"/>
      <c r="K48" s="73"/>
      <c r="AE48" s="65"/>
      <c r="AF48" s="42"/>
      <c r="AG48" s="63"/>
      <c r="AH48" s="63"/>
      <c r="AI48" s="63"/>
      <c r="AJ48" s="63"/>
    </row>
    <row r="49" spans="1:10" ht="12.75">
      <c r="A49" s="76"/>
      <c r="B49" s="49"/>
      <c r="C49" s="49" t="s">
        <v>146</v>
      </c>
      <c r="D49" s="108">
        <f>$O$12</f>
        <v>5.326141935483871</v>
      </c>
      <c r="E49" s="93" t="s">
        <v>7</v>
      </c>
      <c r="F49" s="58" t="s">
        <v>147</v>
      </c>
      <c r="G49" s="58"/>
      <c r="H49" s="58"/>
      <c r="I49" s="61"/>
      <c r="J49" s="102"/>
    </row>
    <row r="50" spans="1:10" ht="12.75">
      <c r="A50" s="77"/>
      <c r="B50" s="59"/>
      <c r="C50" s="49" t="s">
        <v>27</v>
      </c>
      <c r="D50" s="111">
        <f>$O$13</f>
        <v>0.26899706744868035</v>
      </c>
      <c r="E50" s="58"/>
      <c r="F50" s="199" t="s">
        <v>297</v>
      </c>
      <c r="G50" s="58"/>
      <c r="H50" s="51"/>
      <c r="I50" s="58"/>
      <c r="J50" s="174" t="str">
        <f>IF($D$50&lt;=1,"SR1 &lt;= 1.0, O.K.","SR1 &gt; 1.0")</f>
        <v>SR1 &lt;= 1.0, O.K.</v>
      </c>
    </row>
    <row r="51" spans="1:10" ht="12.75">
      <c r="A51" s="53"/>
      <c r="B51" s="58"/>
      <c r="C51" s="58"/>
      <c r="D51" s="58"/>
      <c r="E51" s="58"/>
      <c r="F51" s="58"/>
      <c r="G51" s="58"/>
      <c r="H51" s="58"/>
      <c r="I51" s="58"/>
      <c r="J51" s="102"/>
    </row>
    <row r="52" spans="1:10" ht="12.75">
      <c r="A52" s="101" t="s">
        <v>397</v>
      </c>
      <c r="B52" s="58"/>
      <c r="C52" s="58"/>
      <c r="D52" s="58"/>
      <c r="E52" s="58"/>
      <c r="F52" s="58"/>
      <c r="G52" s="58"/>
      <c r="H52" s="58"/>
      <c r="I52" s="58"/>
      <c r="J52" s="102"/>
    </row>
    <row r="53" spans="1:10" ht="12.75">
      <c r="A53" s="53"/>
      <c r="B53" s="58"/>
      <c r="C53" s="59" t="s">
        <v>409</v>
      </c>
      <c r="D53" s="106">
        <f>$O$16</f>
        <v>0.08368601231571558</v>
      </c>
      <c r="E53" s="114" t="s">
        <v>71</v>
      </c>
      <c r="F53" s="57" t="str">
        <f>$Q$16</f>
        <v>Δ1(max) = 0.0069*p1/12000*(L1*12)^4/(E*I1)</v>
      </c>
      <c r="G53" s="89"/>
      <c r="H53" s="51"/>
      <c r="I53" s="58"/>
      <c r="J53" s="102"/>
    </row>
    <row r="54" spans="1:10" ht="12.75">
      <c r="A54" s="77"/>
      <c r="B54" s="51"/>
      <c r="C54" s="59" t="s">
        <v>410</v>
      </c>
      <c r="D54" s="218">
        <f>$O$17</f>
        <v>0.3</v>
      </c>
      <c r="E54" s="114" t="s">
        <v>71</v>
      </c>
      <c r="F54" s="243" t="s">
        <v>408</v>
      </c>
      <c r="G54" s="51"/>
      <c r="H54" s="50"/>
      <c r="I54" s="51"/>
      <c r="J54" s="119"/>
    </row>
    <row r="55" spans="1:10" ht="12.75">
      <c r="A55" s="75"/>
      <c r="B55" s="51"/>
      <c r="C55" s="58"/>
      <c r="D55" s="58"/>
      <c r="E55" s="58"/>
      <c r="F55" s="58"/>
      <c r="G55" s="58"/>
      <c r="H55" s="58"/>
      <c r="I55" s="61"/>
      <c r="J55" s="174" t="str">
        <f>IF(ROUND($D$13*12/$D$53,0)&gt;=240,"Δ1(max) &lt;= Δ1(allow), O.K.","Δ1(max) &gt; Δ1(allow)")</f>
        <v>Δ1(max) &lt;= Δ1(allow), O.K.</v>
      </c>
    </row>
    <row r="56" spans="1:10" ht="12.75">
      <c r="A56" s="95"/>
      <c r="B56" s="74"/>
      <c r="C56" s="74"/>
      <c r="D56" s="74"/>
      <c r="E56" s="74"/>
      <c r="F56" s="74"/>
      <c r="G56" s="74"/>
      <c r="H56" s="74"/>
      <c r="I56" s="74"/>
      <c r="J56" s="169"/>
    </row>
    <row r="57" spans="1:10" ht="12.75">
      <c r="A57" s="97"/>
      <c r="B57" s="98"/>
      <c r="C57" s="98"/>
      <c r="D57" s="98"/>
      <c r="E57" s="98"/>
      <c r="F57" s="98"/>
      <c r="G57" s="98"/>
      <c r="H57" s="98"/>
      <c r="I57" s="98"/>
      <c r="J57" s="123"/>
    </row>
    <row r="58" spans="1:10" ht="12.75">
      <c r="A58" s="101" t="s">
        <v>306</v>
      </c>
      <c r="B58" s="49"/>
      <c r="C58" s="58"/>
      <c r="D58" s="58"/>
      <c r="E58" s="58"/>
      <c r="F58" s="89"/>
      <c r="G58" s="58"/>
      <c r="H58" s="58"/>
      <c r="I58" s="58"/>
      <c r="J58" s="102"/>
    </row>
    <row r="59" spans="1:10" ht="12.75">
      <c r="A59" s="76"/>
      <c r="B59" s="58"/>
      <c r="C59" s="2" t="s">
        <v>9</v>
      </c>
      <c r="D59" s="94">
        <f>VLOOKUP($D$17,$AB$8:$AN$25,2,FALSE)</f>
        <v>22</v>
      </c>
      <c r="E59" s="58"/>
      <c r="F59" s="89"/>
      <c r="G59" s="58"/>
      <c r="H59" s="58"/>
      <c r="I59" s="58"/>
      <c r="J59" s="102"/>
    </row>
    <row r="60" spans="1:10" ht="12.75">
      <c r="A60" s="53"/>
      <c r="B60" s="58"/>
      <c r="C60" s="49" t="s">
        <v>344</v>
      </c>
      <c r="D60" s="108">
        <f>VLOOKUP($D$17,$AB$8:$AN$25,4,FALSE)</f>
        <v>1.78</v>
      </c>
      <c r="E60" s="93" t="s">
        <v>5</v>
      </c>
      <c r="F60" s="58" t="s">
        <v>347</v>
      </c>
      <c r="G60" s="58"/>
      <c r="H60" s="58"/>
      <c r="I60" s="58"/>
      <c r="J60" s="102"/>
    </row>
    <row r="61" spans="1:10" ht="12.75">
      <c r="A61" s="53"/>
      <c r="B61" s="58"/>
      <c r="C61" s="49" t="s">
        <v>429</v>
      </c>
      <c r="D61" s="167">
        <f>VLOOKUP($D$10,$AB$8:$AN$25,8,FALSE)</f>
        <v>0.155</v>
      </c>
      <c r="E61" s="93" t="s">
        <v>72</v>
      </c>
      <c r="F61" s="58" t="s">
        <v>433</v>
      </c>
      <c r="G61" s="58"/>
      <c r="H61" s="58"/>
      <c r="I61" s="58"/>
      <c r="J61" s="102"/>
    </row>
    <row r="62" spans="1:10" ht="12.75">
      <c r="A62" s="53"/>
      <c r="B62" s="58"/>
      <c r="C62" s="49" t="s">
        <v>430</v>
      </c>
      <c r="D62" s="167">
        <f>VLOOKUP($D$10,$AB$8:$AN$25,10,FALSE)</f>
        <v>0.183</v>
      </c>
      <c r="E62" s="93" t="s">
        <v>72</v>
      </c>
      <c r="F62" s="58" t="s">
        <v>434</v>
      </c>
      <c r="G62" s="58"/>
      <c r="H62" s="58"/>
      <c r="I62" s="58"/>
      <c r="J62" s="102"/>
    </row>
    <row r="63" spans="1:10" ht="12.75">
      <c r="A63" s="53"/>
      <c r="B63" s="58"/>
      <c r="C63" s="171" t="s">
        <v>431</v>
      </c>
      <c r="D63" s="167">
        <f>($D$61+$D$62)/2</f>
        <v>0.16899999999999998</v>
      </c>
      <c r="E63" s="93" t="s">
        <v>72</v>
      </c>
      <c r="F63" s="173" t="s">
        <v>432</v>
      </c>
      <c r="G63" s="58"/>
      <c r="H63" s="58"/>
      <c r="I63" s="58"/>
      <c r="J63" s="102"/>
    </row>
    <row r="64" spans="1:10" ht="12.75">
      <c r="A64" s="78"/>
      <c r="B64" s="58"/>
      <c r="C64" s="49" t="s">
        <v>345</v>
      </c>
      <c r="D64" s="168">
        <f>VLOOKUP($D$17,$AB$8:$AN$25,9,FALSE)</f>
        <v>0.186</v>
      </c>
      <c r="E64" s="93" t="s">
        <v>8</v>
      </c>
      <c r="F64" s="58" t="s">
        <v>435</v>
      </c>
      <c r="G64" s="58"/>
      <c r="H64" s="58"/>
      <c r="I64" s="58"/>
      <c r="J64" s="102"/>
    </row>
    <row r="65" spans="1:10" ht="12.75">
      <c r="A65" s="53"/>
      <c r="B65" s="58"/>
      <c r="C65" s="49" t="s">
        <v>346</v>
      </c>
      <c r="D65" s="115">
        <f>VLOOKUP($D$17,$AB$8:$AN$25,11,FALSE)</f>
        <v>0.192</v>
      </c>
      <c r="E65" s="93" t="s">
        <v>8</v>
      </c>
      <c r="F65" s="58" t="s">
        <v>436</v>
      </c>
      <c r="G65" s="58"/>
      <c r="H65" s="58"/>
      <c r="I65" s="58"/>
      <c r="J65" s="102"/>
    </row>
    <row r="66" spans="1:10" ht="12.75">
      <c r="A66" s="53"/>
      <c r="B66" s="58"/>
      <c r="C66" s="58"/>
      <c r="D66" s="58"/>
      <c r="E66" s="58"/>
      <c r="F66" s="58"/>
      <c r="G66" s="58"/>
      <c r="H66" s="58"/>
      <c r="I66" s="58"/>
      <c r="J66" s="102"/>
    </row>
    <row r="67" spans="1:10" ht="12.75">
      <c r="A67" s="47" t="s">
        <v>307</v>
      </c>
      <c r="B67" s="58"/>
      <c r="C67" s="58"/>
      <c r="D67" s="58"/>
      <c r="E67" s="58"/>
      <c r="F67" s="58"/>
      <c r="G67" s="58"/>
      <c r="H67" s="58"/>
      <c r="I67" s="58"/>
      <c r="J67" s="102"/>
    </row>
    <row r="68" spans="1:10" ht="12.75">
      <c r="A68" s="77"/>
      <c r="B68" s="59"/>
      <c r="C68" s="49" t="s">
        <v>264</v>
      </c>
      <c r="D68" s="107">
        <f>$O$20</f>
        <v>41.932</v>
      </c>
      <c r="E68" s="93" t="s">
        <v>5</v>
      </c>
      <c r="F68" s="58" t="str">
        <f>$Q$20</f>
        <v>pd2 = p2-0.6*(wDL2+wd2)</v>
      </c>
      <c r="G68" s="58"/>
      <c r="H68" s="58"/>
      <c r="I68" s="58"/>
      <c r="J68" s="102"/>
    </row>
    <row r="69" spans="1:10" ht="12.75">
      <c r="A69" s="77"/>
      <c r="B69" s="105"/>
      <c r="C69" s="49" t="s">
        <v>29</v>
      </c>
      <c r="D69" s="167">
        <f>$O$21</f>
        <v>0.12076416000000001</v>
      </c>
      <c r="E69" s="93" t="s">
        <v>6</v>
      </c>
      <c r="F69" s="58" t="str">
        <f>$Q$21</f>
        <v>+M2 = 0.08*pd2/1000*L2^2</v>
      </c>
      <c r="G69" s="58"/>
      <c r="H69" s="58"/>
      <c r="I69" s="58"/>
      <c r="J69" s="102"/>
    </row>
    <row r="70" spans="1:10" ht="12.75">
      <c r="A70" s="77"/>
      <c r="B70" s="60"/>
      <c r="C70" s="49" t="s">
        <v>30</v>
      </c>
      <c r="D70" s="167">
        <f>$O$22</f>
        <v>0.1509552</v>
      </c>
      <c r="E70" s="93" t="s">
        <v>6</v>
      </c>
      <c r="F70" s="58" t="str">
        <f>$Q$22</f>
        <v>-M2 = 0.1*pd2/1000*L2^2</v>
      </c>
      <c r="G70" s="58"/>
      <c r="H70" s="58"/>
      <c r="I70" s="58"/>
      <c r="J70" s="102"/>
    </row>
    <row r="71" spans="1:10" ht="12.75">
      <c r="A71" s="77"/>
      <c r="B71" s="58"/>
      <c r="C71" s="49" t="s">
        <v>31</v>
      </c>
      <c r="D71" s="108">
        <f>$O$23</f>
        <v>19.8</v>
      </c>
      <c r="E71" s="93" t="s">
        <v>7</v>
      </c>
      <c r="F71" s="58" t="str">
        <f>$Q$23</f>
        <v>Fb2 = 0.60*Fyd2 &lt;= 0.60*60 = 36</v>
      </c>
      <c r="G71" s="58"/>
      <c r="H71" s="58"/>
      <c r="I71" s="51"/>
      <c r="J71" s="102"/>
    </row>
    <row r="72" spans="1:10" ht="12.75">
      <c r="A72" s="77"/>
      <c r="B72" s="58"/>
      <c r="C72" s="49" t="s">
        <v>32</v>
      </c>
      <c r="D72" s="108">
        <f>$O$24</f>
        <v>7.54776</v>
      </c>
      <c r="E72" s="93" t="s">
        <v>7</v>
      </c>
      <c r="F72" s="109" t="str">
        <f>$Q$24</f>
        <v>+fb2 = (+M2)*12/Sn2 (between supports)</v>
      </c>
      <c r="G72" s="58"/>
      <c r="H72" s="58"/>
      <c r="I72" s="51"/>
      <c r="J72" s="102"/>
    </row>
    <row r="73" spans="1:10" ht="12.75">
      <c r="A73" s="76"/>
      <c r="B73" s="58"/>
      <c r="C73" s="49" t="s">
        <v>33</v>
      </c>
      <c r="D73" s="108">
        <f>$O$25</f>
        <v>9.739045161290324</v>
      </c>
      <c r="E73" s="93" t="s">
        <v>7</v>
      </c>
      <c r="F73" s="109" t="str">
        <f>$Q$25</f>
        <v>-fb2 = (-M2)*12/Sp2 (at supports)</v>
      </c>
      <c r="G73" s="58"/>
      <c r="H73" s="58"/>
      <c r="I73" s="51"/>
      <c r="J73" s="102"/>
    </row>
    <row r="74" spans="1:10" ht="12.75">
      <c r="A74" s="76"/>
      <c r="B74" s="49"/>
      <c r="C74" s="49" t="s">
        <v>148</v>
      </c>
      <c r="D74" s="108">
        <f>$O$26</f>
        <v>9.739045161290324</v>
      </c>
      <c r="E74" s="93" t="s">
        <v>7</v>
      </c>
      <c r="F74" s="58" t="s">
        <v>149</v>
      </c>
      <c r="G74" s="58"/>
      <c r="H74" s="58"/>
      <c r="I74" s="61"/>
      <c r="J74" s="102"/>
    </row>
    <row r="75" spans="1:10" ht="12.75">
      <c r="A75" s="77"/>
      <c r="B75" s="59"/>
      <c r="C75" s="49" t="s">
        <v>34</v>
      </c>
      <c r="D75" s="111">
        <f>$O$27</f>
        <v>0.49187096774193556</v>
      </c>
      <c r="E75" s="58"/>
      <c r="F75" s="199" t="s">
        <v>298</v>
      </c>
      <c r="G75" s="58"/>
      <c r="H75" s="51"/>
      <c r="I75" s="58"/>
      <c r="J75" s="174" t="str">
        <f>IF($D$75&lt;=1,"SR2 &lt;= 1.0, O.K.","SR2 &gt; 1.0")</f>
        <v>SR2 &lt;= 1.0, O.K.</v>
      </c>
    </row>
    <row r="76" spans="1:10" ht="12.75">
      <c r="A76" s="53"/>
      <c r="B76" s="58"/>
      <c r="C76" s="58"/>
      <c r="D76" s="58"/>
      <c r="E76" s="58"/>
      <c r="F76" s="58"/>
      <c r="G76" s="58"/>
      <c r="H76" s="58"/>
      <c r="I76" s="58"/>
      <c r="J76" s="102"/>
    </row>
    <row r="77" spans="1:10" ht="12.75">
      <c r="A77" s="101" t="s">
        <v>396</v>
      </c>
      <c r="B77" s="58"/>
      <c r="C77" s="58"/>
      <c r="D77" s="58"/>
      <c r="E77" s="58"/>
      <c r="F77" s="58"/>
      <c r="G77" s="58"/>
      <c r="H77" s="58"/>
      <c r="I77" s="58"/>
      <c r="J77" s="102"/>
    </row>
    <row r="78" spans="1:10" ht="12.75">
      <c r="A78" s="53"/>
      <c r="B78" s="58"/>
      <c r="C78" s="59" t="s">
        <v>411</v>
      </c>
      <c r="D78" s="106">
        <f>$O$30</f>
        <v>0.1425761691304784</v>
      </c>
      <c r="E78" s="114" t="s">
        <v>71</v>
      </c>
      <c r="F78" s="57" t="str">
        <f>$Q$30</f>
        <v>Δ2(max) = 0.0069*p2/12000*(L2*12)^4/(E*I2)</v>
      </c>
      <c r="G78" s="89"/>
      <c r="H78" s="51"/>
      <c r="I78" s="58"/>
      <c r="J78" s="102"/>
    </row>
    <row r="79" spans="1:10" ht="12.75">
      <c r="A79" s="77"/>
      <c r="B79" s="51"/>
      <c r="C79" s="59" t="s">
        <v>412</v>
      </c>
      <c r="D79" s="218">
        <f>$O$31</f>
        <v>0.3</v>
      </c>
      <c r="E79" s="114" t="s">
        <v>71</v>
      </c>
      <c r="F79" s="243" t="s">
        <v>407</v>
      </c>
      <c r="G79" s="51"/>
      <c r="H79" s="50"/>
      <c r="I79" s="51"/>
      <c r="J79" s="119"/>
    </row>
    <row r="80" spans="1:10" ht="12.75">
      <c r="A80" s="75"/>
      <c r="B80" s="51"/>
      <c r="C80" s="58"/>
      <c r="D80" s="58"/>
      <c r="E80" s="58"/>
      <c r="F80" s="58"/>
      <c r="G80" s="58"/>
      <c r="H80" s="58"/>
      <c r="I80" s="61"/>
      <c r="J80" s="174" t="str">
        <f>IF(ROUND($D$20*12/$D$78,0)&gt;=240,"Δ2(max) &lt;= Δ2(allow), O.K.","Δ2(max) &gt; Δ2(allow)")</f>
        <v>Δ2(max) &lt;= Δ2(allow), O.K.</v>
      </c>
    </row>
    <row r="81" spans="1:10" ht="12.75">
      <c r="A81" s="101" t="s">
        <v>308</v>
      </c>
      <c r="B81" s="49"/>
      <c r="C81" s="58"/>
      <c r="D81" s="58"/>
      <c r="E81" s="58"/>
      <c r="F81" s="89"/>
      <c r="G81" s="58"/>
      <c r="H81" s="58"/>
      <c r="I81" s="58"/>
      <c r="J81" s="102"/>
    </row>
    <row r="82" spans="1:10" ht="12.75">
      <c r="A82" s="76"/>
      <c r="B82" s="58"/>
      <c r="C82" s="2" t="s">
        <v>9</v>
      </c>
      <c r="D82" s="94">
        <f>VLOOKUP($D$24,$AB$8:$AN$25,2,FALSE)</f>
        <v>22</v>
      </c>
      <c r="E82" s="58"/>
      <c r="F82" s="89"/>
      <c r="G82" s="58"/>
      <c r="H82" s="58"/>
      <c r="I82" s="58"/>
      <c r="J82" s="102"/>
    </row>
    <row r="83" spans="1:10" ht="12.75">
      <c r="A83" s="53"/>
      <c r="B83" s="58"/>
      <c r="C83" s="49" t="s">
        <v>348</v>
      </c>
      <c r="D83" s="108">
        <f>VLOOKUP($D$24,$AB$8:$AN$25,4,FALSE)</f>
        <v>1.78</v>
      </c>
      <c r="E83" s="93" t="s">
        <v>5</v>
      </c>
      <c r="F83" s="58" t="s">
        <v>351</v>
      </c>
      <c r="G83" s="58"/>
      <c r="H83" s="58"/>
      <c r="I83" s="58"/>
      <c r="J83" s="102"/>
    </row>
    <row r="84" spans="1:10" ht="12.75">
      <c r="A84" s="53"/>
      <c r="B84" s="58"/>
      <c r="C84" s="49" t="s">
        <v>437</v>
      </c>
      <c r="D84" s="167">
        <f>VLOOKUP($D$10,$AB$8:$AN$25,8,FALSE)</f>
        <v>0.155</v>
      </c>
      <c r="E84" s="93" t="s">
        <v>72</v>
      </c>
      <c r="F84" s="58" t="s">
        <v>440</v>
      </c>
      <c r="G84" s="58"/>
      <c r="H84" s="58"/>
      <c r="I84" s="58"/>
      <c r="J84" s="102"/>
    </row>
    <row r="85" spans="1:10" ht="12.75">
      <c r="A85" s="53"/>
      <c r="B85" s="58"/>
      <c r="C85" s="49" t="s">
        <v>438</v>
      </c>
      <c r="D85" s="167">
        <f>VLOOKUP($D$10,$AB$8:$AN$25,10,FALSE)</f>
        <v>0.183</v>
      </c>
      <c r="E85" s="93" t="s">
        <v>72</v>
      </c>
      <c r="F85" s="58" t="s">
        <v>441</v>
      </c>
      <c r="G85" s="58"/>
      <c r="H85" s="58"/>
      <c r="I85" s="58"/>
      <c r="J85" s="102"/>
    </row>
    <row r="86" spans="1:10" ht="12.75">
      <c r="A86" s="53"/>
      <c r="B86" s="58"/>
      <c r="C86" s="171" t="s">
        <v>439</v>
      </c>
      <c r="D86" s="167">
        <f>($D$84+$D$85)/2</f>
        <v>0.16899999999999998</v>
      </c>
      <c r="E86" s="93" t="s">
        <v>72</v>
      </c>
      <c r="F86" s="173" t="s">
        <v>442</v>
      </c>
      <c r="G86" s="58"/>
      <c r="H86" s="58"/>
      <c r="I86" s="58"/>
      <c r="J86" s="102"/>
    </row>
    <row r="87" spans="1:10" ht="12.75">
      <c r="A87" s="78"/>
      <c r="B87" s="58"/>
      <c r="C87" s="49" t="s">
        <v>349</v>
      </c>
      <c r="D87" s="168">
        <f>VLOOKUP($D$24,$AB$8:$AN$25,9,FALSE)</f>
        <v>0.186</v>
      </c>
      <c r="E87" s="93" t="s">
        <v>8</v>
      </c>
      <c r="F87" s="58" t="s">
        <v>443</v>
      </c>
      <c r="G87" s="58"/>
      <c r="H87" s="58"/>
      <c r="I87" s="58"/>
      <c r="J87" s="102"/>
    </row>
    <row r="88" spans="1:10" ht="12.75">
      <c r="A88" s="53"/>
      <c r="B88" s="58"/>
      <c r="C88" s="49" t="s">
        <v>350</v>
      </c>
      <c r="D88" s="115">
        <f>VLOOKUP($D$24,$AB$8:$AN$25,11,FALSE)</f>
        <v>0.192</v>
      </c>
      <c r="E88" s="93" t="s">
        <v>8</v>
      </c>
      <c r="F88" s="58" t="s">
        <v>444</v>
      </c>
      <c r="G88" s="58"/>
      <c r="H88" s="58"/>
      <c r="I88" s="58"/>
      <c r="J88" s="102"/>
    </row>
    <row r="89" spans="1:10" ht="12.75">
      <c r="A89" s="53"/>
      <c r="B89" s="58"/>
      <c r="C89" s="58"/>
      <c r="D89" s="58"/>
      <c r="E89" s="58"/>
      <c r="F89" s="58"/>
      <c r="G89" s="58"/>
      <c r="H89" s="58"/>
      <c r="I89" s="58"/>
      <c r="J89" s="102"/>
    </row>
    <row r="90" spans="1:10" ht="12.75">
      <c r="A90" s="47" t="s">
        <v>309</v>
      </c>
      <c r="B90" s="58"/>
      <c r="C90" s="58"/>
      <c r="D90" s="58"/>
      <c r="E90" s="58"/>
      <c r="F90" s="58"/>
      <c r="G90" s="58"/>
      <c r="H90" s="58"/>
      <c r="I90" s="58"/>
      <c r="J90" s="102"/>
    </row>
    <row r="91" spans="1:10" ht="12.75">
      <c r="A91" s="77"/>
      <c r="B91" s="59"/>
      <c r="C91" s="49" t="s">
        <v>265</v>
      </c>
      <c r="D91" s="107">
        <f>$O$34</f>
        <v>64.932</v>
      </c>
      <c r="E91" s="93" t="s">
        <v>5</v>
      </c>
      <c r="F91" s="58" t="str">
        <f>$Q$34</f>
        <v>pd3 = p3-0.6*(wDL3+wd3)</v>
      </c>
      <c r="G91" s="58"/>
      <c r="H91" s="58"/>
      <c r="I91" s="58"/>
      <c r="J91" s="102"/>
    </row>
    <row r="92" spans="1:10" ht="12.75">
      <c r="A92" s="77"/>
      <c r="B92" s="105"/>
      <c r="C92" s="49" t="s">
        <v>36</v>
      </c>
      <c r="D92" s="167">
        <f>$O$35</f>
        <v>0.18700416</v>
      </c>
      <c r="E92" s="93" t="s">
        <v>6</v>
      </c>
      <c r="F92" s="58" t="str">
        <f>$Q$35</f>
        <v>+M3 = 0.08*pd3/1000*L3^2</v>
      </c>
      <c r="G92" s="58"/>
      <c r="H92" s="58"/>
      <c r="I92" s="58"/>
      <c r="J92" s="102"/>
    </row>
    <row r="93" spans="1:10" ht="12.75">
      <c r="A93" s="77"/>
      <c r="B93" s="60"/>
      <c r="C93" s="49" t="s">
        <v>37</v>
      </c>
      <c r="D93" s="167">
        <f>$O$36</f>
        <v>0.23375520000000005</v>
      </c>
      <c r="E93" s="93" t="s">
        <v>6</v>
      </c>
      <c r="F93" s="58" t="str">
        <f>$Q$36</f>
        <v>-M3 = 0.1*pd3/1000*L3^2</v>
      </c>
      <c r="G93" s="58"/>
      <c r="H93" s="58"/>
      <c r="I93" s="58"/>
      <c r="J93" s="102"/>
    </row>
    <row r="94" spans="1:10" ht="12.75">
      <c r="A94" s="77"/>
      <c r="B94" s="58"/>
      <c r="C94" s="49" t="s">
        <v>38</v>
      </c>
      <c r="D94" s="108">
        <f>$O$37</f>
        <v>19.8</v>
      </c>
      <c r="E94" s="93" t="s">
        <v>7</v>
      </c>
      <c r="F94" s="58" t="str">
        <f>$Q$37</f>
        <v>Fb3 = 0.60*Fyd3 &lt;= 0.60*60 = 36</v>
      </c>
      <c r="G94" s="58"/>
      <c r="H94" s="58"/>
      <c r="I94" s="51"/>
      <c r="J94" s="102"/>
    </row>
    <row r="95" spans="1:10" ht="12.75">
      <c r="A95" s="77"/>
      <c r="B95" s="58"/>
      <c r="C95" s="49" t="s">
        <v>39</v>
      </c>
      <c r="D95" s="108">
        <f>$O$38</f>
        <v>11.68776</v>
      </c>
      <c r="E95" s="93" t="s">
        <v>7</v>
      </c>
      <c r="F95" s="109" t="str">
        <f>$Q$38</f>
        <v>+fb3 = (+M3)*12/Sn3 (between supports)</v>
      </c>
      <c r="G95" s="58"/>
      <c r="H95" s="58"/>
      <c r="I95" s="51"/>
      <c r="J95" s="102"/>
    </row>
    <row r="96" spans="1:10" ht="12.75">
      <c r="A96" s="76"/>
      <c r="B96" s="58"/>
      <c r="C96" s="49" t="s">
        <v>40</v>
      </c>
      <c r="D96" s="108">
        <f>$O$39</f>
        <v>15.080980645161294</v>
      </c>
      <c r="E96" s="93" t="s">
        <v>7</v>
      </c>
      <c r="F96" s="109" t="str">
        <f>$Q$39</f>
        <v>-fb3 = (-M3)*12/Sp3 (at supports)</v>
      </c>
      <c r="G96" s="58"/>
      <c r="H96" s="58"/>
      <c r="I96" s="51"/>
      <c r="J96" s="102"/>
    </row>
    <row r="97" spans="1:10" ht="12.75">
      <c r="A97" s="76"/>
      <c r="B97" s="49"/>
      <c r="C97" s="49" t="s">
        <v>150</v>
      </c>
      <c r="D97" s="108">
        <f>$O$40</f>
        <v>15.080980645161294</v>
      </c>
      <c r="E97" s="93" t="s">
        <v>7</v>
      </c>
      <c r="F97" s="58" t="s">
        <v>151</v>
      </c>
      <c r="G97" s="58"/>
      <c r="H97" s="58"/>
      <c r="I97" s="61"/>
      <c r="J97" s="102"/>
    </row>
    <row r="98" spans="1:10" ht="12.75">
      <c r="A98" s="77"/>
      <c r="B98" s="59"/>
      <c r="C98" s="49" t="s">
        <v>41</v>
      </c>
      <c r="D98" s="111">
        <f>$O$41</f>
        <v>0.7616656891495602</v>
      </c>
      <c r="E98" s="58"/>
      <c r="F98" s="199" t="s">
        <v>299</v>
      </c>
      <c r="G98" s="58"/>
      <c r="H98" s="51"/>
      <c r="I98" s="58"/>
      <c r="J98" s="174" t="str">
        <f>IF($D$98&lt;=1,"SR3 &lt;= 1.0, O.K.","SR3 &gt; 1.0")</f>
        <v>SR3 &lt;= 1.0, O.K.</v>
      </c>
    </row>
    <row r="99" spans="1:10" ht="12.75">
      <c r="A99" s="53"/>
      <c r="B99" s="58"/>
      <c r="C99" s="58"/>
      <c r="D99" s="58"/>
      <c r="E99" s="58"/>
      <c r="F99" s="58"/>
      <c r="G99" s="58"/>
      <c r="H99" s="58"/>
      <c r="I99" s="58"/>
      <c r="J99" s="102"/>
    </row>
    <row r="100" spans="1:10" ht="12.75">
      <c r="A100" s="101" t="s">
        <v>398</v>
      </c>
      <c r="B100" s="58"/>
      <c r="C100" s="58"/>
      <c r="D100" s="58"/>
      <c r="E100" s="58"/>
      <c r="F100" s="58"/>
      <c r="G100" s="58"/>
      <c r="H100" s="58"/>
      <c r="I100" s="58"/>
      <c r="J100" s="102"/>
    </row>
    <row r="101" spans="1:10" ht="12.75">
      <c r="A101" s="53"/>
      <c r="B101" s="58"/>
      <c r="C101" s="59" t="s">
        <v>413</v>
      </c>
      <c r="D101" s="106">
        <f>$O$44</f>
        <v>0.2138642536957176</v>
      </c>
      <c r="E101" s="114" t="s">
        <v>71</v>
      </c>
      <c r="F101" s="57" t="str">
        <f>$Q$44</f>
        <v>Δ3(max) = 0.0069*p3/12000*(L3*12)^4/(E*I3)</v>
      </c>
      <c r="G101" s="89"/>
      <c r="H101" s="51"/>
      <c r="I101" s="58"/>
      <c r="J101" s="102"/>
    </row>
    <row r="102" spans="1:10" ht="12.75">
      <c r="A102" s="77"/>
      <c r="B102" s="51"/>
      <c r="C102" s="59" t="s">
        <v>414</v>
      </c>
      <c r="D102" s="218">
        <f>$O$45</f>
        <v>0.3</v>
      </c>
      <c r="E102" s="114" t="s">
        <v>71</v>
      </c>
      <c r="F102" s="243" t="s">
        <v>415</v>
      </c>
      <c r="G102" s="51"/>
      <c r="H102" s="50"/>
      <c r="I102" s="51"/>
      <c r="J102" s="119"/>
    </row>
    <row r="103" spans="1:10" ht="12.75">
      <c r="A103" s="75"/>
      <c r="B103" s="51"/>
      <c r="C103" s="58"/>
      <c r="D103" s="58"/>
      <c r="E103" s="58"/>
      <c r="F103" s="58"/>
      <c r="G103" s="58"/>
      <c r="H103" s="58"/>
      <c r="I103" s="61"/>
      <c r="J103" s="174" t="str">
        <f>IF(ROUND($D$27*12/$D$101,0)&gt;=240,"Δ3(max) &lt;= Δ3(allow), O.K.","Δ3(max) &gt; Δ3(allow)")</f>
        <v>Δ3(max) &lt;= Δ3(allow), O.K.</v>
      </c>
    </row>
    <row r="104" spans="1:10" ht="12.75">
      <c r="A104" s="245"/>
      <c r="B104" s="199"/>
      <c r="C104" s="199"/>
      <c r="D104" s="199"/>
      <c r="E104" s="199"/>
      <c r="F104" s="199"/>
      <c r="G104" s="199"/>
      <c r="H104" s="199"/>
      <c r="I104" s="199"/>
      <c r="J104" s="246"/>
    </row>
    <row r="105" spans="1:10" ht="12.75">
      <c r="A105" s="101" t="s">
        <v>89</v>
      </c>
      <c r="B105" s="200"/>
      <c r="C105" s="200"/>
      <c r="D105" s="200"/>
      <c r="E105" s="200"/>
      <c r="F105" s="200"/>
      <c r="G105" s="200"/>
      <c r="H105" s="200"/>
      <c r="I105" s="200"/>
      <c r="J105" s="224"/>
    </row>
    <row r="106" spans="1:10" ht="12.75">
      <c r="A106" s="124"/>
      <c r="B106" s="200"/>
      <c r="C106" s="200"/>
      <c r="D106" s="200"/>
      <c r="E106" s="200"/>
      <c r="F106" s="200"/>
      <c r="G106" s="200"/>
      <c r="H106" s="200"/>
      <c r="I106" s="200"/>
      <c r="J106" s="224"/>
    </row>
    <row r="107" spans="1:10" ht="12.75">
      <c r="A107" s="124"/>
      <c r="B107" s="200"/>
      <c r="C107" s="200"/>
      <c r="D107" s="200"/>
      <c r="E107" s="200"/>
      <c r="F107" s="200"/>
      <c r="G107" s="200"/>
      <c r="H107" s="200"/>
      <c r="I107" s="200"/>
      <c r="J107" s="224"/>
    </row>
    <row r="108" spans="1:10" ht="12.75">
      <c r="A108" s="124"/>
      <c r="B108" s="200"/>
      <c r="C108" s="200"/>
      <c r="D108" s="200"/>
      <c r="E108" s="200"/>
      <c r="F108" s="200"/>
      <c r="G108" s="200"/>
      <c r="H108" s="200"/>
      <c r="I108" s="200"/>
      <c r="J108" s="224"/>
    </row>
    <row r="109" spans="1:10" ht="12.75">
      <c r="A109" s="124"/>
      <c r="B109" s="200"/>
      <c r="C109" s="200"/>
      <c r="D109" s="200"/>
      <c r="E109" s="200"/>
      <c r="F109" s="200"/>
      <c r="G109" s="200"/>
      <c r="H109" s="200"/>
      <c r="I109" s="200"/>
      <c r="J109" s="224"/>
    </row>
    <row r="110" spans="1:10" ht="12.75">
      <c r="A110" s="124"/>
      <c r="B110" s="200"/>
      <c r="C110" s="200"/>
      <c r="D110" s="200"/>
      <c r="E110" s="200"/>
      <c r="F110" s="200"/>
      <c r="G110" s="200"/>
      <c r="H110" s="200"/>
      <c r="I110" s="200"/>
      <c r="J110" s="224"/>
    </row>
    <row r="111" spans="1:10" ht="12.75">
      <c r="A111" s="124"/>
      <c r="B111" s="200"/>
      <c r="C111" s="200"/>
      <c r="D111" s="200"/>
      <c r="E111" s="200"/>
      <c r="F111" s="200"/>
      <c r="G111" s="200"/>
      <c r="H111" s="200"/>
      <c r="I111" s="200"/>
      <c r="J111" s="224"/>
    </row>
    <row r="112" spans="1:10" ht="12.75">
      <c r="A112" s="125"/>
      <c r="B112" s="225"/>
      <c r="C112" s="225"/>
      <c r="D112" s="225"/>
      <c r="E112" s="225"/>
      <c r="F112" s="225"/>
      <c r="G112" s="225"/>
      <c r="H112" s="225"/>
      <c r="I112" s="225"/>
      <c r="J112" s="226"/>
    </row>
  </sheetData>
  <sheetProtection sheet="1" objects="1" scenarios="1"/>
  <mergeCells count="1">
    <mergeCell ref="AB28:AB29"/>
  </mergeCells>
  <dataValidations count="10">
    <dataValidation type="list" allowBlank="1" showInputMessage="1" showErrorMessage="1" sqref="D26 D19 D12">
      <formula1>$L$5:$L$7</formula1>
    </dataValidation>
    <dataValidation type="list" allowBlank="1" showInputMessage="1" showErrorMessage="1" sqref="D24 D17 D10">
      <formula1>$AB$8:$AB$25</formula1>
    </dataValidation>
    <dataValidation type="list" allowBlank="1" showInputMessage="1" showErrorMessage="1" sqref="D25 D18">
      <formula1>$L$8:$L$12</formula1>
    </dataValidation>
    <dataValidation type="list" allowBlank="1" showInputMessage="1" showErrorMessage="1" prompt="For Vulcraft steel roof deck, typical value of steel yield strength, 'Fyd', is 33 ksi." sqref="D11">
      <formula1>$L$8:$L$12</formula1>
    </dataValidation>
    <dataValidation allowBlank="1" showInputMessage="1" showErrorMessage="1" prompt="Program automatically extracts negative moment of inertia (In3) from tabular data for Vulcraft roof deck." sqref="D85"/>
    <dataValidation allowBlank="1" showInputMessage="1" showErrorMessage="1" prompt="Program automatically extracts negative moment of inertia (In1) from tabular data for Vulcraft roof deck." sqref="D37"/>
    <dataValidation allowBlank="1" showInputMessage="1" showErrorMessage="1" prompt="Program automatically extracts positive moment of inertia (Ip1) from tabular data for Vulcraft roof deck." sqref="D36"/>
    <dataValidation allowBlank="1" showInputMessage="1" showErrorMessage="1" prompt="Program automatically extracts positive moment of inertia (Ip2) from tabular data for Vulcraft roof deck." sqref="D61"/>
    <dataValidation allowBlank="1" showInputMessage="1" showErrorMessage="1" prompt="Program automatically extracts negative moment of inertia (In2) from tabular data for Vulcraft roof deck." sqref="D62"/>
    <dataValidation allowBlank="1" showInputMessage="1" showErrorMessage="1" prompt="Program automatically extracts positive moment of inertia (Ip3) from tabular data for Vulcraft roof deck." sqref="D84"/>
  </dataValidations>
  <printOptions/>
  <pageMargins left="1" right="0.5" top="1" bottom="1" header="0.5" footer="0.5"/>
  <pageSetup horizontalDpi="600" verticalDpi="600" orientation="portrait" scale="91" r:id="rId4"/>
  <headerFooter alignWithMargins="0">
    <oddHeader>&amp;R"ROOFDECK.xls" Program
Version 1.0</oddHeader>
    <oddFooter>&amp;C&amp;P of &amp;N&amp;R&amp;D  &amp;T</oddFooter>
  </headerFooter>
  <rowBreaks count="1" manualBreakCount="1">
    <brk id="56" max="9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7" customWidth="1"/>
    <col min="2" max="2" width="9.140625" style="67" customWidth="1"/>
    <col min="3" max="3" width="10.00390625" style="67" bestFit="1" customWidth="1"/>
    <col min="4" max="9" width="9.140625" style="67" customWidth="1"/>
    <col min="10" max="10" width="8.140625" style="73" customWidth="1"/>
    <col min="11" max="22" width="9.140625" style="7" hidden="1" customWidth="1"/>
    <col min="23" max="26" width="9.140625" style="1" hidden="1" customWidth="1"/>
    <col min="27" max="27" width="9.140625" style="11" customWidth="1"/>
    <col min="28" max="30" width="9.140625" style="7" customWidth="1"/>
    <col min="31" max="31" width="10.7109375" style="7" customWidth="1"/>
    <col min="32" max="32" width="9.140625" style="7" customWidth="1"/>
    <col min="33" max="33" width="11.140625" style="7" customWidth="1"/>
    <col min="34" max="35" width="9.140625" style="7" customWidth="1"/>
    <col min="36" max="36" width="12.7109375" style="7" customWidth="1"/>
    <col min="37" max="37" width="9.140625" style="7" customWidth="1"/>
    <col min="38" max="38" width="12.7109375" style="7" customWidth="1"/>
    <col min="39" max="39" width="9.140625" style="7" customWidth="1"/>
    <col min="40" max="40" width="9.140625" style="12" customWidth="1"/>
    <col min="41" max="16384" width="9.140625" style="1" customWidth="1"/>
  </cols>
  <sheetData>
    <row r="1" spans="1:40" ht="15.75">
      <c r="A1" s="3" t="s">
        <v>21</v>
      </c>
      <c r="B1" s="4"/>
      <c r="C1" s="5"/>
      <c r="D1" s="5"/>
      <c r="E1" s="5"/>
      <c r="F1" s="5"/>
      <c r="G1" s="4"/>
      <c r="H1" s="4"/>
      <c r="I1" s="4"/>
      <c r="J1" s="6"/>
      <c r="M1" s="9"/>
      <c r="AA1" s="203" t="s">
        <v>95</v>
      </c>
      <c r="AD1" s="9"/>
      <c r="AN1" s="10"/>
    </row>
    <row r="2" spans="1:27" ht="12.75">
      <c r="A2" s="13" t="s">
        <v>63</v>
      </c>
      <c r="B2" s="14"/>
      <c r="C2" s="15"/>
      <c r="D2" s="14"/>
      <c r="E2" s="14"/>
      <c r="F2" s="14"/>
      <c r="G2" s="16"/>
      <c r="H2" s="16"/>
      <c r="I2" s="16"/>
      <c r="J2" s="17"/>
      <c r="AA2" s="18"/>
    </row>
    <row r="3" spans="1:36" ht="12.75">
      <c r="A3" s="19" t="s">
        <v>366</v>
      </c>
      <c r="B3" s="20"/>
      <c r="C3" s="20"/>
      <c r="D3" s="20"/>
      <c r="E3" s="20"/>
      <c r="F3" s="20"/>
      <c r="G3" s="21"/>
      <c r="H3" s="21"/>
      <c r="I3" s="21"/>
      <c r="J3" s="22"/>
      <c r="N3" s="211" t="s">
        <v>182</v>
      </c>
      <c r="AA3" s="26"/>
      <c r="AB3" s="23"/>
      <c r="AC3" s="24"/>
      <c r="AD3" s="23"/>
      <c r="AE3" s="25"/>
      <c r="AF3" s="24"/>
      <c r="AG3" s="23"/>
      <c r="AH3" s="24"/>
      <c r="AI3" s="23"/>
      <c r="AJ3" s="23"/>
    </row>
    <row r="4" spans="1:40" ht="12.75">
      <c r="A4" s="27" t="s">
        <v>10</v>
      </c>
      <c r="B4" s="28"/>
      <c r="C4" s="29"/>
      <c r="D4" s="29"/>
      <c r="E4" s="29"/>
      <c r="F4" s="30" t="s">
        <v>11</v>
      </c>
      <c r="G4" s="31"/>
      <c r="H4" s="32"/>
      <c r="I4" s="32"/>
      <c r="J4" s="33"/>
      <c r="M4" s="34"/>
      <c r="AA4" s="37"/>
      <c r="AB4" s="134" t="s">
        <v>137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6"/>
    </row>
    <row r="5" spans="1:40" ht="12.75">
      <c r="A5" s="27" t="s">
        <v>12</v>
      </c>
      <c r="B5" s="88"/>
      <c r="C5" s="38"/>
      <c r="D5" s="38"/>
      <c r="E5" s="38"/>
      <c r="F5" s="39" t="s">
        <v>13</v>
      </c>
      <c r="G5" s="31"/>
      <c r="H5" s="40"/>
      <c r="I5" s="41" t="s">
        <v>14</v>
      </c>
      <c r="J5" s="33"/>
      <c r="L5" s="36" t="s">
        <v>1</v>
      </c>
      <c r="M5" s="34"/>
      <c r="N5" s="206" t="s">
        <v>305</v>
      </c>
      <c r="O5" s="116"/>
      <c r="P5" s="116"/>
      <c r="Q5" s="116"/>
      <c r="R5" s="116"/>
      <c r="S5" s="116"/>
      <c r="T5" s="116"/>
      <c r="U5" s="204"/>
      <c r="V5" s="204"/>
      <c r="AB5" s="137" t="s">
        <v>96</v>
      </c>
      <c r="AC5" s="138"/>
      <c r="AD5" s="138"/>
      <c r="AE5" s="137" t="s">
        <v>97</v>
      </c>
      <c r="AF5" s="139" t="s">
        <v>98</v>
      </c>
      <c r="AG5" s="139" t="s">
        <v>99</v>
      </c>
      <c r="AH5" s="140" t="s">
        <v>100</v>
      </c>
      <c r="AI5" s="137" t="s">
        <v>101</v>
      </c>
      <c r="AJ5" s="139" t="s">
        <v>102</v>
      </c>
      <c r="AK5" s="137" t="s">
        <v>101</v>
      </c>
      <c r="AL5" s="139" t="s">
        <v>102</v>
      </c>
      <c r="AM5" s="139" t="s">
        <v>103</v>
      </c>
      <c r="AN5" s="137" t="s">
        <v>104</v>
      </c>
    </row>
    <row r="6" spans="1:40" ht="12.75">
      <c r="A6" s="44"/>
      <c r="B6" s="37"/>
      <c r="C6" s="37"/>
      <c r="D6" s="37"/>
      <c r="E6" s="37"/>
      <c r="F6" s="37"/>
      <c r="G6" s="37"/>
      <c r="H6" s="37"/>
      <c r="I6" s="45"/>
      <c r="J6" s="46"/>
      <c r="L6" s="36" t="s">
        <v>2</v>
      </c>
      <c r="M6" s="34"/>
      <c r="N6" s="213" t="s">
        <v>269</v>
      </c>
      <c r="O6" s="92">
        <f>1.6*$D$14-0.9*($D$15+$D$35)</f>
        <v>37.098</v>
      </c>
      <c r="P6" s="204" t="s">
        <v>5</v>
      </c>
      <c r="Q6" s="204" t="s">
        <v>353</v>
      </c>
      <c r="R6" s="204"/>
      <c r="S6" s="204"/>
      <c r="T6" s="204"/>
      <c r="AB6" s="139" t="s">
        <v>105</v>
      </c>
      <c r="AC6" s="139" t="s">
        <v>106</v>
      </c>
      <c r="AD6" s="139" t="s">
        <v>107</v>
      </c>
      <c r="AE6" s="140" t="s">
        <v>108</v>
      </c>
      <c r="AF6" s="139" t="s">
        <v>109</v>
      </c>
      <c r="AG6" s="139" t="s">
        <v>110</v>
      </c>
      <c r="AH6" s="140" t="s">
        <v>111</v>
      </c>
      <c r="AI6" s="140" t="s">
        <v>126</v>
      </c>
      <c r="AJ6" s="140" t="s">
        <v>112</v>
      </c>
      <c r="AK6" s="140" t="s">
        <v>127</v>
      </c>
      <c r="AL6" s="140" t="s">
        <v>113</v>
      </c>
      <c r="AM6" s="140" t="s">
        <v>114</v>
      </c>
      <c r="AN6" s="139" t="s">
        <v>128</v>
      </c>
    </row>
    <row r="7" spans="1:40" ht="12.75">
      <c r="A7" s="47" t="s">
        <v>15</v>
      </c>
      <c r="B7" s="37"/>
      <c r="C7" s="37"/>
      <c r="D7" s="37"/>
      <c r="E7" s="37"/>
      <c r="F7" s="37"/>
      <c r="G7" s="37"/>
      <c r="H7" s="37"/>
      <c r="I7" s="48"/>
      <c r="J7" s="46"/>
      <c r="L7" s="36" t="s">
        <v>3</v>
      </c>
      <c r="M7" s="34"/>
      <c r="N7" s="215" t="s">
        <v>234</v>
      </c>
      <c r="O7" s="196">
        <f>IF($D$12="1-Span",0.125*$O$6/1000*$D$13^2,IF($D$12="2-Span",0.07*$O$6/1000*$D$13^2,IF($D$12="3-Span",0.08*$O$6/1000*$D$13^2)))</f>
        <v>0.10684223999999999</v>
      </c>
      <c r="P7" s="204" t="s">
        <v>6</v>
      </c>
      <c r="Q7" s="204" t="str">
        <f>IF($D$12="1-Span","+M1u = 0.125*pd1u/1000*L1^2",IF($D$12="2-Span","+M1u = 0.07*pd1u/1000*L1^2",IF($D$12="3-Span","+M1u = 0.08*pd1u/1000*L1^2")))</f>
        <v>+M1u = 0.08*pd1u/1000*L1^2</v>
      </c>
      <c r="R7" s="204"/>
      <c r="S7" s="204"/>
      <c r="T7" s="204"/>
      <c r="AB7" s="141"/>
      <c r="AC7" s="141"/>
      <c r="AD7" s="142" t="s">
        <v>115</v>
      </c>
      <c r="AE7" s="143" t="s">
        <v>116</v>
      </c>
      <c r="AF7" s="142" t="s">
        <v>115</v>
      </c>
      <c r="AG7" s="142" t="s">
        <v>115</v>
      </c>
      <c r="AH7" s="142" t="s">
        <v>115</v>
      </c>
      <c r="AI7" s="142" t="s">
        <v>117</v>
      </c>
      <c r="AJ7" s="142" t="s">
        <v>118</v>
      </c>
      <c r="AK7" s="142" t="s">
        <v>117</v>
      </c>
      <c r="AL7" s="142" t="s">
        <v>118</v>
      </c>
      <c r="AM7" s="142" t="s">
        <v>119</v>
      </c>
      <c r="AN7" s="142" t="s">
        <v>120</v>
      </c>
    </row>
    <row r="8" spans="1:40" ht="12.75">
      <c r="A8" s="75"/>
      <c r="B8" s="37"/>
      <c r="C8" s="90"/>
      <c r="D8" s="90"/>
      <c r="E8" s="90"/>
      <c r="F8" s="90"/>
      <c r="G8" s="90"/>
      <c r="H8" s="90"/>
      <c r="I8" s="90"/>
      <c r="J8" s="46"/>
      <c r="L8" s="86">
        <v>33</v>
      </c>
      <c r="M8" s="83"/>
      <c r="N8" s="215" t="s">
        <v>235</v>
      </c>
      <c r="O8" s="196">
        <f>IF($D$12="1-Span","N.A.",IF($D$12="2-Span",0.125*$O$6/1000*$D$13^2,IF($D$12="3-Span",0.1*$O$6/1000*$D$13^2)))</f>
        <v>0.1335528</v>
      </c>
      <c r="P8" s="204" t="s">
        <v>6</v>
      </c>
      <c r="Q8" s="204" t="str">
        <f>IF($D$12="1-Span","-M1u = N.A. (for 1-Span condition)",IF($D$12="2-Span","-M1u = 0.125*pd1u/1000*L1^2",IF($D$12="3-Span","-M1u = 0.1*pd1u/1000*L1^2")))</f>
        <v>-M1u = 0.1*pd1u/1000*L1^2</v>
      </c>
      <c r="R8" s="204"/>
      <c r="S8" s="204"/>
      <c r="T8" s="204"/>
      <c r="AB8" s="147" t="s">
        <v>125</v>
      </c>
      <c r="AC8" s="150">
        <v>22</v>
      </c>
      <c r="AD8" s="153">
        <v>0.0295</v>
      </c>
      <c r="AE8" s="156">
        <v>1.78</v>
      </c>
      <c r="AF8" s="150">
        <v>1.5</v>
      </c>
      <c r="AG8" s="150">
        <v>2.5</v>
      </c>
      <c r="AH8" s="150">
        <v>6</v>
      </c>
      <c r="AI8" s="144">
        <v>0.155</v>
      </c>
      <c r="AJ8" s="144">
        <v>0.186</v>
      </c>
      <c r="AK8" s="144">
        <v>0.183</v>
      </c>
      <c r="AL8" s="144">
        <v>0.192</v>
      </c>
      <c r="AM8" s="162">
        <v>33</v>
      </c>
      <c r="AN8" s="159">
        <v>1818</v>
      </c>
    </row>
    <row r="9" spans="1:40" ht="12.75">
      <c r="A9" s="221" t="s">
        <v>61</v>
      </c>
      <c r="B9" s="49"/>
      <c r="C9" s="58"/>
      <c r="D9" s="58"/>
      <c r="E9" s="58"/>
      <c r="F9" s="58"/>
      <c r="G9" s="58"/>
      <c r="H9" s="58"/>
      <c r="I9" s="222"/>
      <c r="J9" s="130"/>
      <c r="L9" s="86">
        <v>40</v>
      </c>
      <c r="M9" s="84"/>
      <c r="N9" s="213" t="s">
        <v>236</v>
      </c>
      <c r="O9" s="92">
        <f>0.95*$D$11</f>
        <v>31.349999999999998</v>
      </c>
      <c r="P9" s="204" t="s">
        <v>7</v>
      </c>
      <c r="Q9" s="116" t="s">
        <v>352</v>
      </c>
      <c r="R9" s="204"/>
      <c r="S9" s="204"/>
      <c r="T9" s="197"/>
      <c r="AB9" s="148" t="s">
        <v>124</v>
      </c>
      <c r="AC9" s="151">
        <v>20</v>
      </c>
      <c r="AD9" s="154">
        <v>0.0358</v>
      </c>
      <c r="AE9" s="157">
        <v>2.14</v>
      </c>
      <c r="AF9" s="151">
        <v>1.5</v>
      </c>
      <c r="AG9" s="151">
        <v>2.5</v>
      </c>
      <c r="AH9" s="151">
        <v>6</v>
      </c>
      <c r="AI9" s="145">
        <v>0.201</v>
      </c>
      <c r="AJ9" s="145">
        <v>0.234</v>
      </c>
      <c r="AK9" s="145">
        <v>0.222</v>
      </c>
      <c r="AL9" s="145">
        <v>0.247</v>
      </c>
      <c r="AM9" s="163">
        <v>33</v>
      </c>
      <c r="AN9" s="160">
        <v>2193</v>
      </c>
    </row>
    <row r="10" spans="1:40" ht="12.75">
      <c r="A10" s="76"/>
      <c r="B10" s="105"/>
      <c r="C10" s="2" t="s">
        <v>60</v>
      </c>
      <c r="D10" s="165" t="s">
        <v>125</v>
      </c>
      <c r="E10" s="223"/>
      <c r="F10" s="58"/>
      <c r="G10" s="58"/>
      <c r="H10" s="58"/>
      <c r="I10" s="61"/>
      <c r="J10" s="131"/>
      <c r="L10" s="86">
        <v>50</v>
      </c>
      <c r="M10" s="85"/>
      <c r="N10" s="215" t="s">
        <v>237</v>
      </c>
      <c r="O10" s="92">
        <f>$O$7*12/$D$40</f>
        <v>6.677639999999999</v>
      </c>
      <c r="P10" s="204" t="s">
        <v>7</v>
      </c>
      <c r="Q10" s="214" t="s">
        <v>358</v>
      </c>
      <c r="R10" s="204"/>
      <c r="S10" s="204"/>
      <c r="T10" s="197"/>
      <c r="AB10" s="148" t="s">
        <v>123</v>
      </c>
      <c r="AC10" s="151">
        <v>19</v>
      </c>
      <c r="AD10" s="154">
        <v>0.0418</v>
      </c>
      <c r="AE10" s="157">
        <v>2.49</v>
      </c>
      <c r="AF10" s="151">
        <v>1.5</v>
      </c>
      <c r="AG10" s="151">
        <v>2.5</v>
      </c>
      <c r="AH10" s="151">
        <v>6</v>
      </c>
      <c r="AI10" s="145">
        <v>0.246</v>
      </c>
      <c r="AJ10" s="145">
        <v>0.277</v>
      </c>
      <c r="AK10" s="145">
        <v>0.26</v>
      </c>
      <c r="AL10" s="145">
        <v>0.289</v>
      </c>
      <c r="AM10" s="163">
        <v>33</v>
      </c>
      <c r="AN10" s="160">
        <v>2546</v>
      </c>
    </row>
    <row r="11" spans="1:40" ht="12.75">
      <c r="A11" s="77"/>
      <c r="B11" s="56"/>
      <c r="C11" s="2" t="s">
        <v>325</v>
      </c>
      <c r="D11" s="79">
        <v>33</v>
      </c>
      <c r="E11" s="93" t="s">
        <v>7</v>
      </c>
      <c r="F11" s="58"/>
      <c r="G11" s="58"/>
      <c r="H11" s="58"/>
      <c r="I11" s="222"/>
      <c r="J11" s="130"/>
      <c r="L11" s="86">
        <v>60</v>
      </c>
      <c r="M11" s="85"/>
      <c r="N11" s="215" t="s">
        <v>238</v>
      </c>
      <c r="O11" s="92">
        <f>IF($D$12="1-Span","N.A.",$O$8*12/$D$39)</f>
        <v>8.616309677419354</v>
      </c>
      <c r="P11" s="204" t="s">
        <v>7</v>
      </c>
      <c r="Q11" s="214" t="s">
        <v>359</v>
      </c>
      <c r="R11" s="204"/>
      <c r="S11" s="204"/>
      <c r="T11" s="197"/>
      <c r="AB11" s="148" t="s">
        <v>122</v>
      </c>
      <c r="AC11" s="151">
        <v>18</v>
      </c>
      <c r="AD11" s="154">
        <v>0.0474</v>
      </c>
      <c r="AE11" s="157">
        <v>2.82</v>
      </c>
      <c r="AF11" s="151">
        <v>1.5</v>
      </c>
      <c r="AG11" s="151">
        <v>2.5</v>
      </c>
      <c r="AH11" s="151">
        <v>6</v>
      </c>
      <c r="AI11" s="145">
        <v>0.289</v>
      </c>
      <c r="AJ11" s="145">
        <v>0.318</v>
      </c>
      <c r="AK11" s="145">
        <v>0.295</v>
      </c>
      <c r="AL11" s="145">
        <v>0.327</v>
      </c>
      <c r="AM11" s="163">
        <v>33</v>
      </c>
      <c r="AN11" s="160">
        <v>2870</v>
      </c>
    </row>
    <row r="12" spans="1:40" ht="12.75">
      <c r="A12" s="77"/>
      <c r="B12" s="105"/>
      <c r="C12" s="49" t="s">
        <v>20</v>
      </c>
      <c r="D12" s="79" t="s">
        <v>3</v>
      </c>
      <c r="E12" s="93"/>
      <c r="F12" s="58"/>
      <c r="G12" s="58"/>
      <c r="H12" s="58"/>
      <c r="I12" s="61"/>
      <c r="J12" s="131"/>
      <c r="L12" s="86">
        <v>80</v>
      </c>
      <c r="M12" s="85"/>
      <c r="N12" s="213" t="s">
        <v>239</v>
      </c>
      <c r="O12" s="92">
        <f>MAX($O$10,$O$11)</f>
        <v>8.616309677419354</v>
      </c>
      <c r="P12" s="204" t="s">
        <v>7</v>
      </c>
      <c r="Q12" s="204" t="s">
        <v>55</v>
      </c>
      <c r="R12" s="204"/>
      <c r="S12" s="204"/>
      <c r="T12" s="10"/>
      <c r="AB12" s="148" t="s">
        <v>121</v>
      </c>
      <c r="AC12" s="151">
        <v>16</v>
      </c>
      <c r="AD12" s="154">
        <v>0.0598</v>
      </c>
      <c r="AE12" s="157">
        <v>3.54</v>
      </c>
      <c r="AF12" s="151">
        <v>1.5</v>
      </c>
      <c r="AG12" s="151">
        <v>2.5</v>
      </c>
      <c r="AH12" s="151">
        <v>6</v>
      </c>
      <c r="AI12" s="145">
        <v>0.373</v>
      </c>
      <c r="AJ12" s="145">
        <v>0.408</v>
      </c>
      <c r="AK12" s="145">
        <v>0.373</v>
      </c>
      <c r="AL12" s="145">
        <v>0.411</v>
      </c>
      <c r="AM12" s="163">
        <v>33</v>
      </c>
      <c r="AN12" s="160">
        <v>3578</v>
      </c>
    </row>
    <row r="13" spans="1:40" ht="12.75">
      <c r="A13" s="77"/>
      <c r="B13" s="49"/>
      <c r="C13" s="49" t="s">
        <v>313</v>
      </c>
      <c r="D13" s="80">
        <v>6</v>
      </c>
      <c r="E13" s="93" t="s">
        <v>4</v>
      </c>
      <c r="F13" s="58"/>
      <c r="G13" s="58"/>
      <c r="H13" s="58"/>
      <c r="I13" s="222"/>
      <c r="J13" s="130"/>
      <c r="L13" s="62"/>
      <c r="M13" s="85"/>
      <c r="N13" s="213" t="s">
        <v>219</v>
      </c>
      <c r="O13" s="196">
        <f>$O$12/$O$9</f>
        <v>0.2748424139527705</v>
      </c>
      <c r="P13" s="204"/>
      <c r="Q13" s="204" t="str">
        <f>"SR1 = fb1u(max)/Fb1u"</f>
        <v>SR1 = fb1u(max)/Fb1u</v>
      </c>
      <c r="R13" s="204"/>
      <c r="S13" s="197"/>
      <c r="T13" s="116"/>
      <c r="AB13" s="147" t="s">
        <v>132</v>
      </c>
      <c r="AC13" s="150">
        <v>22</v>
      </c>
      <c r="AD13" s="153">
        <v>0.0295</v>
      </c>
      <c r="AE13" s="156">
        <v>1.73</v>
      </c>
      <c r="AF13" s="150">
        <v>1.5</v>
      </c>
      <c r="AG13" s="150">
        <v>1.75</v>
      </c>
      <c r="AH13" s="150">
        <v>6</v>
      </c>
      <c r="AI13" s="144">
        <v>0.113</v>
      </c>
      <c r="AJ13" s="144">
        <v>0.112</v>
      </c>
      <c r="AK13" s="144">
        <v>0.129</v>
      </c>
      <c r="AL13" s="144">
        <v>0.121</v>
      </c>
      <c r="AM13" s="162">
        <v>33</v>
      </c>
      <c r="AN13" s="159">
        <v>1944</v>
      </c>
    </row>
    <row r="14" spans="1:40" ht="12.75">
      <c r="A14" s="76"/>
      <c r="B14" s="49"/>
      <c r="C14" s="49" t="s">
        <v>258</v>
      </c>
      <c r="D14" s="81">
        <v>27</v>
      </c>
      <c r="E14" s="93" t="s">
        <v>5</v>
      </c>
      <c r="F14" s="58"/>
      <c r="G14" s="58"/>
      <c r="H14" s="58"/>
      <c r="I14" s="61"/>
      <c r="J14" s="131"/>
      <c r="L14" s="62"/>
      <c r="M14" s="85"/>
      <c r="N14" s="213"/>
      <c r="O14" s="92"/>
      <c r="P14" s="204"/>
      <c r="Q14" s="204"/>
      <c r="R14" s="204"/>
      <c r="AB14" s="148" t="s">
        <v>131</v>
      </c>
      <c r="AC14" s="151">
        <v>20</v>
      </c>
      <c r="AD14" s="154">
        <v>0.0358</v>
      </c>
      <c r="AE14" s="157">
        <v>2.09</v>
      </c>
      <c r="AF14" s="151">
        <v>1.5</v>
      </c>
      <c r="AG14" s="151">
        <v>1.75</v>
      </c>
      <c r="AH14" s="151">
        <v>6</v>
      </c>
      <c r="AI14" s="145">
        <v>0.145</v>
      </c>
      <c r="AJ14" s="145">
        <v>0.139</v>
      </c>
      <c r="AK14" s="145">
        <v>0.157</v>
      </c>
      <c r="AL14" s="145">
        <v>0.148</v>
      </c>
      <c r="AM14" s="163">
        <v>33</v>
      </c>
      <c r="AN14" s="160">
        <v>2347</v>
      </c>
    </row>
    <row r="15" spans="1:40" ht="12.75">
      <c r="A15" s="76"/>
      <c r="B15" s="49"/>
      <c r="C15" s="49" t="s">
        <v>322</v>
      </c>
      <c r="D15" s="91">
        <v>5</v>
      </c>
      <c r="E15" s="93" t="s">
        <v>5</v>
      </c>
      <c r="F15" s="58"/>
      <c r="G15" s="58"/>
      <c r="H15" s="58"/>
      <c r="I15" s="222"/>
      <c r="J15" s="130"/>
      <c r="L15" s="62"/>
      <c r="M15" s="85"/>
      <c r="N15" s="247" t="s">
        <v>397</v>
      </c>
      <c r="O15" s="204"/>
      <c r="P15" s="204"/>
      <c r="Q15" s="204"/>
      <c r="R15" s="204"/>
      <c r="V15" s="10"/>
      <c r="AB15" s="148" t="s">
        <v>130</v>
      </c>
      <c r="AC15" s="151">
        <v>19</v>
      </c>
      <c r="AD15" s="154">
        <v>0.0418</v>
      </c>
      <c r="AE15" s="157">
        <v>2.42</v>
      </c>
      <c r="AF15" s="151">
        <v>1.5</v>
      </c>
      <c r="AG15" s="151">
        <v>1.75</v>
      </c>
      <c r="AH15" s="151">
        <v>6</v>
      </c>
      <c r="AI15" s="145">
        <v>0.177</v>
      </c>
      <c r="AJ15" s="145">
        <v>0.166</v>
      </c>
      <c r="AK15" s="145">
        <v>0.183</v>
      </c>
      <c r="AL15" s="145">
        <v>0.172</v>
      </c>
      <c r="AM15" s="163">
        <v>33</v>
      </c>
      <c r="AN15" s="160">
        <v>2726</v>
      </c>
    </row>
    <row r="16" spans="1:40" ht="12.75">
      <c r="A16" s="221" t="s">
        <v>58</v>
      </c>
      <c r="B16" s="49"/>
      <c r="C16" s="58"/>
      <c r="D16" s="58"/>
      <c r="E16" s="58"/>
      <c r="F16" s="58"/>
      <c r="G16" s="129"/>
      <c r="H16" s="103"/>
      <c r="I16" s="103"/>
      <c r="J16" s="102"/>
      <c r="L16" s="62"/>
      <c r="M16" s="85"/>
      <c r="N16" s="208" t="s">
        <v>399</v>
      </c>
      <c r="O16" s="205">
        <f>IF($D$12="1-Span",0.013*$D$14/12000*($D$13*12)^4/(29500*$D$37),IF($D$12="2-Span",0.0054*$D$14/12000*($D$13*12)^4/(29500*$D$38),IF($D$12="3-Span",0.0069*$D$14/12000*($D$13*12)^4/(29500*$D$38))))</f>
        <v>0.08368601231571558</v>
      </c>
      <c r="P16" s="116" t="s">
        <v>71</v>
      </c>
      <c r="Q16" s="116" t="str">
        <f>IF($D$12="1-Span","Δ1(max) = 0.013*p1/12000*(L1*12)^4/(E*In1)",IF($D$12="2-Span","Δ1(max) = 0.0054*p1/12000*(L1*12)^4/(E*I1)",IF($D$12="3-Span","Δ1(max) = 0.0069*p1/12000*(L1*12)^4/(E*I1)")))</f>
        <v>Δ1(max) = 0.0069*p1/12000*(L1*12)^4/(E*I1)</v>
      </c>
      <c r="R16" s="204"/>
      <c r="AB16" s="149" t="s">
        <v>129</v>
      </c>
      <c r="AC16" s="152">
        <v>18</v>
      </c>
      <c r="AD16" s="155">
        <v>0.0474</v>
      </c>
      <c r="AE16" s="158">
        <v>2.74</v>
      </c>
      <c r="AF16" s="152">
        <v>1.5</v>
      </c>
      <c r="AG16" s="152">
        <v>1.75</v>
      </c>
      <c r="AH16" s="152">
        <v>6</v>
      </c>
      <c r="AI16" s="146">
        <v>0.206</v>
      </c>
      <c r="AJ16" s="146">
        <v>0.19</v>
      </c>
      <c r="AK16" s="146">
        <v>0.208</v>
      </c>
      <c r="AL16" s="146">
        <v>0.195</v>
      </c>
      <c r="AM16" s="164">
        <v>33</v>
      </c>
      <c r="AN16" s="161">
        <v>3077</v>
      </c>
    </row>
    <row r="17" spans="1:40" ht="12.75">
      <c r="A17" s="76"/>
      <c r="B17" s="105"/>
      <c r="C17" s="2" t="s">
        <v>60</v>
      </c>
      <c r="D17" s="165" t="s">
        <v>125</v>
      </c>
      <c r="E17" s="223"/>
      <c r="F17" s="58"/>
      <c r="G17" s="58"/>
      <c r="H17" s="58"/>
      <c r="I17" s="58"/>
      <c r="J17" s="102"/>
      <c r="L17" s="62"/>
      <c r="M17" s="85"/>
      <c r="N17" s="208" t="s">
        <v>400</v>
      </c>
      <c r="O17" s="205">
        <f>MIN($D$13*12/240,1)</f>
        <v>0.3</v>
      </c>
      <c r="P17" s="116" t="s">
        <v>71</v>
      </c>
      <c r="Q17" s="210" t="s">
        <v>404</v>
      </c>
      <c r="R17" s="204"/>
      <c r="AB17" s="147" t="s">
        <v>136</v>
      </c>
      <c r="AC17" s="150">
        <v>22</v>
      </c>
      <c r="AD17" s="153">
        <v>0.0295</v>
      </c>
      <c r="AE17" s="156">
        <v>1.8</v>
      </c>
      <c r="AF17" s="150">
        <v>1.5</v>
      </c>
      <c r="AG17" s="150">
        <v>1</v>
      </c>
      <c r="AH17" s="150">
        <v>6</v>
      </c>
      <c r="AI17" s="144">
        <v>0.104</v>
      </c>
      <c r="AJ17" s="144">
        <v>0.098</v>
      </c>
      <c r="AK17" s="144">
        <v>0.12</v>
      </c>
      <c r="AL17" s="144">
        <v>0.106</v>
      </c>
      <c r="AM17" s="162">
        <v>33</v>
      </c>
      <c r="AN17" s="159">
        <v>1700</v>
      </c>
    </row>
    <row r="18" spans="1:40" ht="12.75">
      <c r="A18" s="77"/>
      <c r="B18" s="56"/>
      <c r="C18" s="2" t="s">
        <v>326</v>
      </c>
      <c r="D18" s="79">
        <v>33</v>
      </c>
      <c r="E18" s="93" t="s">
        <v>7</v>
      </c>
      <c r="F18" s="58"/>
      <c r="G18" s="58"/>
      <c r="H18" s="58"/>
      <c r="I18" s="58"/>
      <c r="J18" s="102"/>
      <c r="L18" s="62"/>
      <c r="M18" s="85"/>
      <c r="AB18" s="148" t="s">
        <v>135</v>
      </c>
      <c r="AC18" s="151">
        <v>20</v>
      </c>
      <c r="AD18" s="154">
        <v>0.0358</v>
      </c>
      <c r="AE18" s="157">
        <v>2.16</v>
      </c>
      <c r="AF18" s="151">
        <v>1.5</v>
      </c>
      <c r="AG18" s="151">
        <v>1</v>
      </c>
      <c r="AH18" s="151">
        <v>6</v>
      </c>
      <c r="AI18" s="145">
        <v>0.134</v>
      </c>
      <c r="AJ18" s="145">
        <v>0.122</v>
      </c>
      <c r="AK18" s="145">
        <v>0.145</v>
      </c>
      <c r="AL18" s="145">
        <v>0.13</v>
      </c>
      <c r="AM18" s="163">
        <v>33</v>
      </c>
      <c r="AN18" s="160">
        <v>2049</v>
      </c>
    </row>
    <row r="19" spans="1:40" ht="12.75">
      <c r="A19" s="77"/>
      <c r="B19" s="105"/>
      <c r="C19" s="49" t="s">
        <v>20</v>
      </c>
      <c r="D19" s="79" t="s">
        <v>3</v>
      </c>
      <c r="E19" s="93"/>
      <c r="F19" s="58"/>
      <c r="G19" s="58"/>
      <c r="H19" s="58"/>
      <c r="I19" s="58"/>
      <c r="J19" s="102"/>
      <c r="L19" s="62"/>
      <c r="M19" s="85"/>
      <c r="N19" s="206" t="s">
        <v>307</v>
      </c>
      <c r="O19" s="116"/>
      <c r="P19" s="116"/>
      <c r="Q19" s="116"/>
      <c r="R19" s="116"/>
      <c r="S19" s="116"/>
      <c r="T19" s="116"/>
      <c r="U19" s="204"/>
      <c r="AB19" s="148" t="s">
        <v>134</v>
      </c>
      <c r="AC19" s="151">
        <v>19</v>
      </c>
      <c r="AD19" s="154">
        <v>0.0418</v>
      </c>
      <c r="AE19" s="157">
        <v>2.51</v>
      </c>
      <c r="AF19" s="151">
        <v>1.5</v>
      </c>
      <c r="AG19" s="151">
        <v>1</v>
      </c>
      <c r="AH19" s="151">
        <v>6</v>
      </c>
      <c r="AI19" s="145">
        <v>0.163</v>
      </c>
      <c r="AJ19" s="145">
        <v>0.145</v>
      </c>
      <c r="AK19" s="145">
        <v>0.17</v>
      </c>
      <c r="AL19" s="145">
        <v>0.152</v>
      </c>
      <c r="AM19" s="163">
        <v>33</v>
      </c>
      <c r="AN19" s="160">
        <v>2377</v>
      </c>
    </row>
    <row r="20" spans="1:40" ht="12.75">
      <c r="A20" s="77"/>
      <c r="B20" s="49"/>
      <c r="C20" s="49" t="s">
        <v>314</v>
      </c>
      <c r="D20" s="80">
        <v>6</v>
      </c>
      <c r="E20" s="93" t="s">
        <v>4</v>
      </c>
      <c r="F20" s="58"/>
      <c r="G20" s="58"/>
      <c r="H20" s="58"/>
      <c r="I20" s="58"/>
      <c r="J20" s="102"/>
      <c r="L20" s="62"/>
      <c r="M20" s="85"/>
      <c r="N20" s="213" t="s">
        <v>270</v>
      </c>
      <c r="O20" s="92">
        <f>1.6*$D$21-0.9*($D$22+$D$60)</f>
        <v>67.498</v>
      </c>
      <c r="P20" s="204" t="s">
        <v>5</v>
      </c>
      <c r="Q20" s="204" t="s">
        <v>354</v>
      </c>
      <c r="R20" s="204"/>
      <c r="S20" s="204"/>
      <c r="T20" s="204"/>
      <c r="U20" s="1"/>
      <c r="AB20" s="149" t="s">
        <v>133</v>
      </c>
      <c r="AC20" s="152">
        <v>18</v>
      </c>
      <c r="AD20" s="155">
        <v>0.0474</v>
      </c>
      <c r="AE20" s="158">
        <v>2.84</v>
      </c>
      <c r="AF20" s="152">
        <v>1.5</v>
      </c>
      <c r="AG20" s="152">
        <v>1</v>
      </c>
      <c r="AH20" s="152">
        <v>6</v>
      </c>
      <c r="AI20" s="146">
        <v>0.19</v>
      </c>
      <c r="AJ20" s="146">
        <v>0.167</v>
      </c>
      <c r="AK20" s="146">
        <v>0.193</v>
      </c>
      <c r="AL20" s="146">
        <v>0.172</v>
      </c>
      <c r="AM20" s="164">
        <v>33</v>
      </c>
      <c r="AN20" s="161">
        <v>2679</v>
      </c>
    </row>
    <row r="21" spans="1:40" ht="12.75">
      <c r="A21" s="76"/>
      <c r="B21" s="49"/>
      <c r="C21" s="49" t="s">
        <v>259</v>
      </c>
      <c r="D21" s="81">
        <v>46</v>
      </c>
      <c r="E21" s="93" t="s">
        <v>5</v>
      </c>
      <c r="F21" s="58"/>
      <c r="G21" s="58"/>
      <c r="H21" s="58"/>
      <c r="I21" s="58"/>
      <c r="J21" s="102"/>
      <c r="L21" s="62"/>
      <c r="M21" s="85"/>
      <c r="N21" s="215" t="s">
        <v>240</v>
      </c>
      <c r="O21" s="196">
        <f>IF($D$19="1-Span",0.125*$O$20/1000*$D$20^2,IF($D$19="2-Span",0.07*$O$20/1000*$D$20^2,IF($D$19="3-Span",0.08*$O$20/1000*$D$20^2)))</f>
        <v>0.19439424000000002</v>
      </c>
      <c r="P21" s="204" t="s">
        <v>6</v>
      </c>
      <c r="Q21" s="204" t="str">
        <f>IF($D$19="1-Span","+M2u = 0.125*pd2u/1000*L2^2",IF($D$19="2-Span","+M2u = 0.07*pd2u/1000*L2^2",IF($D$19="3-Span","+M2u = 0.08*pd2u/1000*L2^2")))</f>
        <v>+M2u = 0.08*pd2u/1000*L2^2</v>
      </c>
      <c r="R21" s="204"/>
      <c r="S21" s="204"/>
      <c r="T21" s="204"/>
      <c r="U21" s="1"/>
      <c r="AB21" s="147" t="s">
        <v>142</v>
      </c>
      <c r="AC21" s="150">
        <v>22</v>
      </c>
      <c r="AD21" s="153">
        <v>0.0295</v>
      </c>
      <c r="AE21" s="156">
        <v>2.26</v>
      </c>
      <c r="AF21" s="150">
        <v>3</v>
      </c>
      <c r="AG21" s="150">
        <v>2.625</v>
      </c>
      <c r="AH21" s="150">
        <v>8</v>
      </c>
      <c r="AI21" s="144">
        <v>0.659</v>
      </c>
      <c r="AJ21" s="144">
        <v>0.382</v>
      </c>
      <c r="AK21" s="144">
        <v>0.884</v>
      </c>
      <c r="AL21" s="144">
        <v>0.433</v>
      </c>
      <c r="AM21" s="162">
        <v>33</v>
      </c>
      <c r="AN21" s="159">
        <v>2232</v>
      </c>
    </row>
    <row r="22" spans="1:40" ht="12.75">
      <c r="A22" s="53"/>
      <c r="B22" s="58"/>
      <c r="C22" s="49" t="s">
        <v>323</v>
      </c>
      <c r="D22" s="91">
        <v>5</v>
      </c>
      <c r="E22" s="93" t="s">
        <v>5</v>
      </c>
      <c r="F22" s="58"/>
      <c r="G22" s="58"/>
      <c r="H22" s="58"/>
      <c r="I22" s="58"/>
      <c r="J22" s="102"/>
      <c r="L22" s="62"/>
      <c r="M22" s="85"/>
      <c r="N22" s="215" t="s">
        <v>241</v>
      </c>
      <c r="O22" s="196">
        <f>IF($D$19="1-Span","N.A.",IF($D$19="2-Span",0.125*$O$20/1000*$D$20^2,IF($D$19="3-Span",0.1*$O$20/1000*$D$20^2)))</f>
        <v>0.2429928</v>
      </c>
      <c r="P22" s="204" t="s">
        <v>6</v>
      </c>
      <c r="Q22" s="204" t="str">
        <f>IF($D$19="1-Span","-M2u = N.A. (for 1-Span condition)",IF($D$19="2-Span","-M2u = 0.125*pd2u/1000*L2^2",IF($D$19="3-Span","-M2u = 0.1*pd2u/1000*L2^2")))</f>
        <v>-M2u = 0.1*pd2u/1000*L2^2</v>
      </c>
      <c r="R22" s="204"/>
      <c r="S22" s="204"/>
      <c r="T22" s="204"/>
      <c r="U22" s="1"/>
      <c r="AB22" s="148" t="s">
        <v>141</v>
      </c>
      <c r="AC22" s="151">
        <v>20</v>
      </c>
      <c r="AD22" s="154">
        <v>0.0358</v>
      </c>
      <c r="AE22" s="157">
        <v>2.71</v>
      </c>
      <c r="AF22" s="151">
        <v>3</v>
      </c>
      <c r="AG22" s="151">
        <v>2.625</v>
      </c>
      <c r="AH22" s="151">
        <v>8</v>
      </c>
      <c r="AI22" s="145">
        <v>0.848</v>
      </c>
      <c r="AJ22" s="145">
        <v>0.501</v>
      </c>
      <c r="AK22" s="145">
        <v>1.079</v>
      </c>
      <c r="AL22" s="145">
        <v>0.552</v>
      </c>
      <c r="AM22" s="163">
        <v>33</v>
      </c>
      <c r="AN22" s="160">
        <v>3287</v>
      </c>
    </row>
    <row r="23" spans="1:40" ht="12.75">
      <c r="A23" s="221" t="s">
        <v>59</v>
      </c>
      <c r="B23" s="49"/>
      <c r="C23" s="58"/>
      <c r="D23" s="58"/>
      <c r="E23" s="58"/>
      <c r="F23" s="58"/>
      <c r="G23" s="58"/>
      <c r="H23" s="58"/>
      <c r="I23" s="58"/>
      <c r="J23" s="102"/>
      <c r="L23" s="62"/>
      <c r="M23" s="85"/>
      <c r="N23" s="213" t="s">
        <v>242</v>
      </c>
      <c r="O23" s="92">
        <f>0.95*$D$18</f>
        <v>31.349999999999998</v>
      </c>
      <c r="P23" s="204" t="s">
        <v>7</v>
      </c>
      <c r="Q23" s="116" t="s">
        <v>357</v>
      </c>
      <c r="R23" s="204"/>
      <c r="S23" s="204"/>
      <c r="T23" s="197"/>
      <c r="U23" s="1"/>
      <c r="AB23" s="148" t="s">
        <v>140</v>
      </c>
      <c r="AC23" s="151">
        <v>19</v>
      </c>
      <c r="AD23" s="154">
        <v>0.0418</v>
      </c>
      <c r="AE23" s="157">
        <v>3.15</v>
      </c>
      <c r="AF23" s="151">
        <v>3</v>
      </c>
      <c r="AG23" s="151">
        <v>2.625</v>
      </c>
      <c r="AH23" s="151">
        <v>8</v>
      </c>
      <c r="AI23" s="145">
        <v>1.045</v>
      </c>
      <c r="AJ23" s="145">
        <v>0.597</v>
      </c>
      <c r="AK23" s="145">
        <v>1.26</v>
      </c>
      <c r="AL23" s="145">
        <v>0.659</v>
      </c>
      <c r="AM23" s="163">
        <v>33</v>
      </c>
      <c r="AN23" s="160">
        <v>4217</v>
      </c>
    </row>
    <row r="24" spans="1:40" ht="12.75">
      <c r="A24" s="76"/>
      <c r="B24" s="105"/>
      <c r="C24" s="2" t="s">
        <v>60</v>
      </c>
      <c r="D24" s="165" t="s">
        <v>125</v>
      </c>
      <c r="E24" s="227"/>
      <c r="F24" s="58"/>
      <c r="G24" s="58"/>
      <c r="H24" s="58"/>
      <c r="I24" s="58"/>
      <c r="J24" s="102"/>
      <c r="L24" s="62"/>
      <c r="M24" s="85"/>
      <c r="N24" s="215" t="s">
        <v>243</v>
      </c>
      <c r="O24" s="92">
        <f>$O$21*12/$D$65</f>
        <v>12.14964</v>
      </c>
      <c r="P24" s="204" t="s">
        <v>7</v>
      </c>
      <c r="Q24" s="214" t="s">
        <v>360</v>
      </c>
      <c r="R24" s="204"/>
      <c r="S24" s="204"/>
      <c r="T24" s="197"/>
      <c r="U24" s="1"/>
      <c r="AB24" s="148" t="s">
        <v>139</v>
      </c>
      <c r="AC24" s="151">
        <v>18</v>
      </c>
      <c r="AD24" s="154">
        <v>0.0474</v>
      </c>
      <c r="AE24" s="157">
        <v>3.56</v>
      </c>
      <c r="AF24" s="151">
        <v>3</v>
      </c>
      <c r="AG24" s="151">
        <v>2.625</v>
      </c>
      <c r="AH24" s="151">
        <v>8</v>
      </c>
      <c r="AI24" s="145">
        <v>1.238</v>
      </c>
      <c r="AJ24" s="145">
        <v>0.688</v>
      </c>
      <c r="AK24" s="145">
        <v>1.43</v>
      </c>
      <c r="AL24" s="145">
        <v>0.749</v>
      </c>
      <c r="AM24" s="163">
        <v>33</v>
      </c>
      <c r="AN24" s="160">
        <v>4771</v>
      </c>
    </row>
    <row r="25" spans="1:40" ht="12.75">
      <c r="A25" s="77"/>
      <c r="B25" s="56"/>
      <c r="C25" s="2" t="s">
        <v>327</v>
      </c>
      <c r="D25" s="79">
        <v>33</v>
      </c>
      <c r="E25" s="93" t="s">
        <v>7</v>
      </c>
      <c r="F25" s="58"/>
      <c r="G25" s="58"/>
      <c r="H25" s="58"/>
      <c r="I25" s="58"/>
      <c r="J25" s="102"/>
      <c r="L25" s="62"/>
      <c r="M25" s="85"/>
      <c r="N25" s="215" t="s">
        <v>244</v>
      </c>
      <c r="O25" s="92">
        <f>IF($D$19="1-Span","N.A.",$O$22*12/$D$64)</f>
        <v>15.676954838709678</v>
      </c>
      <c r="P25" s="204" t="s">
        <v>7</v>
      </c>
      <c r="Q25" s="214" t="s">
        <v>361</v>
      </c>
      <c r="R25" s="204"/>
      <c r="S25" s="204"/>
      <c r="T25" s="197"/>
      <c r="U25" s="1"/>
      <c r="AB25" s="149" t="s">
        <v>138</v>
      </c>
      <c r="AC25" s="152">
        <v>16</v>
      </c>
      <c r="AD25" s="155">
        <v>0.0598</v>
      </c>
      <c r="AE25" s="158">
        <v>4.46</v>
      </c>
      <c r="AF25" s="152">
        <v>3</v>
      </c>
      <c r="AG25" s="152">
        <v>2.625</v>
      </c>
      <c r="AH25" s="152">
        <v>8</v>
      </c>
      <c r="AI25" s="146">
        <v>1.683</v>
      </c>
      <c r="AJ25" s="146">
        <v>0.893</v>
      </c>
      <c r="AK25" s="146">
        <v>1.807</v>
      </c>
      <c r="AL25" s="146">
        <v>0.944</v>
      </c>
      <c r="AM25" s="164">
        <v>33</v>
      </c>
      <c r="AN25" s="161">
        <v>5988</v>
      </c>
    </row>
    <row r="26" spans="1:21" ht="12.75">
      <c r="A26" s="77"/>
      <c r="B26" s="105"/>
      <c r="C26" s="49" t="s">
        <v>20</v>
      </c>
      <c r="D26" s="79" t="s">
        <v>3</v>
      </c>
      <c r="E26" s="93"/>
      <c r="F26" s="58"/>
      <c r="G26" s="58"/>
      <c r="H26" s="58"/>
      <c r="I26" s="58"/>
      <c r="J26" s="102"/>
      <c r="L26" s="62"/>
      <c r="M26" s="86"/>
      <c r="N26" s="213" t="s">
        <v>245</v>
      </c>
      <c r="O26" s="92">
        <f>MAX($O$24,$O$25)</f>
        <v>15.676954838709678</v>
      </c>
      <c r="P26" s="204" t="s">
        <v>7</v>
      </c>
      <c r="Q26" s="204" t="s">
        <v>56</v>
      </c>
      <c r="R26" s="204"/>
      <c r="S26" s="204"/>
      <c r="T26" s="10"/>
      <c r="U26" s="1"/>
    </row>
    <row r="27" spans="1:22" ht="12.75">
      <c r="A27" s="77"/>
      <c r="B27" s="49"/>
      <c r="C27" s="49" t="s">
        <v>315</v>
      </c>
      <c r="D27" s="80">
        <v>6</v>
      </c>
      <c r="E27" s="93" t="s">
        <v>4</v>
      </c>
      <c r="F27" s="58"/>
      <c r="G27" s="58"/>
      <c r="H27" s="58"/>
      <c r="I27" s="58"/>
      <c r="J27" s="102"/>
      <c r="L27" s="62"/>
      <c r="M27" s="86"/>
      <c r="N27" s="213" t="s">
        <v>226</v>
      </c>
      <c r="O27" s="196">
        <f>$O$26/$O$23</f>
        <v>0.5000623553017441</v>
      </c>
      <c r="P27" s="204"/>
      <c r="Q27" s="204" t="s">
        <v>311</v>
      </c>
      <c r="R27" s="204"/>
      <c r="S27" s="197"/>
      <c r="T27" s="116"/>
      <c r="U27" s="1"/>
      <c r="V27" s="116"/>
    </row>
    <row r="28" spans="1:32" ht="12.75">
      <c r="A28" s="76"/>
      <c r="B28" s="49"/>
      <c r="C28" s="49" t="s">
        <v>310</v>
      </c>
      <c r="D28" s="81">
        <v>69</v>
      </c>
      <c r="E28" s="93" t="s">
        <v>5</v>
      </c>
      <c r="F28" s="58"/>
      <c r="G28" s="58"/>
      <c r="H28" s="58"/>
      <c r="I28" s="58"/>
      <c r="J28" s="102"/>
      <c r="L28" s="62"/>
      <c r="M28" s="86"/>
      <c r="N28" s="213"/>
      <c r="O28" s="92"/>
      <c r="P28" s="204"/>
      <c r="Q28" s="204"/>
      <c r="V28" s="10"/>
      <c r="AB28" s="248" t="s">
        <v>106</v>
      </c>
      <c r="AC28" s="239" t="s">
        <v>387</v>
      </c>
      <c r="AD28" s="240"/>
      <c r="AE28" s="240"/>
      <c r="AF28" s="241"/>
    </row>
    <row r="29" spans="1:32" ht="12.75">
      <c r="A29" s="53"/>
      <c r="B29" s="58"/>
      <c r="C29" s="49" t="s">
        <v>324</v>
      </c>
      <c r="D29" s="91">
        <v>5</v>
      </c>
      <c r="E29" s="93" t="s">
        <v>5</v>
      </c>
      <c r="F29" s="58"/>
      <c r="G29" s="58"/>
      <c r="H29" s="58"/>
      <c r="I29" s="58"/>
      <c r="J29" s="102"/>
      <c r="L29" s="62"/>
      <c r="M29" s="86"/>
      <c r="N29" s="247" t="s">
        <v>396</v>
      </c>
      <c r="O29" s="204"/>
      <c r="P29" s="204"/>
      <c r="Q29" s="204"/>
      <c r="AB29" s="250"/>
      <c r="AC29" s="238" t="s">
        <v>367</v>
      </c>
      <c r="AD29" s="238" t="s">
        <v>368</v>
      </c>
      <c r="AE29" s="238" t="s">
        <v>369</v>
      </c>
      <c r="AF29" s="238" t="s">
        <v>370</v>
      </c>
    </row>
    <row r="30" spans="1:32" ht="12.75">
      <c r="A30" s="53"/>
      <c r="B30" s="58"/>
      <c r="C30" s="58"/>
      <c r="D30" s="58"/>
      <c r="E30" s="58"/>
      <c r="F30" s="58"/>
      <c r="G30" s="58"/>
      <c r="H30" s="58"/>
      <c r="I30" s="58"/>
      <c r="J30" s="102"/>
      <c r="L30" s="62"/>
      <c r="M30" s="86"/>
      <c r="N30" s="208" t="s">
        <v>445</v>
      </c>
      <c r="O30" s="205">
        <f>IF($D$19="1-Span",0.013*$D$21/12000*($D$20*12)^4/(29500*$D$62),IF($D$19="2-Span",0.0054*$D$21/12000*($D$20*12)^4/(29500*$D$63),IF($D$19="3-Span",0.0069*$D$21/12000*($D$20*12)^4/(29500*$D$63))))</f>
        <v>0.1425761691304784</v>
      </c>
      <c r="P30" s="116" t="s">
        <v>71</v>
      </c>
      <c r="Q30" s="116" t="str">
        <f>IF($D$19="1-Span","Δ2(max) = 0.013*p2/12000*(L2*12)^4/(E*In2)",IF($D$19="2-Span","Δ2(max) = 0.0054*p2/12000*(L2*12)^4/(E*I2)",IF($D$19="3-Span","Δ2(max) = 0.0069*p2/12000*(L2*12)^4/(E*I2)")))</f>
        <v>Δ2(max) = 0.0069*p2/12000*(L2*12)^4/(E*I2)</v>
      </c>
      <c r="AB30" s="235">
        <v>22</v>
      </c>
      <c r="AC30" s="228" t="s">
        <v>372</v>
      </c>
      <c r="AD30" s="228" t="s">
        <v>376</v>
      </c>
      <c r="AE30" s="228" t="s">
        <v>379</v>
      </c>
      <c r="AF30" s="232" t="s">
        <v>381</v>
      </c>
    </row>
    <row r="31" spans="1:39" ht="12.75">
      <c r="A31" s="47" t="s">
        <v>16</v>
      </c>
      <c r="B31" s="58"/>
      <c r="C31" s="58"/>
      <c r="D31" s="58"/>
      <c r="E31" s="58"/>
      <c r="F31" s="58" t="s">
        <v>416</v>
      </c>
      <c r="G31" s="58"/>
      <c r="H31" s="58"/>
      <c r="I31" s="58"/>
      <c r="J31" s="102"/>
      <c r="L31" s="62"/>
      <c r="M31" s="86"/>
      <c r="N31" s="208" t="s">
        <v>401</v>
      </c>
      <c r="O31" s="205">
        <f>MIN($D$20*12/240,1)</f>
        <v>0.3</v>
      </c>
      <c r="P31" s="116" t="s">
        <v>71</v>
      </c>
      <c r="Q31" s="210" t="s">
        <v>405</v>
      </c>
      <c r="AB31" s="236">
        <v>20</v>
      </c>
      <c r="AC31" s="229" t="s">
        <v>373</v>
      </c>
      <c r="AD31" s="229" t="s">
        <v>377</v>
      </c>
      <c r="AE31" s="229" t="s">
        <v>380</v>
      </c>
      <c r="AF31" s="233" t="s">
        <v>382</v>
      </c>
      <c r="AM31" s="12"/>
    </row>
    <row r="32" spans="1:39" ht="12.75">
      <c r="A32" s="53"/>
      <c r="B32" s="58"/>
      <c r="C32" s="58"/>
      <c r="D32" s="58"/>
      <c r="E32" s="58"/>
      <c r="F32" s="58"/>
      <c r="G32" s="58"/>
      <c r="H32" s="58"/>
      <c r="I32" s="58"/>
      <c r="J32" s="102"/>
      <c r="L32" s="62"/>
      <c r="M32" s="86"/>
      <c r="AB32" s="236">
        <v>18</v>
      </c>
      <c r="AC32" s="229" t="s">
        <v>374</v>
      </c>
      <c r="AD32" s="229" t="s">
        <v>378</v>
      </c>
      <c r="AE32" s="229" t="s">
        <v>372</v>
      </c>
      <c r="AF32" s="233" t="s">
        <v>383</v>
      </c>
      <c r="AM32" s="12"/>
    </row>
    <row r="33" spans="1:36" ht="12.75">
      <c r="A33" s="101" t="s">
        <v>304</v>
      </c>
      <c r="B33" s="49"/>
      <c r="C33" s="58"/>
      <c r="D33" s="58"/>
      <c r="E33" s="58"/>
      <c r="F33" s="89"/>
      <c r="G33" s="58"/>
      <c r="H33" s="58"/>
      <c r="I33" s="58"/>
      <c r="J33" s="102"/>
      <c r="L33" s="62"/>
      <c r="M33" s="86"/>
      <c r="N33" s="216" t="s">
        <v>309</v>
      </c>
      <c r="O33" s="116"/>
      <c r="P33" s="116"/>
      <c r="Q33" s="116"/>
      <c r="R33" s="116"/>
      <c r="S33" s="116"/>
      <c r="T33" s="116"/>
      <c r="U33" s="204"/>
      <c r="AB33" s="237">
        <v>16</v>
      </c>
      <c r="AC33" s="230" t="s">
        <v>375</v>
      </c>
      <c r="AD33" s="231" t="s">
        <v>371</v>
      </c>
      <c r="AE33" s="231" t="s">
        <v>371</v>
      </c>
      <c r="AF33" s="234" t="s">
        <v>384</v>
      </c>
      <c r="AG33" s="66"/>
      <c r="AH33" s="66"/>
      <c r="AI33" s="66"/>
      <c r="AJ33" s="63"/>
    </row>
    <row r="34" spans="1:36" ht="12.75">
      <c r="A34" s="76"/>
      <c r="B34" s="58"/>
      <c r="C34" s="2" t="s">
        <v>9</v>
      </c>
      <c r="D34" s="94">
        <f>VLOOKUP($D$10,$AB$8:$AN$25,2,FALSE)</f>
        <v>22</v>
      </c>
      <c r="E34" s="58"/>
      <c r="F34" s="89"/>
      <c r="G34" s="58"/>
      <c r="H34" s="58"/>
      <c r="I34" s="58"/>
      <c r="J34" s="102"/>
      <c r="L34" s="62"/>
      <c r="M34" s="86"/>
      <c r="N34" s="213" t="s">
        <v>271</v>
      </c>
      <c r="O34" s="92">
        <f>1.6*$D$28-0.9*($D$29+$D$83)</f>
        <v>104.298</v>
      </c>
      <c r="P34" s="204" t="s">
        <v>5</v>
      </c>
      <c r="Q34" s="204" t="s">
        <v>355</v>
      </c>
      <c r="R34" s="204"/>
      <c r="S34" s="204"/>
      <c r="T34" s="204"/>
      <c r="AG34" s="66"/>
      <c r="AH34" s="66"/>
      <c r="AI34" s="66"/>
      <c r="AJ34" s="63"/>
    </row>
    <row r="35" spans="1:36" ht="12.75">
      <c r="A35" s="53"/>
      <c r="B35" s="58"/>
      <c r="C35" s="49" t="s">
        <v>331</v>
      </c>
      <c r="D35" s="108">
        <f>VLOOKUP($D$10,$AB$8:$AN$25,4,FALSE)</f>
        <v>1.78</v>
      </c>
      <c r="E35" s="93" t="s">
        <v>5</v>
      </c>
      <c r="F35" s="58" t="s">
        <v>334</v>
      </c>
      <c r="G35" s="58"/>
      <c r="H35" s="58"/>
      <c r="I35" s="58"/>
      <c r="J35" s="102"/>
      <c r="L35" s="62"/>
      <c r="M35" s="86"/>
      <c r="N35" s="215" t="s">
        <v>246</v>
      </c>
      <c r="O35" s="196">
        <f>IF($D$26="1-Span",0.125*$O$34/1000*$D$27^2,IF($D$26="2-Span",0.07*$O$34/1000*$D$27^2,IF($D$26="3-Span",0.08*$O$34/1000*$D$27^2)))</f>
        <v>0.30037824</v>
      </c>
      <c r="P35" s="204" t="s">
        <v>6</v>
      </c>
      <c r="Q35" s="204" t="str">
        <f>IF($D$26="1-Span","+M3u = 0.125*pd3u/1000*L3^2",IF($D$26="2-Span","+M3u = 0.07*pd3u/1000*L3^2",IF($D$26="3-Span","+M3u = 0.08*pd3u/1000*L3^2")))</f>
        <v>+M3u = 0.08*pd3u/1000*L3^2</v>
      </c>
      <c r="R35" s="204"/>
      <c r="S35" s="204"/>
      <c r="T35" s="204"/>
      <c r="AB35" s="86"/>
      <c r="AC35" s="86"/>
      <c r="AE35" s="35"/>
      <c r="AF35" s="62"/>
      <c r="AG35" s="62"/>
      <c r="AH35" s="62"/>
      <c r="AI35" s="62"/>
      <c r="AJ35" s="63"/>
    </row>
    <row r="36" spans="1:36" ht="12.75">
      <c r="A36" s="53"/>
      <c r="B36" s="58"/>
      <c r="C36" s="49" t="s">
        <v>423</v>
      </c>
      <c r="D36" s="167">
        <f>VLOOKUP($D$10,$AB$8:$AN$25,8,FALSE)</f>
        <v>0.155</v>
      </c>
      <c r="E36" s="93" t="s">
        <v>72</v>
      </c>
      <c r="F36" s="58" t="s">
        <v>425</v>
      </c>
      <c r="G36" s="58"/>
      <c r="H36" s="58"/>
      <c r="I36" s="58"/>
      <c r="J36" s="102"/>
      <c r="L36" s="62"/>
      <c r="M36" s="86"/>
      <c r="N36" s="215" t="s">
        <v>247</v>
      </c>
      <c r="O36" s="196">
        <f>IF($D$26="1-Span","N.A.",IF($D$26="2-Span",0.125*$O$34/1000*$D$27^2,IF($D$26="3-Span",0.1*$O$34/1000*$D$27^2)))</f>
        <v>0.3754728</v>
      </c>
      <c r="P36" s="204" t="s">
        <v>6</v>
      </c>
      <c r="Q36" s="204" t="str">
        <f>IF($D$26="1-Span","-M3u = N.A. (for 1-Span condition)",IF($D$26="2-Span","-M3u = 0.125*pd3u/1000*L3^2",IF($D$26="3-Span","-M3u = 0.1*pd3u/1000*L3^2")))</f>
        <v>-M3u = 0.1*pd3u/1000*L3^2</v>
      </c>
      <c r="R36" s="204"/>
      <c r="S36" s="204"/>
      <c r="T36" s="204"/>
      <c r="AB36" s="86"/>
      <c r="AC36" s="86"/>
      <c r="AE36" s="35"/>
      <c r="AF36" s="62"/>
      <c r="AG36" s="62"/>
      <c r="AH36" s="62"/>
      <c r="AI36" s="62"/>
      <c r="AJ36" s="63"/>
    </row>
    <row r="37" spans="1:36" ht="12.75">
      <c r="A37" s="53"/>
      <c r="B37" s="58"/>
      <c r="C37" s="49" t="s">
        <v>424</v>
      </c>
      <c r="D37" s="167">
        <f>VLOOKUP($D$10,$AB$8:$AN$25,10,FALSE)</f>
        <v>0.183</v>
      </c>
      <c r="E37" s="93" t="s">
        <v>72</v>
      </c>
      <c r="F37" s="58" t="s">
        <v>426</v>
      </c>
      <c r="G37" s="58"/>
      <c r="H37" s="58"/>
      <c r="I37" s="58"/>
      <c r="J37" s="102"/>
      <c r="L37" s="62"/>
      <c r="M37" s="86"/>
      <c r="N37" s="213" t="s">
        <v>248</v>
      </c>
      <c r="O37" s="92">
        <f>0.95*$D$25</f>
        <v>31.349999999999998</v>
      </c>
      <c r="P37" s="204" t="s">
        <v>7</v>
      </c>
      <c r="Q37" s="116" t="s">
        <v>356</v>
      </c>
      <c r="R37" s="204"/>
      <c r="S37" s="204"/>
      <c r="T37" s="197"/>
      <c r="AB37" s="86"/>
      <c r="AC37" s="86"/>
      <c r="AE37" s="35"/>
      <c r="AF37" s="62"/>
      <c r="AG37" s="62"/>
      <c r="AH37" s="62"/>
      <c r="AI37" s="62"/>
      <c r="AJ37" s="63"/>
    </row>
    <row r="38" spans="1:36" ht="12.75" customHeight="1">
      <c r="A38" s="53"/>
      <c r="B38" s="58"/>
      <c r="C38" s="171" t="s">
        <v>427</v>
      </c>
      <c r="D38" s="167">
        <f>($D$36+$D$37)/2</f>
        <v>0.16899999999999998</v>
      </c>
      <c r="E38" s="93" t="s">
        <v>72</v>
      </c>
      <c r="F38" s="173" t="s">
        <v>428</v>
      </c>
      <c r="G38" s="58"/>
      <c r="H38" s="58"/>
      <c r="I38" s="58"/>
      <c r="J38" s="102"/>
      <c r="L38" s="62"/>
      <c r="M38" s="86"/>
      <c r="N38" s="215" t="s">
        <v>249</v>
      </c>
      <c r="O38" s="92">
        <f>$O$35*12/$D$88</f>
        <v>18.77364</v>
      </c>
      <c r="P38" s="204" t="s">
        <v>7</v>
      </c>
      <c r="Q38" s="214" t="s">
        <v>362</v>
      </c>
      <c r="R38" s="204"/>
      <c r="S38" s="204"/>
      <c r="T38" s="197"/>
      <c r="AB38" s="86"/>
      <c r="AC38" s="86"/>
      <c r="AE38" s="35"/>
      <c r="AF38" s="62"/>
      <c r="AG38" s="62"/>
      <c r="AH38" s="62"/>
      <c r="AI38" s="62"/>
      <c r="AJ38" s="63"/>
    </row>
    <row r="39" spans="1:36" ht="12.75">
      <c r="A39" s="53"/>
      <c r="B39" s="58"/>
      <c r="C39" s="49" t="s">
        <v>332</v>
      </c>
      <c r="D39" s="168">
        <f>VLOOKUP($D$10,$AB$8:$AN$25,9,FALSE)</f>
        <v>0.186</v>
      </c>
      <c r="E39" s="93" t="s">
        <v>8</v>
      </c>
      <c r="F39" s="58" t="s">
        <v>421</v>
      </c>
      <c r="G39" s="58"/>
      <c r="H39" s="58"/>
      <c r="I39" s="58"/>
      <c r="J39" s="102"/>
      <c r="L39" s="62"/>
      <c r="M39" s="86"/>
      <c r="N39" s="215" t="s">
        <v>250</v>
      </c>
      <c r="O39" s="92">
        <f>IF($D$26="1-Span","N.A.",$O$36*12/$D$87)</f>
        <v>24.224051612903224</v>
      </c>
      <c r="P39" s="204" t="s">
        <v>7</v>
      </c>
      <c r="Q39" s="214" t="s">
        <v>363</v>
      </c>
      <c r="R39" s="204"/>
      <c r="S39" s="204"/>
      <c r="T39" s="197"/>
      <c r="AB39" s="86"/>
      <c r="AC39" s="86"/>
      <c r="AE39" s="8"/>
      <c r="AF39" s="69"/>
      <c r="AG39" s="62"/>
      <c r="AH39" s="69"/>
      <c r="AI39" s="69"/>
      <c r="AJ39" s="63"/>
    </row>
    <row r="40" spans="1:36" ht="12.75">
      <c r="A40" s="78"/>
      <c r="B40" s="58"/>
      <c r="C40" s="49" t="s">
        <v>333</v>
      </c>
      <c r="D40" s="115">
        <f>VLOOKUP($D$10,$AB$8:$AN$25,11,FALSE)</f>
        <v>0.192</v>
      </c>
      <c r="E40" s="93" t="s">
        <v>8</v>
      </c>
      <c r="F40" s="58" t="s">
        <v>422</v>
      </c>
      <c r="G40" s="58"/>
      <c r="H40" s="58"/>
      <c r="I40" s="58"/>
      <c r="J40" s="102"/>
      <c r="L40" s="62"/>
      <c r="M40" s="86"/>
      <c r="N40" s="215" t="s">
        <v>251</v>
      </c>
      <c r="O40" s="92">
        <f>MAX($O$38,$O$39)</f>
        <v>24.224051612903224</v>
      </c>
      <c r="P40" s="204" t="s">
        <v>7</v>
      </c>
      <c r="Q40" s="204" t="s">
        <v>57</v>
      </c>
      <c r="R40" s="204"/>
      <c r="S40" s="204"/>
      <c r="T40" s="10"/>
      <c r="AB40" s="86"/>
      <c r="AC40" s="86"/>
      <c r="AE40" s="8"/>
      <c r="AF40" s="69"/>
      <c r="AG40" s="62"/>
      <c r="AH40" s="69"/>
      <c r="AI40" s="69"/>
      <c r="AJ40" s="63"/>
    </row>
    <row r="41" spans="1:36" ht="12.75">
      <c r="A41" s="53"/>
      <c r="B41" s="58"/>
      <c r="C41" s="58"/>
      <c r="D41" s="58"/>
      <c r="E41" s="58"/>
      <c r="F41" s="58"/>
      <c r="G41" s="58"/>
      <c r="H41" s="58"/>
      <c r="I41" s="58"/>
      <c r="J41" s="102"/>
      <c r="L41" s="62"/>
      <c r="M41" s="86"/>
      <c r="N41" s="213" t="s">
        <v>227</v>
      </c>
      <c r="O41" s="196">
        <f>$O$40/$O$37</f>
        <v>0.7726970211452384</v>
      </c>
      <c r="P41" s="204"/>
      <c r="Q41" s="204" t="s">
        <v>312</v>
      </c>
      <c r="R41" s="204"/>
      <c r="S41" s="197"/>
      <c r="T41" s="116"/>
      <c r="AB41" s="86"/>
      <c r="AC41" s="86"/>
      <c r="AE41" s="63"/>
      <c r="AF41" s="63"/>
      <c r="AG41" s="63"/>
      <c r="AH41" s="63"/>
      <c r="AI41" s="63"/>
      <c r="AJ41" s="63"/>
    </row>
    <row r="42" spans="1:36" ht="12.75">
      <c r="A42" s="47" t="s">
        <v>305</v>
      </c>
      <c r="B42" s="58"/>
      <c r="C42" s="58"/>
      <c r="D42" s="58"/>
      <c r="E42" s="58"/>
      <c r="F42" s="58"/>
      <c r="G42" s="58"/>
      <c r="H42" s="58"/>
      <c r="I42" s="58"/>
      <c r="J42" s="102"/>
      <c r="L42" s="62"/>
      <c r="M42" s="86"/>
      <c r="N42" s="208"/>
      <c r="O42" s="195"/>
      <c r="P42" s="116"/>
      <c r="Q42" s="210"/>
      <c r="R42" s="116"/>
      <c r="S42" s="116"/>
      <c r="T42" s="116"/>
      <c r="AB42" s="86"/>
      <c r="AC42" s="86"/>
      <c r="AE42" s="70"/>
      <c r="AG42" s="63"/>
      <c r="AH42" s="63"/>
      <c r="AI42" s="63"/>
      <c r="AJ42" s="63"/>
    </row>
    <row r="43" spans="1:36" ht="12.75">
      <c r="A43" s="77"/>
      <c r="B43" s="59"/>
      <c r="C43" s="49" t="s">
        <v>266</v>
      </c>
      <c r="D43" s="107">
        <f>$O$6</f>
        <v>37.098</v>
      </c>
      <c r="E43" s="93" t="s">
        <v>5</v>
      </c>
      <c r="F43" s="58" t="str">
        <f>$Q$6</f>
        <v>pd1u = 1.6*p1-0.9*(wDL1+wd1)</v>
      </c>
      <c r="G43" s="58"/>
      <c r="H43" s="58"/>
      <c r="I43" s="58"/>
      <c r="J43" s="102"/>
      <c r="K43" s="71"/>
      <c r="L43" s="62"/>
      <c r="M43" s="86"/>
      <c r="N43" s="247" t="s">
        <v>398</v>
      </c>
      <c r="O43" s="204"/>
      <c r="P43" s="204"/>
      <c r="Q43" s="204"/>
      <c r="R43" s="204"/>
      <c r="AB43" s="86"/>
      <c r="AC43" s="86"/>
      <c r="AE43" s="65"/>
      <c r="AF43" s="62"/>
      <c r="AG43" s="63"/>
      <c r="AH43" s="63"/>
      <c r="AI43" s="63"/>
      <c r="AJ43" s="63"/>
    </row>
    <row r="44" spans="1:36" ht="12.75">
      <c r="A44" s="77"/>
      <c r="B44" s="105"/>
      <c r="C44" s="49" t="s">
        <v>43</v>
      </c>
      <c r="D44" s="167">
        <f>$O$7</f>
        <v>0.10684223999999999</v>
      </c>
      <c r="E44" s="93" t="s">
        <v>6</v>
      </c>
      <c r="F44" s="58" t="str">
        <f>$Q$7</f>
        <v>+M1u = 0.08*pd1u/1000*L1^2</v>
      </c>
      <c r="G44" s="58"/>
      <c r="H44" s="58"/>
      <c r="I44" s="58"/>
      <c r="J44" s="102"/>
      <c r="L44" s="62"/>
      <c r="M44" s="86"/>
      <c r="N44" s="208" t="s">
        <v>402</v>
      </c>
      <c r="O44" s="205">
        <f>IF($D$26="1-Span",0.013*$D$28/12000*($D$27*12)^4/(29500*$D$85),IF($D$26="2-Span",0.0054*$D$28/12000*($D$27*12)^4/(29500*$D$86),IF($D$26="3-Span",0.0069*$D$28/12000*($D$27*12)^4/(29500*$D$86))))</f>
        <v>0.2138642536957176</v>
      </c>
      <c r="P44" s="116" t="s">
        <v>71</v>
      </c>
      <c r="Q44" s="116" t="str">
        <f>IF($D$26="1-Span","Δ3(max) = 0.013*p3/12000*(L3*12)^4/(E*In3)",IF($D$26="2-Span","Δ3(max) = 0.0054*p3/12000*(L3*12)^4/(E*I3)",IF($D$26="3-Span","Δ3(max) = 0.0069*p3/12000*(L3*12)^4/(E*I3)")))</f>
        <v>Δ3(max) = 0.0069*p3/12000*(L3*12)^4/(E*I3)</v>
      </c>
      <c r="R44" s="204"/>
      <c r="AB44" s="86"/>
      <c r="AC44" s="86"/>
      <c r="AE44" s="65"/>
      <c r="AF44" s="62"/>
      <c r="AG44" s="63"/>
      <c r="AH44" s="63"/>
      <c r="AI44" s="63"/>
      <c r="AJ44" s="63"/>
    </row>
    <row r="45" spans="1:36" ht="12.75">
      <c r="A45" s="77"/>
      <c r="B45" s="60"/>
      <c r="C45" s="49" t="s">
        <v>44</v>
      </c>
      <c r="D45" s="167">
        <f>$O$8</f>
        <v>0.1335528</v>
      </c>
      <c r="E45" s="93" t="s">
        <v>6</v>
      </c>
      <c r="F45" s="58" t="str">
        <f>$Q$8</f>
        <v>-M1u = 0.1*pd1u/1000*L1^2</v>
      </c>
      <c r="G45" s="58"/>
      <c r="H45" s="58"/>
      <c r="I45" s="58"/>
      <c r="J45" s="102"/>
      <c r="K45" s="73"/>
      <c r="L45" s="62"/>
      <c r="M45" s="86"/>
      <c r="N45" s="208" t="s">
        <v>403</v>
      </c>
      <c r="O45" s="205">
        <f>MIN($D$27*12/240,1)</f>
        <v>0.3</v>
      </c>
      <c r="P45" s="116" t="s">
        <v>71</v>
      </c>
      <c r="Q45" s="210" t="s">
        <v>406</v>
      </c>
      <c r="R45" s="204"/>
      <c r="AB45" s="86"/>
      <c r="AC45" s="86"/>
      <c r="AE45" s="65"/>
      <c r="AF45" s="62"/>
      <c r="AG45" s="63"/>
      <c r="AH45" s="63"/>
      <c r="AI45" s="63"/>
      <c r="AJ45" s="63"/>
    </row>
    <row r="46" spans="1:36" ht="12.75">
      <c r="A46" s="77"/>
      <c r="B46" s="58"/>
      <c r="C46" s="49" t="s">
        <v>45</v>
      </c>
      <c r="D46" s="108">
        <f>$O$9</f>
        <v>31.349999999999998</v>
      </c>
      <c r="E46" s="93" t="s">
        <v>7</v>
      </c>
      <c r="F46" s="58" t="str">
        <f>$Q$9</f>
        <v>Fb1u = 0.95*Fyd1</v>
      </c>
      <c r="G46" s="58"/>
      <c r="H46" s="58"/>
      <c r="I46" s="51"/>
      <c r="J46" s="102"/>
      <c r="K46" s="73"/>
      <c r="L46" s="87"/>
      <c r="M46" s="87"/>
      <c r="AB46" s="87"/>
      <c r="AC46" s="87"/>
      <c r="AE46" s="65"/>
      <c r="AF46" s="43"/>
      <c r="AG46" s="63"/>
      <c r="AH46" s="63"/>
      <c r="AI46" s="63"/>
      <c r="AJ46" s="63"/>
    </row>
    <row r="47" spans="1:36" ht="12.75">
      <c r="A47" s="77"/>
      <c r="B47" s="58"/>
      <c r="C47" s="49" t="s">
        <v>46</v>
      </c>
      <c r="D47" s="108">
        <f>$O$10</f>
        <v>6.677639999999999</v>
      </c>
      <c r="E47" s="93" t="s">
        <v>7</v>
      </c>
      <c r="F47" s="109" t="str">
        <f>$Q$10</f>
        <v>+fb1u = (+M1u)*12/Sn1 (between supports)</v>
      </c>
      <c r="G47" s="58"/>
      <c r="H47" s="58"/>
      <c r="I47" s="51"/>
      <c r="J47" s="102"/>
      <c r="K47" s="73"/>
      <c r="L47" s="62"/>
      <c r="M47" s="35"/>
      <c r="AB47" s="35"/>
      <c r="AC47" s="35"/>
      <c r="AE47" s="65"/>
      <c r="AF47" s="43"/>
      <c r="AG47" s="63"/>
      <c r="AH47" s="63"/>
      <c r="AI47" s="63"/>
      <c r="AJ47" s="63"/>
    </row>
    <row r="48" spans="1:36" ht="12.75">
      <c r="A48" s="76"/>
      <c r="B48" s="58"/>
      <c r="C48" s="49" t="s">
        <v>47</v>
      </c>
      <c r="D48" s="108">
        <f>$O$11</f>
        <v>8.616309677419354</v>
      </c>
      <c r="E48" s="93" t="s">
        <v>7</v>
      </c>
      <c r="F48" s="109" t="str">
        <f>$Q$11</f>
        <v>-fb1u = (-M1u)*12/Sp1 (at supports)</v>
      </c>
      <c r="G48" s="58"/>
      <c r="H48" s="58"/>
      <c r="I48" s="51"/>
      <c r="J48" s="102"/>
      <c r="K48" s="73"/>
      <c r="L48" s="87"/>
      <c r="M48" s="87"/>
      <c r="AE48" s="65"/>
      <c r="AF48" s="42"/>
      <c r="AG48" s="63"/>
      <c r="AH48" s="63"/>
      <c r="AI48" s="63"/>
      <c r="AJ48" s="63"/>
    </row>
    <row r="49" spans="1:10" ht="12.75">
      <c r="A49" s="76"/>
      <c r="B49" s="49"/>
      <c r="C49" s="49" t="s">
        <v>152</v>
      </c>
      <c r="D49" s="108">
        <f>$O$12</f>
        <v>8.616309677419354</v>
      </c>
      <c r="E49" s="93" t="s">
        <v>7</v>
      </c>
      <c r="F49" s="58" t="s">
        <v>153</v>
      </c>
      <c r="G49" s="58"/>
      <c r="H49" s="58"/>
      <c r="I49" s="61"/>
      <c r="J49" s="102"/>
    </row>
    <row r="50" spans="1:10" ht="12.75">
      <c r="A50" s="77"/>
      <c r="B50" s="59"/>
      <c r="C50" s="49" t="s">
        <v>27</v>
      </c>
      <c r="D50" s="111">
        <f>$O$13</f>
        <v>0.2748424139527705</v>
      </c>
      <c r="E50" s="58"/>
      <c r="F50" s="199" t="s">
        <v>300</v>
      </c>
      <c r="G50" s="58"/>
      <c r="H50" s="51"/>
      <c r="I50" s="58"/>
      <c r="J50" s="174" t="str">
        <f>IF($D$50&lt;=1,"SR1 &lt;= 1.0, O.K.","SR1 &gt; 1.0")</f>
        <v>SR1 &lt;= 1.0, O.K.</v>
      </c>
    </row>
    <row r="51" spans="1:10" ht="12.75">
      <c r="A51" s="53"/>
      <c r="B51" s="58"/>
      <c r="C51" s="58"/>
      <c r="D51" s="58"/>
      <c r="E51" s="58"/>
      <c r="F51" s="58"/>
      <c r="G51" s="58"/>
      <c r="H51" s="58"/>
      <c r="I51" s="58"/>
      <c r="J51" s="52"/>
    </row>
    <row r="52" spans="1:10" ht="12.75">
      <c r="A52" s="101" t="s">
        <v>397</v>
      </c>
      <c r="B52" s="58"/>
      <c r="C52" s="58"/>
      <c r="D52" s="58"/>
      <c r="E52" s="58"/>
      <c r="F52" s="58"/>
      <c r="G52" s="58"/>
      <c r="H52" s="58"/>
      <c r="I52" s="58"/>
      <c r="J52" s="102"/>
    </row>
    <row r="53" spans="1:10" ht="12.75">
      <c r="A53" s="53"/>
      <c r="B53" s="58"/>
      <c r="C53" s="59" t="s">
        <v>409</v>
      </c>
      <c r="D53" s="106">
        <f>$O$16</f>
        <v>0.08368601231571558</v>
      </c>
      <c r="E53" s="114" t="s">
        <v>71</v>
      </c>
      <c r="F53" s="57" t="str">
        <f>$Q$16</f>
        <v>Δ1(max) = 0.0069*p1/12000*(L1*12)^4/(E*I1)</v>
      </c>
      <c r="G53" s="89"/>
      <c r="H53" s="51"/>
      <c r="I53" s="58"/>
      <c r="J53" s="102"/>
    </row>
    <row r="54" spans="1:10" ht="12.75">
      <c r="A54" s="77"/>
      <c r="B54" s="51"/>
      <c r="C54" s="59" t="s">
        <v>410</v>
      </c>
      <c r="D54" s="218">
        <f>$O$17</f>
        <v>0.3</v>
      </c>
      <c r="E54" s="114" t="s">
        <v>71</v>
      </c>
      <c r="F54" s="243" t="s">
        <v>408</v>
      </c>
      <c r="G54" s="51"/>
      <c r="H54" s="50"/>
      <c r="I54" s="51"/>
      <c r="J54" s="119"/>
    </row>
    <row r="55" spans="1:10" ht="12.75">
      <c r="A55" s="75"/>
      <c r="B55" s="51"/>
      <c r="C55" s="58"/>
      <c r="D55" s="58"/>
      <c r="E55" s="58"/>
      <c r="F55" s="58"/>
      <c r="G55" s="58"/>
      <c r="H55" s="58"/>
      <c r="I55" s="61"/>
      <c r="J55" s="174" t="str">
        <f>IF(ROUND($D$13*12/$D$53,0)&gt;=240,"Δ1(max) &lt;= Δ1(allow), O.K.","Δ1(max) &gt; Δ1(allow)")</f>
        <v>Δ1(max) &lt;= Δ1(allow), O.K.</v>
      </c>
    </row>
    <row r="56" spans="1:11" ht="12.75">
      <c r="A56" s="95"/>
      <c r="B56" s="74"/>
      <c r="C56" s="74"/>
      <c r="D56" s="74"/>
      <c r="E56" s="74"/>
      <c r="F56" s="74"/>
      <c r="G56" s="74"/>
      <c r="H56" s="74"/>
      <c r="I56" s="74"/>
      <c r="J56" s="169"/>
      <c r="K56" s="73"/>
    </row>
    <row r="57" spans="1:10" ht="12.75">
      <c r="A57" s="97"/>
      <c r="B57" s="98"/>
      <c r="C57" s="98"/>
      <c r="D57" s="98"/>
      <c r="E57" s="98"/>
      <c r="F57" s="98"/>
      <c r="G57" s="98"/>
      <c r="H57" s="98"/>
      <c r="I57" s="98"/>
      <c r="J57" s="123"/>
    </row>
    <row r="58" spans="1:10" ht="12.75">
      <c r="A58" s="101" t="s">
        <v>306</v>
      </c>
      <c r="B58" s="49"/>
      <c r="C58" s="58"/>
      <c r="D58" s="58"/>
      <c r="E58" s="58"/>
      <c r="F58" s="89"/>
      <c r="G58" s="58"/>
      <c r="H58" s="58"/>
      <c r="I58" s="58"/>
      <c r="J58" s="102"/>
    </row>
    <row r="59" spans="1:10" ht="12.75">
      <c r="A59" s="76"/>
      <c r="B59" s="58"/>
      <c r="C59" s="2" t="s">
        <v>9</v>
      </c>
      <c r="D59" s="94">
        <f>VLOOKUP($D$17,$AB$8:$AN$25,2,FALSE)</f>
        <v>22</v>
      </c>
      <c r="E59" s="58"/>
      <c r="F59" s="89"/>
      <c r="G59" s="58"/>
      <c r="H59" s="58"/>
      <c r="I59" s="58"/>
      <c r="J59" s="102"/>
    </row>
    <row r="60" spans="1:10" ht="12.75">
      <c r="A60" s="53"/>
      <c r="B60" s="58"/>
      <c r="C60" s="49" t="s">
        <v>344</v>
      </c>
      <c r="D60" s="108">
        <f>VLOOKUP($D$17,$AB$8:$AN$25,4,FALSE)</f>
        <v>1.78</v>
      </c>
      <c r="E60" s="93" t="s">
        <v>5</v>
      </c>
      <c r="F60" s="58" t="s">
        <v>347</v>
      </c>
      <c r="G60" s="58"/>
      <c r="H60" s="58"/>
      <c r="I60" s="58"/>
      <c r="J60" s="102"/>
    </row>
    <row r="61" spans="1:10" ht="12.75">
      <c r="A61" s="53"/>
      <c r="B61" s="58"/>
      <c r="C61" s="49" t="s">
        <v>429</v>
      </c>
      <c r="D61" s="167">
        <f>VLOOKUP($D$10,$AB$8:$AN$25,8,FALSE)</f>
        <v>0.155</v>
      </c>
      <c r="E61" s="93" t="s">
        <v>72</v>
      </c>
      <c r="F61" s="58" t="s">
        <v>433</v>
      </c>
      <c r="G61" s="58"/>
      <c r="H61" s="58"/>
      <c r="I61" s="58"/>
      <c r="J61" s="102"/>
    </row>
    <row r="62" spans="1:10" ht="12.75">
      <c r="A62" s="53"/>
      <c r="B62" s="58"/>
      <c r="C62" s="49" t="s">
        <v>430</v>
      </c>
      <c r="D62" s="167">
        <f>VLOOKUP($D$10,$AB$8:$AN$25,10,FALSE)</f>
        <v>0.183</v>
      </c>
      <c r="E62" s="93" t="s">
        <v>72</v>
      </c>
      <c r="F62" s="58" t="s">
        <v>434</v>
      </c>
      <c r="G62" s="58"/>
      <c r="H62" s="58"/>
      <c r="I62" s="58"/>
      <c r="J62" s="102"/>
    </row>
    <row r="63" spans="1:10" ht="12.75">
      <c r="A63" s="53"/>
      <c r="B63" s="58"/>
      <c r="C63" s="171" t="s">
        <v>431</v>
      </c>
      <c r="D63" s="167">
        <f>($D$61+$D$62)/2</f>
        <v>0.16899999999999998</v>
      </c>
      <c r="E63" s="93" t="s">
        <v>72</v>
      </c>
      <c r="F63" s="173" t="s">
        <v>432</v>
      </c>
      <c r="G63" s="58"/>
      <c r="H63" s="58"/>
      <c r="I63" s="58"/>
      <c r="J63" s="102"/>
    </row>
    <row r="64" spans="1:10" ht="12.75">
      <c r="A64" s="53"/>
      <c r="B64" s="58"/>
      <c r="C64" s="49" t="s">
        <v>345</v>
      </c>
      <c r="D64" s="168">
        <f>VLOOKUP($D$17,$AB$8:$AN$25,9,FALSE)</f>
        <v>0.186</v>
      </c>
      <c r="E64" s="93" t="s">
        <v>8</v>
      </c>
      <c r="F64" s="58" t="s">
        <v>435</v>
      </c>
      <c r="G64" s="58"/>
      <c r="H64" s="58"/>
      <c r="I64" s="58"/>
      <c r="J64" s="102"/>
    </row>
    <row r="65" spans="1:10" ht="12.75">
      <c r="A65" s="78"/>
      <c r="B65" s="58"/>
      <c r="C65" s="49" t="s">
        <v>346</v>
      </c>
      <c r="D65" s="115">
        <f>VLOOKUP($D$17,$AB$8:$AN$25,11,FALSE)</f>
        <v>0.192</v>
      </c>
      <c r="E65" s="93" t="s">
        <v>8</v>
      </c>
      <c r="F65" s="58" t="s">
        <v>436</v>
      </c>
      <c r="G65" s="58"/>
      <c r="H65" s="58"/>
      <c r="I65" s="58"/>
      <c r="J65" s="102"/>
    </row>
    <row r="66" spans="1:10" ht="12.75">
      <c r="A66" s="53"/>
      <c r="B66" s="58"/>
      <c r="C66" s="58"/>
      <c r="D66" s="58"/>
      <c r="E66" s="58"/>
      <c r="F66" s="58"/>
      <c r="G66" s="58"/>
      <c r="H66" s="58"/>
      <c r="I66" s="58"/>
      <c r="J66" s="52"/>
    </row>
    <row r="67" spans="1:10" ht="12.75">
      <c r="A67" s="47" t="s">
        <v>307</v>
      </c>
      <c r="B67" s="58"/>
      <c r="C67" s="58"/>
      <c r="D67" s="58"/>
      <c r="E67" s="58"/>
      <c r="F67" s="58"/>
      <c r="G67" s="58"/>
      <c r="H67" s="58"/>
      <c r="I67" s="58"/>
      <c r="J67" s="102"/>
    </row>
    <row r="68" spans="1:10" ht="12.75">
      <c r="A68" s="77"/>
      <c r="B68" s="59"/>
      <c r="C68" s="49" t="s">
        <v>267</v>
      </c>
      <c r="D68" s="107">
        <f>$O$20</f>
        <v>67.498</v>
      </c>
      <c r="E68" s="93" t="s">
        <v>5</v>
      </c>
      <c r="F68" s="58" t="str">
        <f>$Q$20</f>
        <v>pd2u = 1.6*p2-0.9*(wDL2+wd2)</v>
      </c>
      <c r="G68" s="58"/>
      <c r="H68" s="58"/>
      <c r="I68" s="58"/>
      <c r="J68" s="102"/>
    </row>
    <row r="69" spans="1:10" ht="12.75">
      <c r="A69" s="77"/>
      <c r="B69" s="105"/>
      <c r="C69" s="49" t="s">
        <v>49</v>
      </c>
      <c r="D69" s="167">
        <f>$O$21</f>
        <v>0.19439424000000002</v>
      </c>
      <c r="E69" s="93" t="s">
        <v>6</v>
      </c>
      <c r="F69" s="58" t="str">
        <f>$Q$21</f>
        <v>+M2u = 0.08*pd2u/1000*L2^2</v>
      </c>
      <c r="G69" s="58"/>
      <c r="H69" s="58"/>
      <c r="I69" s="58"/>
      <c r="J69" s="102"/>
    </row>
    <row r="70" spans="1:10" ht="12.75">
      <c r="A70" s="77"/>
      <c r="B70" s="60"/>
      <c r="C70" s="49" t="s">
        <v>48</v>
      </c>
      <c r="D70" s="167">
        <f>$O$22</f>
        <v>0.2429928</v>
      </c>
      <c r="E70" s="93" t="s">
        <v>6</v>
      </c>
      <c r="F70" s="58" t="str">
        <f>$Q$22</f>
        <v>-M2u = 0.1*pd2u/1000*L2^2</v>
      </c>
      <c r="G70" s="58"/>
      <c r="H70" s="58"/>
      <c r="I70" s="58"/>
      <c r="J70" s="102"/>
    </row>
    <row r="71" spans="1:10" ht="12.75">
      <c r="A71" s="77"/>
      <c r="B71" s="58"/>
      <c r="C71" s="49" t="s">
        <v>50</v>
      </c>
      <c r="D71" s="108">
        <f>$O$23</f>
        <v>31.349999999999998</v>
      </c>
      <c r="E71" s="93" t="s">
        <v>7</v>
      </c>
      <c r="F71" s="58" t="str">
        <f>$Q$23</f>
        <v>Fb2u = 0.95*Fyd2</v>
      </c>
      <c r="G71" s="58"/>
      <c r="H71" s="58"/>
      <c r="I71" s="51"/>
      <c r="J71" s="102"/>
    </row>
    <row r="72" spans="1:10" ht="12.75">
      <c r="A72" s="77"/>
      <c r="B72" s="58"/>
      <c r="C72" s="49" t="s">
        <v>51</v>
      </c>
      <c r="D72" s="108">
        <f>$O$24</f>
        <v>12.14964</v>
      </c>
      <c r="E72" s="93" t="s">
        <v>7</v>
      </c>
      <c r="F72" s="109" t="str">
        <f>$Q$24</f>
        <v>+fb2u = (+M2u)*12/Sn2 (between supports)</v>
      </c>
      <c r="G72" s="58"/>
      <c r="H72" s="58"/>
      <c r="I72" s="51"/>
      <c r="J72" s="102"/>
    </row>
    <row r="73" spans="1:10" ht="12.75">
      <c r="A73" s="76"/>
      <c r="B73" s="58"/>
      <c r="C73" s="49" t="s">
        <v>52</v>
      </c>
      <c r="D73" s="108">
        <f>$O$25</f>
        <v>15.676954838709678</v>
      </c>
      <c r="E73" s="93" t="s">
        <v>7</v>
      </c>
      <c r="F73" s="109" t="str">
        <f>$Q$25</f>
        <v>-fb2u = (-M2u)*12/Sp2 (at supports)</v>
      </c>
      <c r="G73" s="58"/>
      <c r="H73" s="58"/>
      <c r="I73" s="51"/>
      <c r="J73" s="102"/>
    </row>
    <row r="74" spans="1:10" ht="12.75">
      <c r="A74" s="76"/>
      <c r="B74" s="49"/>
      <c r="C74" s="49" t="s">
        <v>154</v>
      </c>
      <c r="D74" s="108">
        <f>$O$26</f>
        <v>15.676954838709678</v>
      </c>
      <c r="E74" s="93" t="s">
        <v>7</v>
      </c>
      <c r="F74" s="58" t="s">
        <v>155</v>
      </c>
      <c r="G74" s="58"/>
      <c r="H74" s="58"/>
      <c r="I74" s="61"/>
      <c r="J74" s="102"/>
    </row>
    <row r="75" spans="1:10" ht="12.75">
      <c r="A75" s="77"/>
      <c r="B75" s="59"/>
      <c r="C75" s="49" t="s">
        <v>34</v>
      </c>
      <c r="D75" s="111">
        <f>$O$27</f>
        <v>0.5000623553017441</v>
      </c>
      <c r="E75" s="58"/>
      <c r="F75" s="199" t="s">
        <v>301</v>
      </c>
      <c r="G75" s="58"/>
      <c r="H75" s="51"/>
      <c r="I75" s="58"/>
      <c r="J75" s="174" t="str">
        <f>IF($D$75&lt;=1,"SR2 &lt;= 1.0, O.K.","SR2 &gt; 1.0")</f>
        <v>SR2 &lt;= 1.0, O.K.</v>
      </c>
    </row>
    <row r="76" spans="1:10" ht="12.75">
      <c r="A76" s="53"/>
      <c r="B76" s="58"/>
      <c r="C76" s="58"/>
      <c r="D76" s="58"/>
      <c r="E76" s="58"/>
      <c r="F76" s="58"/>
      <c r="G76" s="58"/>
      <c r="H76" s="58"/>
      <c r="I76" s="58"/>
      <c r="J76" s="52"/>
    </row>
    <row r="77" spans="1:10" ht="12.75">
      <c r="A77" s="101" t="s">
        <v>396</v>
      </c>
      <c r="B77" s="58"/>
      <c r="C77" s="58"/>
      <c r="D77" s="58"/>
      <c r="E77" s="58"/>
      <c r="F77" s="58"/>
      <c r="G77" s="58"/>
      <c r="H77" s="58"/>
      <c r="I77" s="58"/>
      <c r="J77" s="102"/>
    </row>
    <row r="78" spans="1:10" ht="12.75">
      <c r="A78" s="53"/>
      <c r="B78" s="58"/>
      <c r="C78" s="59" t="s">
        <v>411</v>
      </c>
      <c r="D78" s="106">
        <f>$O$30</f>
        <v>0.1425761691304784</v>
      </c>
      <c r="E78" s="114" t="s">
        <v>71</v>
      </c>
      <c r="F78" s="57" t="str">
        <f>$Q$30</f>
        <v>Δ2(max) = 0.0069*p2/12000*(L2*12)^4/(E*I2)</v>
      </c>
      <c r="G78" s="89"/>
      <c r="H78" s="51"/>
      <c r="I78" s="58"/>
      <c r="J78" s="102"/>
    </row>
    <row r="79" spans="1:10" ht="12.75">
      <c r="A79" s="77"/>
      <c r="B79" s="51"/>
      <c r="C79" s="59" t="s">
        <v>412</v>
      </c>
      <c r="D79" s="218">
        <f>$O$31</f>
        <v>0.3</v>
      </c>
      <c r="E79" s="114" t="s">
        <v>71</v>
      </c>
      <c r="F79" s="243" t="s">
        <v>407</v>
      </c>
      <c r="G79" s="51"/>
      <c r="H79" s="50"/>
      <c r="I79" s="51"/>
      <c r="J79" s="119"/>
    </row>
    <row r="80" spans="1:10" ht="12.75">
      <c r="A80" s="75"/>
      <c r="B80" s="51"/>
      <c r="C80" s="58"/>
      <c r="D80" s="58"/>
      <c r="E80" s="58"/>
      <c r="F80" s="58"/>
      <c r="G80" s="58"/>
      <c r="H80" s="58"/>
      <c r="I80" s="61"/>
      <c r="J80" s="174" t="str">
        <f>IF(ROUND($D$20*12/$D$78,0)&gt;=240,"Δ2(max) &lt;= Δ2(allow), O.K.","Δ2(max) &gt; Δ2(allow)")</f>
        <v>Δ2(max) &lt;= Δ2(allow), O.K.</v>
      </c>
    </row>
    <row r="81" spans="1:10" ht="12.75">
      <c r="A81" s="101" t="s">
        <v>308</v>
      </c>
      <c r="B81" s="49"/>
      <c r="C81" s="58"/>
      <c r="D81" s="58"/>
      <c r="E81" s="58"/>
      <c r="F81" s="89"/>
      <c r="G81" s="58"/>
      <c r="H81" s="58"/>
      <c r="I81" s="58"/>
      <c r="J81" s="102"/>
    </row>
    <row r="82" spans="1:10" ht="12.75">
      <c r="A82" s="76"/>
      <c r="B82" s="58"/>
      <c r="C82" s="2" t="s">
        <v>9</v>
      </c>
      <c r="D82" s="94">
        <f>VLOOKUP($D$24,$AB$8:$AN$25,2,FALSE)</f>
        <v>22</v>
      </c>
      <c r="E82" s="58"/>
      <c r="F82" s="89"/>
      <c r="G82" s="58"/>
      <c r="H82" s="58"/>
      <c r="I82" s="58"/>
      <c r="J82" s="102"/>
    </row>
    <row r="83" spans="1:10" ht="12.75">
      <c r="A83" s="53"/>
      <c r="B83" s="58"/>
      <c r="C83" s="49" t="s">
        <v>348</v>
      </c>
      <c r="D83" s="108">
        <f>VLOOKUP($D$24,$AB$8:$AN$25,4,FALSE)</f>
        <v>1.78</v>
      </c>
      <c r="E83" s="93" t="s">
        <v>5</v>
      </c>
      <c r="F83" s="58" t="s">
        <v>351</v>
      </c>
      <c r="G83" s="58"/>
      <c r="H83" s="58"/>
      <c r="I83" s="58"/>
      <c r="J83" s="102"/>
    </row>
    <row r="84" spans="1:10" ht="12.75">
      <c r="A84" s="53"/>
      <c r="B84" s="58"/>
      <c r="C84" s="49" t="s">
        <v>437</v>
      </c>
      <c r="D84" s="167">
        <f>VLOOKUP($D$10,$AB$8:$AN$25,8,FALSE)</f>
        <v>0.155</v>
      </c>
      <c r="E84" s="93" t="s">
        <v>72</v>
      </c>
      <c r="F84" s="58" t="s">
        <v>440</v>
      </c>
      <c r="G84" s="58"/>
      <c r="H84" s="58"/>
      <c r="I84" s="58"/>
      <c r="J84" s="102"/>
    </row>
    <row r="85" spans="1:10" ht="12.75">
      <c r="A85" s="53"/>
      <c r="B85" s="58"/>
      <c r="C85" s="49" t="s">
        <v>438</v>
      </c>
      <c r="D85" s="167">
        <f>VLOOKUP($D$10,$AB$8:$AN$25,10,FALSE)</f>
        <v>0.183</v>
      </c>
      <c r="E85" s="93" t="s">
        <v>72</v>
      </c>
      <c r="F85" s="58" t="s">
        <v>441</v>
      </c>
      <c r="G85" s="58"/>
      <c r="H85" s="58"/>
      <c r="I85" s="58"/>
      <c r="J85" s="102"/>
    </row>
    <row r="86" spans="1:10" ht="12.75">
      <c r="A86" s="53"/>
      <c r="B86" s="58"/>
      <c r="C86" s="171" t="s">
        <v>439</v>
      </c>
      <c r="D86" s="167">
        <f>($D$84+$D$85)/2</f>
        <v>0.16899999999999998</v>
      </c>
      <c r="E86" s="93" t="s">
        <v>72</v>
      </c>
      <c r="F86" s="173" t="s">
        <v>442</v>
      </c>
      <c r="G86" s="58"/>
      <c r="H86" s="58"/>
      <c r="I86" s="58"/>
      <c r="J86" s="102"/>
    </row>
    <row r="87" spans="1:10" ht="12.75">
      <c r="A87" s="53"/>
      <c r="B87" s="58"/>
      <c r="C87" s="49" t="s">
        <v>349</v>
      </c>
      <c r="D87" s="168">
        <f>VLOOKUP($D$24,$AB$8:$AN$25,9,FALSE)</f>
        <v>0.186</v>
      </c>
      <c r="E87" s="93" t="s">
        <v>8</v>
      </c>
      <c r="F87" s="58" t="s">
        <v>443</v>
      </c>
      <c r="G87" s="58"/>
      <c r="H87" s="58"/>
      <c r="I87" s="58"/>
      <c r="J87" s="102"/>
    </row>
    <row r="88" spans="1:10" ht="12.75">
      <c r="A88" s="78"/>
      <c r="B88" s="58"/>
      <c r="C88" s="49" t="s">
        <v>350</v>
      </c>
      <c r="D88" s="115">
        <f>VLOOKUP($D$24,$AB$8:$AN$25,11,FALSE)</f>
        <v>0.192</v>
      </c>
      <c r="E88" s="93" t="s">
        <v>8</v>
      </c>
      <c r="F88" s="58" t="s">
        <v>444</v>
      </c>
      <c r="G88" s="58"/>
      <c r="H88" s="58"/>
      <c r="I88" s="58"/>
      <c r="J88" s="102"/>
    </row>
    <row r="89" spans="1:10" ht="12.75">
      <c r="A89" s="53"/>
      <c r="B89" s="58"/>
      <c r="C89" s="58"/>
      <c r="D89" s="58"/>
      <c r="E89" s="58"/>
      <c r="F89" s="58"/>
      <c r="G89" s="58"/>
      <c r="H89" s="58"/>
      <c r="I89" s="58"/>
      <c r="J89" s="102"/>
    </row>
    <row r="90" spans="1:10" ht="12.75">
      <c r="A90" s="47" t="s">
        <v>309</v>
      </c>
      <c r="B90" s="58"/>
      <c r="C90" s="58"/>
      <c r="D90" s="58"/>
      <c r="E90" s="58"/>
      <c r="F90" s="58"/>
      <c r="G90" s="58"/>
      <c r="H90" s="58"/>
      <c r="I90" s="58"/>
      <c r="J90" s="102"/>
    </row>
    <row r="91" spans="1:10" ht="12.75">
      <c r="A91" s="77"/>
      <c r="B91" s="59"/>
      <c r="C91" s="49" t="s">
        <v>268</v>
      </c>
      <c r="D91" s="107">
        <f>$O$34</f>
        <v>104.298</v>
      </c>
      <c r="E91" s="93" t="s">
        <v>5</v>
      </c>
      <c r="F91" s="58" t="str">
        <f>$Q$34</f>
        <v>pd3u = 1.6*p3-0.9*(wDL3+wd3)</v>
      </c>
      <c r="G91" s="58"/>
      <c r="H91" s="58"/>
      <c r="I91" s="58"/>
      <c r="J91" s="102"/>
    </row>
    <row r="92" spans="1:10" ht="12.75">
      <c r="A92" s="77"/>
      <c r="B92" s="105"/>
      <c r="C92" s="49" t="s">
        <v>53</v>
      </c>
      <c r="D92" s="167">
        <f>$O$35</f>
        <v>0.30037824</v>
      </c>
      <c r="E92" s="93" t="s">
        <v>6</v>
      </c>
      <c r="F92" s="58" t="str">
        <f>$Q$35</f>
        <v>+M3u = 0.08*pd3u/1000*L3^2</v>
      </c>
      <c r="G92" s="58"/>
      <c r="H92" s="58"/>
      <c r="I92" s="58"/>
      <c r="J92" s="102"/>
    </row>
    <row r="93" spans="1:10" ht="12.75">
      <c r="A93" s="77"/>
      <c r="B93" s="60"/>
      <c r="C93" s="49" t="s">
        <v>54</v>
      </c>
      <c r="D93" s="167">
        <f>$O$36</f>
        <v>0.3754728</v>
      </c>
      <c r="E93" s="93" t="s">
        <v>6</v>
      </c>
      <c r="F93" s="58" t="str">
        <f>$Q$36</f>
        <v>-M3u = 0.1*pd3u/1000*L3^2</v>
      </c>
      <c r="G93" s="58"/>
      <c r="H93" s="58"/>
      <c r="I93" s="58"/>
      <c r="J93" s="102"/>
    </row>
    <row r="94" spans="1:10" ht="12.75">
      <c r="A94" s="77"/>
      <c r="B94" s="58"/>
      <c r="C94" s="49" t="s">
        <v>252</v>
      </c>
      <c r="D94" s="108">
        <f>$O$37</f>
        <v>31.349999999999998</v>
      </c>
      <c r="E94" s="93" t="s">
        <v>7</v>
      </c>
      <c r="F94" s="58" t="str">
        <f>$Q$37</f>
        <v>Fb3u = 0.95*Fyd3</v>
      </c>
      <c r="G94" s="58"/>
      <c r="H94" s="58"/>
      <c r="I94" s="51"/>
      <c r="J94" s="102"/>
    </row>
    <row r="95" spans="1:10" ht="12.75">
      <c r="A95" s="77"/>
      <c r="B95" s="58"/>
      <c r="C95" s="49" t="s">
        <v>253</v>
      </c>
      <c r="D95" s="108">
        <f>$O$38</f>
        <v>18.77364</v>
      </c>
      <c r="E95" s="93" t="s">
        <v>7</v>
      </c>
      <c r="F95" s="109" t="str">
        <f>$Q$38</f>
        <v>+fb3u = (+M3u)*12/Sn3 (between supports)</v>
      </c>
      <c r="G95" s="58"/>
      <c r="H95" s="58"/>
      <c r="I95" s="51"/>
      <c r="J95" s="102"/>
    </row>
    <row r="96" spans="1:10" ht="12.75">
      <c r="A96" s="76"/>
      <c r="B96" s="58"/>
      <c r="C96" s="49" t="s">
        <v>254</v>
      </c>
      <c r="D96" s="108">
        <f>$O$39</f>
        <v>24.224051612903224</v>
      </c>
      <c r="E96" s="93" t="s">
        <v>7</v>
      </c>
      <c r="F96" s="109" t="str">
        <f>$Q$39</f>
        <v>-fb3u = (-M3u)*12/Sp3 (at supports)</v>
      </c>
      <c r="G96" s="58"/>
      <c r="H96" s="58"/>
      <c r="I96" s="51"/>
      <c r="J96" s="102"/>
    </row>
    <row r="97" spans="1:10" ht="12.75">
      <c r="A97" s="76"/>
      <c r="B97" s="49"/>
      <c r="C97" s="49" t="s">
        <v>255</v>
      </c>
      <c r="D97" s="108">
        <f>$O$40</f>
        <v>24.224051612903224</v>
      </c>
      <c r="E97" s="93" t="s">
        <v>7</v>
      </c>
      <c r="F97" s="58" t="s">
        <v>156</v>
      </c>
      <c r="G97" s="58"/>
      <c r="H97" s="58"/>
      <c r="I97" s="61"/>
      <c r="J97" s="102"/>
    </row>
    <row r="98" spans="1:10" ht="12.75">
      <c r="A98" s="77"/>
      <c r="B98" s="59"/>
      <c r="C98" s="49" t="s">
        <v>41</v>
      </c>
      <c r="D98" s="111">
        <f>$O$41</f>
        <v>0.7726970211452384</v>
      </c>
      <c r="E98" s="58"/>
      <c r="F98" s="199" t="s">
        <v>302</v>
      </c>
      <c r="G98" s="58"/>
      <c r="H98" s="51"/>
      <c r="I98" s="58"/>
      <c r="J98" s="174" t="str">
        <f>IF($D$98&lt;=1,"SR3 &lt;= 1.0, O.K.","SR3 &gt; 1.0")</f>
        <v>SR3 &lt;= 1.0, O.K.</v>
      </c>
    </row>
    <row r="99" spans="1:10" ht="12.75">
      <c r="A99" s="53"/>
      <c r="B99" s="58"/>
      <c r="C99" s="58"/>
      <c r="D99" s="58"/>
      <c r="E99" s="58"/>
      <c r="F99" s="58"/>
      <c r="G99" s="58"/>
      <c r="H99" s="58"/>
      <c r="I99" s="58"/>
      <c r="J99" s="102"/>
    </row>
    <row r="100" spans="1:10" ht="12.75">
      <c r="A100" s="101" t="s">
        <v>398</v>
      </c>
      <c r="B100" s="58"/>
      <c r="C100" s="58"/>
      <c r="D100" s="58"/>
      <c r="E100" s="58"/>
      <c r="F100" s="58"/>
      <c r="G100" s="58"/>
      <c r="H100" s="58"/>
      <c r="I100" s="58"/>
      <c r="J100" s="102"/>
    </row>
    <row r="101" spans="1:10" ht="12.75">
      <c r="A101" s="53"/>
      <c r="B101" s="58"/>
      <c r="C101" s="59" t="s">
        <v>413</v>
      </c>
      <c r="D101" s="106">
        <f>$O$44</f>
        <v>0.2138642536957176</v>
      </c>
      <c r="E101" s="114" t="s">
        <v>71</v>
      </c>
      <c r="F101" s="57" t="str">
        <f>$Q$44</f>
        <v>Δ3(max) = 0.0069*p3/12000*(L3*12)^4/(E*I3)</v>
      </c>
      <c r="G101" s="89"/>
      <c r="H101" s="51"/>
      <c r="I101" s="58"/>
      <c r="J101" s="102"/>
    </row>
    <row r="102" spans="1:10" ht="12.75">
      <c r="A102" s="77"/>
      <c r="B102" s="51"/>
      <c r="C102" s="59" t="s">
        <v>414</v>
      </c>
      <c r="D102" s="218">
        <f>$O$45</f>
        <v>0.3</v>
      </c>
      <c r="E102" s="114" t="s">
        <v>71</v>
      </c>
      <c r="F102" s="243" t="s">
        <v>415</v>
      </c>
      <c r="G102" s="51"/>
      <c r="H102" s="50"/>
      <c r="I102" s="51"/>
      <c r="J102" s="119"/>
    </row>
    <row r="103" spans="1:10" ht="12.75">
      <c r="A103" s="75"/>
      <c r="B103" s="51"/>
      <c r="C103" s="58"/>
      <c r="D103" s="58"/>
      <c r="E103" s="58"/>
      <c r="F103" s="58"/>
      <c r="G103" s="58"/>
      <c r="H103" s="58"/>
      <c r="I103" s="61"/>
      <c r="J103" s="174" t="str">
        <f>IF(ROUND($D$27*12/$D$101,0)&gt;=240,"Δ3(max) &lt;= Δ3(allow), O.K.","Δ3(max) &gt; Δ3(allow)")</f>
        <v>Δ3(max) &lt;= Δ3(allow), O.K.</v>
      </c>
    </row>
    <row r="104" spans="1:10" ht="12.75">
      <c r="A104" s="245"/>
      <c r="B104" s="199"/>
      <c r="C104" s="199"/>
      <c r="D104" s="199"/>
      <c r="E104" s="199"/>
      <c r="F104" s="199"/>
      <c r="G104" s="199"/>
      <c r="H104" s="199"/>
      <c r="I104" s="199"/>
      <c r="J104" s="246"/>
    </row>
    <row r="105" spans="1:10" ht="12.75">
      <c r="A105" s="101" t="s">
        <v>89</v>
      </c>
      <c r="B105" s="200"/>
      <c r="C105" s="200"/>
      <c r="D105" s="200"/>
      <c r="E105" s="200"/>
      <c r="F105" s="200"/>
      <c r="G105" s="200"/>
      <c r="H105" s="200"/>
      <c r="I105" s="200"/>
      <c r="J105" s="224"/>
    </row>
    <row r="106" spans="1:10" ht="12.75">
      <c r="A106" s="124"/>
      <c r="B106" s="200"/>
      <c r="C106" s="200"/>
      <c r="D106" s="200"/>
      <c r="E106" s="200"/>
      <c r="F106" s="200"/>
      <c r="G106" s="200"/>
      <c r="H106" s="200"/>
      <c r="I106" s="200"/>
      <c r="J106" s="224"/>
    </row>
    <row r="107" spans="1:10" ht="12.75">
      <c r="A107" s="124"/>
      <c r="B107" s="200"/>
      <c r="C107" s="200"/>
      <c r="D107" s="200"/>
      <c r="E107" s="200"/>
      <c r="F107" s="200"/>
      <c r="G107" s="200"/>
      <c r="H107" s="200"/>
      <c r="I107" s="200"/>
      <c r="J107" s="224"/>
    </row>
    <row r="108" spans="1:10" ht="12.75">
      <c r="A108" s="124"/>
      <c r="B108" s="200"/>
      <c r="C108" s="200"/>
      <c r="D108" s="200"/>
      <c r="E108" s="200"/>
      <c r="F108" s="200"/>
      <c r="G108" s="200"/>
      <c r="H108" s="200"/>
      <c r="I108" s="200"/>
      <c r="J108" s="224"/>
    </row>
    <row r="109" spans="1:10" ht="12.75">
      <c r="A109" s="124"/>
      <c r="B109" s="200"/>
      <c r="C109" s="200"/>
      <c r="D109" s="200"/>
      <c r="E109" s="200"/>
      <c r="F109" s="200"/>
      <c r="G109" s="200"/>
      <c r="H109" s="200"/>
      <c r="I109" s="200"/>
      <c r="J109" s="224"/>
    </row>
    <row r="110" spans="1:10" ht="12.75">
      <c r="A110" s="124"/>
      <c r="B110" s="200"/>
      <c r="C110" s="200"/>
      <c r="D110" s="200"/>
      <c r="E110" s="200"/>
      <c r="F110" s="200"/>
      <c r="G110" s="200"/>
      <c r="H110" s="200"/>
      <c r="I110" s="200"/>
      <c r="J110" s="224"/>
    </row>
    <row r="111" spans="1:10" ht="12.75">
      <c r="A111" s="124"/>
      <c r="B111" s="200"/>
      <c r="C111" s="200"/>
      <c r="D111" s="200"/>
      <c r="E111" s="200"/>
      <c r="F111" s="200"/>
      <c r="G111" s="200"/>
      <c r="H111" s="200"/>
      <c r="I111" s="200"/>
      <c r="J111" s="224"/>
    </row>
    <row r="112" spans="1:10" ht="12.75">
      <c r="A112" s="125"/>
      <c r="B112" s="225"/>
      <c r="C112" s="225"/>
      <c r="D112" s="225"/>
      <c r="E112" s="225"/>
      <c r="F112" s="225"/>
      <c r="G112" s="225"/>
      <c r="H112" s="225"/>
      <c r="I112" s="225"/>
      <c r="J112" s="226"/>
    </row>
  </sheetData>
  <sheetProtection sheet="1" objects="1" scenarios="1"/>
  <mergeCells count="1">
    <mergeCell ref="AB28:AB29"/>
  </mergeCells>
  <dataValidations count="10">
    <dataValidation type="list" allowBlank="1" showInputMessage="1" showErrorMessage="1" sqref="D26 D19 D12">
      <formula1>$L$5:$L$7</formula1>
    </dataValidation>
    <dataValidation type="list" allowBlank="1" showInputMessage="1" showErrorMessage="1" sqref="D24 D17 D10">
      <formula1>$AB$8:$AB$25</formula1>
    </dataValidation>
    <dataValidation type="list" allowBlank="1" showInputMessage="1" showErrorMessage="1" sqref="D25 D18">
      <formula1>$L$8:$L$12</formula1>
    </dataValidation>
    <dataValidation type="list" allowBlank="1" showInputMessage="1" showErrorMessage="1" prompt="For Vulcraft steel roof deck, typical value of steel yield strength, 'Fyd', is 33 ksi." sqref="D11">
      <formula1>$L$8:$L$12</formula1>
    </dataValidation>
    <dataValidation allowBlank="1" showInputMessage="1" showErrorMessage="1" prompt="Program automatically extracts negative moment of inertia (In3) from tabular data for Vulcraft roof deck." sqref="D85"/>
    <dataValidation allowBlank="1" showInputMessage="1" showErrorMessage="1" prompt="Program automatically extracts negative moment of inertia (In1) from tabular data for Vulcraft roof deck." sqref="D37"/>
    <dataValidation allowBlank="1" showInputMessage="1" showErrorMessage="1" prompt="Program automatically extracts positive moment of inertia (Ip1) from tabular data for Vulcraft roof deck." sqref="D36"/>
    <dataValidation allowBlank="1" showInputMessage="1" showErrorMessage="1" prompt="Program automatically extracts positive moment of inertia (Ip2) from tabular data for Vulcraft roof deck." sqref="D61"/>
    <dataValidation allowBlank="1" showInputMessage="1" showErrorMessage="1" prompt="Program automatically extracts negative moment of inertia (In2) from tabular data for Vulcraft roof deck." sqref="D62"/>
    <dataValidation allowBlank="1" showInputMessage="1" showErrorMessage="1" prompt="Program automatically extracts positive moment of inertia (Ip3) from tabular data for Vulcraft roof deck." sqref="D84"/>
  </dataValidations>
  <printOptions/>
  <pageMargins left="1" right="0.5" top="1" bottom="1" header="0.5" footer="0.5"/>
  <pageSetup horizontalDpi="600" verticalDpi="600" orientation="portrait" scale="91" r:id="rId4"/>
  <headerFooter alignWithMargins="0">
    <oddHeader>&amp;R"ROOFDECK.xls" Program
Version 1.0</oddHeader>
    <oddFooter>&amp;C&amp;P of &amp;N&amp;R&amp;D  &amp;T</oddFooter>
  </headerFooter>
  <rowBreaks count="1" manualBreakCount="1">
    <brk id="56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"ROOFDECK" Program</dc:title>
  <dc:subject/>
  <dc:creator>Alex Tomanovich, P.E. - 151 Shadow Lane, Lyman SC 29365 - Home: 864-968-2699 - Email: ATomanovich@bellsouth.net</dc:creator>
  <cp:keywords/>
  <dc:description/>
  <cp:lastModifiedBy> </cp:lastModifiedBy>
  <cp:lastPrinted>2012-02-24T12:05:32Z</cp:lastPrinted>
  <dcterms:created xsi:type="dcterms:W3CDTF">2010-05-11T12:40:42Z</dcterms:created>
  <dcterms:modified xsi:type="dcterms:W3CDTF">2012-02-24T12:05:56Z</dcterms:modified>
  <cp:category>Structural Engineering Analysis/Design</cp:category>
  <cp:version/>
  <cp:contentType/>
  <cp:contentStatus/>
</cp:coreProperties>
</file>